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AB8420C7-5F0C-4CC0-9892-E3E2C9C9AAE9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tabilito" sheetId="6" r:id="rId1"/>
    <sheet name="Trajecto" sheetId="1" r:id="rId2"/>
    <sheet name="Courbes" sheetId="2" r:id="rId3"/>
    <sheet name="Propu" sheetId="4" r:id="rId4"/>
    <sheet name="Calculs" sheetId="3" r:id="rId5"/>
    <sheet name="Abaco" sheetId="8" r:id="rId6"/>
    <sheet name="Info" sheetId="5" r:id="rId7"/>
    <sheet name="Controle" sheetId="7" r:id="rId8"/>
  </sheets>
  <definedNames>
    <definedName name="_xlnm._FilterDatabase" localSheetId="3" hidden="1">Propu!$O$317:$P$345</definedName>
    <definedName name="a_prop">Abaco!$G$41:$G$67</definedName>
    <definedName name="Acc_max">Trajecto!$L$24</definedName>
    <definedName name="acc_x">Calculs!$D$4:$D$1004</definedName>
    <definedName name="acc_xz">Calculs!$F$4:$F$1004</definedName>
    <definedName name="acc_z">Calculs!$E$4:$E$1004</definedName>
    <definedName name="Alt_para">Trajecto!$I$27</definedName>
    <definedName name="alt_prop">Abaco!$J$41:$J$67</definedName>
    <definedName name="Alt_rampe">Trajecto!$C$20</definedName>
    <definedName name="Alt_sat">Trajecto!$I$25</definedName>
    <definedName name="Altitude_culmi">Trajecto!$I$26</definedName>
    <definedName name="b_bal">Abaco!$I$41:$I$67</definedName>
    <definedName name="b_prop">Abaco!$H$41:$H$67</definedName>
    <definedName name="Beta">Calculs!$M$4:$M$1004</definedName>
    <definedName name="Beta_rampe">Trajecto!$C$19</definedName>
    <definedName name="BetaD">Calculs!$N$4:$N$1004</definedName>
    <definedName name="CdP">Propu!$B$3:$Y$4</definedName>
    <definedName name="CdP_P">Propu!$B$4:$Y$4</definedName>
    <definedName name="CdP_t">Propu!$B$3:$Y$3</definedName>
    <definedName name="Club">Stabilito!$C$9</definedName>
    <definedName name="Cn">Stabilito!$H$28</definedName>
    <definedName name="Cn0">Stabilito!$I$28</definedName>
    <definedName name="Cnai" localSheetId="0">Stabilito!$O$19</definedName>
    <definedName name="Cnai0">Stabilito!$P$19</definedName>
    <definedName name="Cnail" localSheetId="0">Stabilito!$O$20</definedName>
    <definedName name="Cnc" localSheetId="0">Stabilito!$O$21</definedName>
    <definedName name="Cni" localSheetId="0">Stabilito!$O$22</definedName>
    <definedName name="Cni0">Stabilito!$P$22</definedName>
    <definedName name="Cnj" localSheetId="0">Stabilito!$O$23</definedName>
    <definedName name="Cno" localSheetId="0">Stabilito!$O$18</definedName>
    <definedName name="Cnr" localSheetId="0">Stabilito!$O$24</definedName>
    <definedName name="Combustion">Propu!$X$2</definedName>
    <definedName name="CritCnmax" localSheetId="0">Stabilito!$J$28</definedName>
    <definedName name="CritCnmin" localSheetId="0">Stabilito!$G$28</definedName>
    <definedName name="CritFinessemax" localSheetId="0">Stabilito!$J$27</definedName>
    <definedName name="CritFinessemin" localSheetId="0">Stabilito!$G$27</definedName>
    <definedName name="CritMsCnmax" localSheetId="0">Stabilito!$J$30</definedName>
    <definedName name="CritMsCnmin" localSheetId="0">Stabilito!$G$30</definedName>
    <definedName name="CritMsmax" localSheetId="0">Stabilito!$J$29</definedName>
    <definedName name="CritMsmin" localSheetId="0">Stabilito!$G$29</definedName>
    <definedName name="Cx">Trajecto!$C$15</definedName>
    <definedName name="Cx_para">Trajecto!$C$28</definedName>
    <definedName name="Cx_satellite">Trajecto!$D$28</definedName>
    <definedName name="D_ail">Stabilito!$C$34</definedName>
    <definedName name="D_can" localSheetId="0">Stabilito!$D$34</definedName>
    <definedName name="D_int" localSheetId="0">Stabilito!$E$34</definedName>
    <definedName name="D_og">Stabilito!$C$23</definedName>
    <definedName name="D_ref">Stabilito!$C$14</definedName>
    <definedName name="D_var">Abaco!$B$41:$B$67</definedName>
    <definedName name="D1j">Stabilito!$M$7</definedName>
    <definedName name="D1r">Stabilito!$O$7</definedName>
    <definedName name="D2j">Stabilito!$M$8</definedName>
    <definedName name="D2r">Stabilito!$O$8</definedName>
    <definedName name="Débit">Calculs!$R$4:$R$1004</definedName>
    <definedName name="Depotage">Propu!$Z$2</definedName>
    <definedName name="Diam_propu">Propu!$T$2</definedName>
    <definedName name="Dt_para">Trajecto!$C$31</definedName>
    <definedName name="Dt_satellite">Trajecto!$D$31</definedName>
    <definedName name="Dx_para">Trajecto!$C$33</definedName>
    <definedName name="Dx_sat">Trajecto!$D$33</definedName>
    <definedName name="E_ail">Stabilito!$C$30</definedName>
    <definedName name="E_can">Stabilito!$D$30</definedName>
    <definedName name="E_int" localSheetId="0">Stabilito!$E$30</definedName>
    <definedName name="ep_ail">Stabilito!$C$31</definedName>
    <definedName name="ep_can">Stabilito!$D$31</definedName>
    <definedName name="ep_int" localSheetId="0">Stabilito!$E$31</definedName>
    <definedName name="Event">Calculs!$Y$4:$Y$1004</definedName>
    <definedName name="Event_para">Calculs!$Z$4:$Z$1004</definedName>
    <definedName name="Event_sat">Calculs!$AA$4:$AA$1004</definedName>
    <definedName name="f_ail" localSheetId="0">Stabilito!$C$35</definedName>
    <definedName name="f_can" localSheetId="0">Stabilito!$D$35</definedName>
    <definedName name="f_int" localSheetId="0">Stabilito!$E$35</definedName>
    <definedName name="Finesse">Stabilito!$H$27</definedName>
    <definedName name="Forme_ogive">Stabilito!$C$21</definedName>
    <definedName name="g">Info!$E$52</definedName>
    <definedName name="i_P">Calculs!$P$4:$P$1004</definedName>
    <definedName name="I_total">Propu!$D$2</definedName>
    <definedName name="ISP">Propu!$F$2</definedName>
    <definedName name="l_j">Stabilito!$M$6</definedName>
    <definedName name="l_r">Stabilito!$O$6</definedName>
    <definedName name="L_rampe">Trajecto!$C$18</definedName>
    <definedName name="Lang">Stabilito!$M$2</definedName>
    <definedName name="Liste_µfu">Propu!$F$317:$F$346</definedName>
    <definedName name="Liste_fusex">Propu!$R$317:$R$346</definedName>
    <definedName name="Liste_H2O">Propu!$C$317:$D$346</definedName>
    <definedName name="Liste_minif">Propu!$L$317:$M$346</definedName>
    <definedName name="Liste_minifT">Propu!$O$317:$O$346</definedName>
    <definedName name="Liste_propu">Propu!$A$317:$A$330</definedName>
    <definedName name="Liste_RC">Propu!$I$317:$J$346</definedName>
    <definedName name="Long_ogive">Stabilito!$C$22</definedName>
    <definedName name="Long_propu">Propu!$R$2</definedName>
    <definedName name="Long_tot">Stabilito!$C$13</definedName>
    <definedName name="m">Calculs!$S$4:$S$1004</definedName>
    <definedName name="m_ail">Stabilito!$C$27</definedName>
    <definedName name="m_bal">Abaco!$F$41:$F$67</definedName>
    <definedName name="m_can">Stabilito!$D$27</definedName>
    <definedName name="m_int" localSheetId="0">Stabilito!$E$27</definedName>
    <definedName name="m_poudre">Propu!$J$2</definedName>
    <definedName name="m_prop">Abaco!$E$41:$E$67</definedName>
    <definedName name="m_satellite">Trajecto!$D$24</definedName>
    <definedName name="m_tot">Trajecto!$C$10</definedName>
    <definedName name="m_var">Abaco!$D$41:$D$67</definedName>
    <definedName name="m_vide">Trajecto!$C$24</definedName>
    <definedName name="Masse_ail">Controle!$H$63</definedName>
    <definedName name="MassePlein">Stabilito!$M$14</definedName>
    <definedName name="MasseSans">Stabilito!$P$14</definedName>
    <definedName name="MasseVide">Stabilito!$N$14</definedName>
    <definedName name="Menu_Empennage">Stabilito!$B$111:$B$112</definedName>
    <definedName name="Menu_Lang">Stabilito!$B$93:$B$94</definedName>
    <definedName name="Menu_Ogive">Stabilito!$B$107:$B$109</definedName>
    <definedName name="Menu_sat">Trajecto!$B$104:$B$105</definedName>
    <definedName name="Menu_Transitions">Stabilito!$B$114:$B$115</definedName>
    <definedName name="Menu_Type">Stabilito!$B$96:$B$100</definedName>
    <definedName name="Menu_with_motor">Stabilito!$B$103:$B$105</definedName>
    <definedName name="MpropuPlein">Propu!$H$2</definedName>
    <definedName name="MpropuVide">Propu!$L$2</definedName>
    <definedName name="MS_Cn_max">Stabilito!$I$30</definedName>
    <definedName name="MS_Cn_max0">Stabilito!#REF!</definedName>
    <definedName name="MS_Cn_min">Stabilito!$H$30</definedName>
    <definedName name="MS_Cn_min0">Stabilito!#REF!</definedName>
    <definedName name="MS_max">Stabilito!$I$29</definedName>
    <definedName name="MS_max0">Stabilito!#REF!</definedName>
    <definedName name="MS_min">Stabilito!$H$29</definedName>
    <definedName name="MS_min0">Stabilito!#REF!</definedName>
    <definedName name="n_ail">Stabilito!$C$28</definedName>
    <definedName name="n_can">Stabilito!$D$28</definedName>
    <definedName name="n_int" localSheetId="0">Stabilito!$E$28</definedName>
    <definedName name="Nb_diam">Stabilito!$M$4</definedName>
    <definedName name="Nb_sat">Trajecto!$D$23</definedName>
    <definedName name="Nom">Stabilito!$C$8</definedName>
    <definedName name="p_ail">Stabilito!$C$29</definedName>
    <definedName name="p_can">Stabilito!$D$29</definedName>
    <definedName name="p_int" localSheetId="0">Stabilito!$E$29</definedName>
    <definedName name="pas">Calculs!$A$4:$A$1004</definedName>
    <definedName name="Poids">Calculs!$T$4:$T$1004</definedName>
    <definedName name="Portee_balistique">Trajecto!$J$28</definedName>
    <definedName name="pos_x">Calculs!$J$4:$J$1004</definedName>
    <definedName name="pos_xz">Calculs!$L$4:$L$1004</definedName>
    <definedName name="pos_z">Calculs!$K$4:$K$1004</definedName>
    <definedName name="pos_z_montant">Calculs!$AE$4:$AE$1004</definedName>
    <definedName name="Poussee">Calculs!$Q$4:$Q$1004</definedName>
    <definedName name="Propu">Stabilito!$C$17</definedName>
    <definedName name="Q_ail">Stabilito!$C$32</definedName>
    <definedName name="Q_can">Stabilito!$D$32</definedName>
    <definedName name="Q_int" localSheetId="0">Stabilito!$E$32</definedName>
    <definedName name="Q_var">Abaco!$C$41:$C$67</definedName>
    <definedName name="R_rampe">Calculs!$U$4:$U$1004</definedName>
    <definedName name="Rho">Calculs!$V$4:$V$1004</definedName>
    <definedName name="Rho_moyen">Info!$E$53</definedName>
    <definedName name="S_ail">Controle!$H$64</definedName>
    <definedName name="S_para">Trajecto!$C$27</definedName>
    <definedName name="S_para_croix">Trajecto!$B$47</definedName>
    <definedName name="S_para_rond">Trajecto!$B$55</definedName>
    <definedName name="S_satellite">Trajecto!$D$27</definedName>
    <definedName name="Sref">Trajecto!$C$14</definedName>
    <definedName name="sS">Trajecto!$F$132</definedName>
    <definedName name="t">Calculs!$B$4:$B$1004</definedName>
    <definedName name="T_balistique">Trajecto!$H$28</definedName>
    <definedName name="T_ini">Trajecto!$H$40</definedName>
    <definedName name="T_para">Trajecto!$C$113</definedName>
    <definedName name="T_satellite">Trajecto!$D$26</definedName>
    <definedName name="Temps_culmi">Trajecto!$H$26</definedName>
    <definedName name="Temps_fin_propu">Propu!$X$3</definedName>
    <definedName name="Trainee">Calculs!$W$4:$W$1004</definedName>
    <definedName name="tT_fus">Trajecto!$F$133</definedName>
    <definedName name="tT_sat">Trajecto!$F$150</definedName>
    <definedName name="Type_fusee">Stabilito!$C$10</definedName>
    <definedName name="Type_masquage" localSheetId="5">Stabilito!$C$26</definedName>
    <definedName name="Type_masquage" localSheetId="0">Stabilito!$C$26</definedName>
    <definedName name="Type_propu">Propu!$V$2</definedName>
    <definedName name="V_ini">Trajecto!$K$40</definedName>
    <definedName name="V_ouv_sat">Trajecto!$K$25</definedName>
    <definedName name="V_ouverture">Trajecto!$K$27</definedName>
    <definedName name="V_para">Trajecto!$C$30</definedName>
    <definedName name="V_prop">Abaco!$K$41:$K$67</definedName>
    <definedName name="V_satellite">Trajecto!$D$30</definedName>
    <definedName name="V_vent">Trajecto!$C$29</definedName>
    <definedName name="V_vent_sat">Trajecto!$D$29</definedName>
    <definedName name="Version" localSheetId="0">Stabilito!$Q$36</definedName>
    <definedName name="Version" localSheetId="1">Trajecto!$N$35</definedName>
    <definedName name="Vit_culmi">Trajecto!$K$26</definedName>
    <definedName name="Vit_max">Trajecto!$K$24</definedName>
    <definedName name="vit_x">Calculs!$G$4:$G$1004</definedName>
    <definedName name="vit_xz">Calculs!$I$4:$I$1004</definedName>
    <definedName name="vit_z">Calculs!$H$4:$H$1004</definedName>
    <definedName name="Vsortie_de_rampe">Trajecto!$K$23</definedName>
    <definedName name="X_ail">Stabilito!$C$33</definedName>
    <definedName name="X_can">Stabilito!$D$33</definedName>
    <definedName name="X_culmi">Trajecto!$J$26</definedName>
    <definedName name="X_ini">Trajecto!$J$40</definedName>
    <definedName name="X_int" localSheetId="0">Stabilito!$E$33</definedName>
    <definedName name="X_j">Stabilito!$M$9</definedName>
    <definedName name="X_para">Trajecto!$J$27</definedName>
    <definedName name="X_r">Stabilito!$O$9</definedName>
    <definedName name="X_satellite">Trajecto!$J$25</definedName>
    <definedName name="XcgPlein">Stabilito!$M$15</definedName>
    <definedName name="XcgSans">Stabilito!$P$15</definedName>
    <definedName name="XcgVide">Stabilito!$N$15</definedName>
    <definedName name="XCp" localSheetId="0">Stabilito!$H$31</definedName>
    <definedName name="XCp0">Stabilito!$I$31</definedName>
    <definedName name="XCpa" localSheetId="0">Stabilito!$M$20</definedName>
    <definedName name="XCpai" localSheetId="0">Stabilito!$M$19</definedName>
    <definedName name="XCpai0">Stabilito!$N$19</definedName>
    <definedName name="XCpc" localSheetId="0">Stabilito!$M$21</definedName>
    <definedName name="XCpi" localSheetId="0">Stabilito!$M$22</definedName>
    <definedName name="XCpi0">Stabilito!$N$22</definedName>
    <definedName name="XCpj" localSheetId="0">Stabilito!$M$23</definedName>
    <definedName name="XCpo" localSheetId="0">Stabilito!$M$18</definedName>
    <definedName name="XCpr" localSheetId="0">Stabilito!$M$24</definedName>
    <definedName name="XpropuPlein">Propu!$N$2</definedName>
    <definedName name="XpropuRef">Stabilito!$C$18</definedName>
    <definedName name="XpropuVide">Propu!$P$2</definedName>
    <definedName name="Z_ini">Trajecto!$I$40</definedName>
    <definedName name="_xlnm.Print_Area" localSheetId="5">Abaco!$A$1:$M$35</definedName>
    <definedName name="_xlnm.Print_Area" localSheetId="2">Courbes!$A$1:$K$78</definedName>
    <definedName name="_xlnm.Print_Area" localSheetId="0">Stabilito!$A$1:$Q$37</definedName>
    <definedName name="_xlnm.Print_Area" localSheetId="1">Trajecto!$A$1:$N$35</definedName>
    <definedName name="zZ_fus">Trajecto!$F$134</definedName>
    <definedName name="zZ_sat">Trajecto!$F$151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6" l="1"/>
  <c r="O7" i="6"/>
  <c r="C14" i="6"/>
  <c r="H6" i="7" s="1"/>
  <c r="K25" i="7"/>
  <c r="C18" i="1"/>
  <c r="H8" i="7" s="1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J304" i="4"/>
  <c r="B304" i="4"/>
  <c r="M7" i="6"/>
  <c r="C19" i="6"/>
  <c r="L322" i="4"/>
  <c r="L324" i="4"/>
  <c r="L325" i="4"/>
  <c r="L326" i="4"/>
  <c r="L320" i="4"/>
  <c r="L319" i="4"/>
  <c r="L318" i="4"/>
  <c r="L317" i="4"/>
  <c r="I321" i="4"/>
  <c r="I320" i="4"/>
  <c r="I319" i="4"/>
  <c r="I318" i="4"/>
  <c r="I317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J148" i="4"/>
  <c r="B148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S98" i="4"/>
  <c r="T98" i="4"/>
  <c r="U98" i="4"/>
  <c r="V98" i="4"/>
  <c r="W98" i="4"/>
  <c r="X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103" i="4"/>
  <c r="C98" i="4"/>
  <c r="X104" i="4"/>
  <c r="X105" i="4" s="1"/>
  <c r="W104" i="4"/>
  <c r="V104" i="4"/>
  <c r="U104" i="4"/>
  <c r="T104" i="4"/>
  <c r="S104" i="4"/>
  <c r="R104" i="4"/>
  <c r="Q104" i="4"/>
  <c r="P105" i="4" s="1"/>
  <c r="P104" i="4"/>
  <c r="O104" i="4"/>
  <c r="N105" i="4" s="1"/>
  <c r="N104" i="4"/>
  <c r="M104" i="4"/>
  <c r="L104" i="4"/>
  <c r="K104" i="4"/>
  <c r="J105" i="4" s="1"/>
  <c r="J104" i="4"/>
  <c r="I105" i="4" s="1"/>
  <c r="I104" i="4"/>
  <c r="H104" i="4"/>
  <c r="G104" i="4"/>
  <c r="F104" i="4"/>
  <c r="E104" i="4"/>
  <c r="D104" i="4"/>
  <c r="C104" i="4"/>
  <c r="B105" i="4" s="1"/>
  <c r="B104" i="4"/>
  <c r="L102" i="4"/>
  <c r="H102" i="4"/>
  <c r="B102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100" i="4" s="1"/>
  <c r="E99" i="4"/>
  <c r="D99" i="4"/>
  <c r="C99" i="4"/>
  <c r="B99" i="4"/>
  <c r="L97" i="4"/>
  <c r="H97" i="4"/>
  <c r="B97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D92" i="4" s="1"/>
  <c r="F92" i="4" s="1"/>
  <c r="H95" i="4"/>
  <c r="G95" i="4"/>
  <c r="F95" i="4"/>
  <c r="E95" i="4"/>
  <c r="D95" i="4"/>
  <c r="C95" i="4"/>
  <c r="B95" i="4"/>
  <c r="J92" i="4"/>
  <c r="B92" i="4"/>
  <c r="O344" i="4"/>
  <c r="O343" i="4"/>
  <c r="O342" i="4"/>
  <c r="O341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J203" i="4"/>
  <c r="B203" i="4"/>
  <c r="E5" i="7"/>
  <c r="H7" i="7"/>
  <c r="E7" i="7"/>
  <c r="E6" i="7"/>
  <c r="H9" i="7"/>
  <c r="K26" i="7"/>
  <c r="K23" i="7"/>
  <c r="J26" i="7"/>
  <c r="J25" i="7"/>
  <c r="J23" i="7"/>
  <c r="G27" i="7"/>
  <c r="G26" i="7"/>
  <c r="F26" i="7"/>
  <c r="G25" i="7"/>
  <c r="G24" i="7"/>
  <c r="F24" i="7"/>
  <c r="G23" i="7"/>
  <c r="F23" i="7"/>
  <c r="D27" i="7"/>
  <c r="D24" i="7"/>
  <c r="B31" i="6"/>
  <c r="B30" i="6"/>
  <c r="B29" i="6"/>
  <c r="B28" i="6"/>
  <c r="B27" i="6"/>
  <c r="B35" i="6"/>
  <c r="B34" i="6"/>
  <c r="B33" i="6"/>
  <c r="B32" i="6"/>
  <c r="U35" i="7"/>
  <c r="U34" i="7"/>
  <c r="U33" i="7"/>
  <c r="U32" i="7"/>
  <c r="U31" i="7"/>
  <c r="U30" i="7"/>
  <c r="P32" i="7"/>
  <c r="P31" i="7"/>
  <c r="Q34" i="7"/>
  <c r="P29" i="7"/>
  <c r="U20" i="7"/>
  <c r="Q17" i="7"/>
  <c r="U16" i="7"/>
  <c r="U13" i="7"/>
  <c r="Q12" i="7"/>
  <c r="U11" i="7"/>
  <c r="Q3" i="7"/>
  <c r="E17" i="7"/>
  <c r="E16" i="7"/>
  <c r="E15" i="7"/>
  <c r="E13" i="7"/>
  <c r="B52" i="1"/>
  <c r="B50" i="1"/>
  <c r="B55" i="1"/>
  <c r="D27" i="1"/>
  <c r="I69" i="7" s="1"/>
  <c r="D24" i="1"/>
  <c r="E29" i="1" s="1"/>
  <c r="C161" i="6"/>
  <c r="C162" i="6"/>
  <c r="C160" i="6"/>
  <c r="C159" i="6"/>
  <c r="C158" i="6"/>
  <c r="C25" i="6"/>
  <c r="M21" i="6"/>
  <c r="C140" i="6"/>
  <c r="C18" i="6"/>
  <c r="D25" i="7" s="1"/>
  <c r="F108" i="1"/>
  <c r="C113" i="1" s="1"/>
  <c r="C152" i="1"/>
  <c r="C150" i="1"/>
  <c r="C148" i="1"/>
  <c r="N33" i="1"/>
  <c r="C131" i="1"/>
  <c r="B25" i="1"/>
  <c r="J30" i="6"/>
  <c r="E191" i="6" s="1"/>
  <c r="G30" i="6"/>
  <c r="E182" i="6" s="1"/>
  <c r="J29" i="6"/>
  <c r="B188" i="6" s="1"/>
  <c r="G29" i="6"/>
  <c r="J28" i="6"/>
  <c r="C185" i="6" s="1"/>
  <c r="J27" i="6"/>
  <c r="G28" i="6"/>
  <c r="G27" i="6"/>
  <c r="W35" i="6"/>
  <c r="B100" i="6"/>
  <c r="B97" i="6"/>
  <c r="B98" i="6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S240" i="4"/>
  <c r="T240" i="4" s="1"/>
  <c r="U240" i="4" s="1"/>
  <c r="V240" i="4" s="1"/>
  <c r="W240" i="4" s="1"/>
  <c r="S239" i="4"/>
  <c r="T239" i="4" s="1"/>
  <c r="J238" i="4"/>
  <c r="B238" i="4"/>
  <c r="O321" i="4"/>
  <c r="O320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V130" i="4"/>
  <c r="U131" i="4" s="1"/>
  <c r="T131" i="4"/>
  <c r="J128" i="4"/>
  <c r="B128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T125" i="4"/>
  <c r="S126" i="4" s="1"/>
  <c r="J123" i="4"/>
  <c r="B123" i="4"/>
  <c r="O340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V255" i="4"/>
  <c r="W255" i="4" s="1"/>
  <c r="V254" i="4"/>
  <c r="W254" i="4" s="1"/>
  <c r="X254" i="4" s="1"/>
  <c r="J253" i="4"/>
  <c r="B253" i="4"/>
  <c r="O337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S235" i="4"/>
  <c r="T235" i="4" s="1"/>
  <c r="S234" i="4"/>
  <c r="R236" i="4" s="1"/>
  <c r="J233" i="4"/>
  <c r="B233" i="4"/>
  <c r="O346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S211" i="4"/>
  <c r="R211" i="4"/>
  <c r="J208" i="4"/>
  <c r="B208" i="4"/>
  <c r="O336" i="4"/>
  <c r="O335" i="4"/>
  <c r="O334" i="4"/>
  <c r="O333" i="4"/>
  <c r="O338" i="4"/>
  <c r="O339" i="4"/>
  <c r="O345" i="4"/>
  <c r="O323" i="4"/>
  <c r="O324" i="4"/>
  <c r="O325" i="4"/>
  <c r="O326" i="4"/>
  <c r="O327" i="4"/>
  <c r="O319" i="4"/>
  <c r="O322" i="4"/>
  <c r="O328" i="4"/>
  <c r="O329" i="4"/>
  <c r="O330" i="4"/>
  <c r="O331" i="4"/>
  <c r="O332" i="4"/>
  <c r="O318" i="4"/>
  <c r="O317" i="4"/>
  <c r="U256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D228" i="4" s="1"/>
  <c r="F228" i="4" s="1"/>
  <c r="G231" i="4"/>
  <c r="F231" i="4"/>
  <c r="E231" i="4"/>
  <c r="D231" i="4"/>
  <c r="C231" i="4"/>
  <c r="B231" i="4"/>
  <c r="J228" i="4"/>
  <c r="B228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T225" i="4"/>
  <c r="U225" i="4" s="1"/>
  <c r="R226" i="4"/>
  <c r="T224" i="4"/>
  <c r="U224" i="4" s="1"/>
  <c r="V224" i="4" s="1"/>
  <c r="W224" i="4" s="1"/>
  <c r="J223" i="4"/>
  <c r="B223" i="4"/>
  <c r="V249" i="4"/>
  <c r="W249" i="4" s="1"/>
  <c r="W244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J248" i="4"/>
  <c r="B248" i="4"/>
  <c r="J246" i="4"/>
  <c r="I246" i="4"/>
  <c r="H246" i="4"/>
  <c r="G246" i="4"/>
  <c r="F246" i="4"/>
  <c r="E246" i="4"/>
  <c r="D246" i="4"/>
  <c r="C246" i="4"/>
  <c r="B246" i="4"/>
  <c r="J243" i="4"/>
  <c r="B243" i="4"/>
  <c r="L194" i="4"/>
  <c r="K196" i="4" s="1"/>
  <c r="R334" i="4"/>
  <c r="R335" i="4"/>
  <c r="R336" i="4"/>
  <c r="R337" i="4"/>
  <c r="R338" i="4"/>
  <c r="R339" i="4"/>
  <c r="S195" i="4"/>
  <c r="T195" i="4" s="1"/>
  <c r="U195" i="4" s="1"/>
  <c r="V195" i="4" s="1"/>
  <c r="W195" i="4" s="1"/>
  <c r="X195" i="4" s="1"/>
  <c r="X196" i="4" s="1"/>
  <c r="J196" i="4"/>
  <c r="I196" i="4"/>
  <c r="H196" i="4"/>
  <c r="G196" i="4"/>
  <c r="F196" i="4"/>
  <c r="E196" i="4"/>
  <c r="D196" i="4"/>
  <c r="C196" i="4"/>
  <c r="B196" i="4"/>
  <c r="J193" i="4"/>
  <c r="B193" i="4"/>
  <c r="S200" i="4"/>
  <c r="T200" i="4" s="1"/>
  <c r="S199" i="4"/>
  <c r="T199" i="4" s="1"/>
  <c r="U199" i="4" s="1"/>
  <c r="V199" i="4" s="1"/>
  <c r="W199" i="4" s="1"/>
  <c r="X199" i="4" s="1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J198" i="4"/>
  <c r="B198" i="4"/>
  <c r="B213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S215" i="4"/>
  <c r="T215" i="4" s="1"/>
  <c r="S214" i="4"/>
  <c r="J213" i="4"/>
  <c r="A2" i="4"/>
  <c r="B133" i="4"/>
  <c r="B4" i="3"/>
  <c r="AC4" i="3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J133" i="4"/>
  <c r="N4" i="3"/>
  <c r="M4" i="3" s="1"/>
  <c r="J4" i="3"/>
  <c r="K4" i="3"/>
  <c r="V4" i="3" s="1"/>
  <c r="I4" i="3"/>
  <c r="B113" i="4"/>
  <c r="M18" i="6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U115" i="4"/>
  <c r="T116" i="4" s="1"/>
  <c r="J113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T165" i="4"/>
  <c r="S166" i="4" s="1"/>
  <c r="X164" i="4"/>
  <c r="L163" i="4"/>
  <c r="J163" i="4" s="1"/>
  <c r="B47" i="1"/>
  <c r="C27" i="1" s="1"/>
  <c r="D29" i="1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J26" i="4"/>
  <c r="B34" i="4"/>
  <c r="C34" i="4"/>
  <c r="D34" i="4"/>
  <c r="D31" i="4" s="1"/>
  <c r="F31" i="4" s="1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J31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J3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J41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J46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J51" i="4"/>
  <c r="B59" i="4"/>
  <c r="C59" i="4"/>
  <c r="D59" i="4"/>
  <c r="E59" i="4"/>
  <c r="F59" i="4"/>
  <c r="G59" i="4"/>
  <c r="H59" i="4"/>
  <c r="I59" i="4"/>
  <c r="D56" i="4" s="1"/>
  <c r="F56" i="4" s="1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J56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J61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J67" i="4"/>
  <c r="B75" i="4"/>
  <c r="C75" i="4"/>
  <c r="D75" i="4"/>
  <c r="E75" i="4"/>
  <c r="F75" i="4"/>
  <c r="G75" i="4"/>
  <c r="H75" i="4"/>
  <c r="I75" i="4"/>
  <c r="D72" i="4" s="1"/>
  <c r="F72" i="4" s="1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J72" i="4"/>
  <c r="B80" i="4"/>
  <c r="C80" i="4"/>
  <c r="D80" i="4"/>
  <c r="D77" i="4" s="1"/>
  <c r="F77" i="4" s="1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J77" i="4"/>
  <c r="C84" i="4"/>
  <c r="B84" i="4"/>
  <c r="D84" i="4"/>
  <c r="D85" i="4" s="1"/>
  <c r="E84" i="4"/>
  <c r="F84" i="4"/>
  <c r="E85" i="4" s="1"/>
  <c r="G84" i="4"/>
  <c r="F85" i="4" s="1"/>
  <c r="H84" i="4"/>
  <c r="I84" i="4"/>
  <c r="J84" i="4"/>
  <c r="K84" i="4"/>
  <c r="L84" i="4"/>
  <c r="L85" i="4" s="1"/>
  <c r="M84" i="4"/>
  <c r="N84" i="4"/>
  <c r="O84" i="4"/>
  <c r="N85" i="4" s="1"/>
  <c r="P84" i="4"/>
  <c r="O85" i="4" s="1"/>
  <c r="Q84" i="4"/>
  <c r="R84" i="4"/>
  <c r="S84" i="4"/>
  <c r="T84" i="4"/>
  <c r="U84" i="4"/>
  <c r="V84" i="4"/>
  <c r="W84" i="4"/>
  <c r="V85" i="4" s="1"/>
  <c r="X84" i="4"/>
  <c r="H82" i="4"/>
  <c r="L82" i="4"/>
  <c r="C89" i="4"/>
  <c r="B89" i="4"/>
  <c r="D89" i="4"/>
  <c r="E89" i="4"/>
  <c r="F89" i="4"/>
  <c r="G89" i="4"/>
  <c r="F90" i="4" s="1"/>
  <c r="H89" i="4"/>
  <c r="G90" i="4" s="1"/>
  <c r="I89" i="4"/>
  <c r="J89" i="4"/>
  <c r="K89" i="4"/>
  <c r="K90" i="4" s="1"/>
  <c r="L89" i="4"/>
  <c r="M89" i="4"/>
  <c r="N89" i="4"/>
  <c r="O89" i="4"/>
  <c r="P89" i="4"/>
  <c r="O90" i="4" s="1"/>
  <c r="Q89" i="4"/>
  <c r="R89" i="4"/>
  <c r="S89" i="4"/>
  <c r="S90" i="4" s="1"/>
  <c r="T89" i="4"/>
  <c r="U89" i="4"/>
  <c r="V89" i="4"/>
  <c r="W89" i="4"/>
  <c r="V90" i="4" s="1"/>
  <c r="X89" i="4"/>
  <c r="X90" i="4" s="1"/>
  <c r="H87" i="4"/>
  <c r="L87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T110" i="4"/>
  <c r="S111" i="4" s="1"/>
  <c r="J108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T120" i="4"/>
  <c r="S121" i="4" s="1"/>
  <c r="J118" i="4"/>
  <c r="B141" i="4"/>
  <c r="C141" i="4"/>
  <c r="D141" i="4"/>
  <c r="D138" i="4" s="1"/>
  <c r="F138" i="4" s="1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J138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J143" i="4"/>
  <c r="B156" i="4"/>
  <c r="C156" i="4"/>
  <c r="D156" i="4"/>
  <c r="D153" i="4" s="1"/>
  <c r="F153" i="4" s="1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J153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J158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J168" i="4"/>
  <c r="B176" i="4"/>
  <c r="C176" i="4"/>
  <c r="D176" i="4"/>
  <c r="E176" i="4"/>
  <c r="F176" i="4"/>
  <c r="G176" i="4"/>
  <c r="H176" i="4"/>
  <c r="I176" i="4"/>
  <c r="D173" i="4" s="1"/>
  <c r="F173" i="4" s="1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J173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J178" i="4"/>
  <c r="B186" i="4"/>
  <c r="C186" i="4"/>
  <c r="D186" i="4"/>
  <c r="E186" i="4"/>
  <c r="F186" i="4"/>
  <c r="G186" i="4"/>
  <c r="H186" i="4"/>
  <c r="I186" i="4"/>
  <c r="D183" i="4" s="1"/>
  <c r="F183" i="4" s="1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J183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T190" i="4"/>
  <c r="U190" i="4" s="1"/>
  <c r="X189" i="4"/>
  <c r="L188" i="4"/>
  <c r="J188" i="4" s="1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J218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J258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J263" i="4"/>
  <c r="B272" i="4"/>
  <c r="C272" i="4"/>
  <c r="D269" i="4" s="1"/>
  <c r="F269" i="4" s="1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J269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J274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J279" i="4"/>
  <c r="B287" i="4"/>
  <c r="D284" i="4" s="1"/>
  <c r="F284" i="4" s="1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J284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J289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J294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J299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J309" i="4"/>
  <c r="A316" i="4"/>
  <c r="B26" i="4"/>
  <c r="N26" i="4"/>
  <c r="B31" i="4"/>
  <c r="N31" i="4"/>
  <c r="B36" i="4"/>
  <c r="N36" i="4"/>
  <c r="B41" i="4"/>
  <c r="N41" i="4"/>
  <c r="B46" i="4"/>
  <c r="N46" i="4"/>
  <c r="B51" i="4"/>
  <c r="N51" i="4"/>
  <c r="B56" i="4"/>
  <c r="N56" i="4"/>
  <c r="B61" i="4"/>
  <c r="N61" i="4"/>
  <c r="B67" i="4"/>
  <c r="B72" i="4"/>
  <c r="B77" i="4"/>
  <c r="B82" i="4"/>
  <c r="B87" i="4"/>
  <c r="B108" i="4"/>
  <c r="B118" i="4"/>
  <c r="B138" i="4"/>
  <c r="B143" i="4"/>
  <c r="B153" i="4"/>
  <c r="B158" i="4"/>
  <c r="B163" i="4"/>
  <c r="B168" i="4"/>
  <c r="B173" i="4"/>
  <c r="B178" i="4"/>
  <c r="B183" i="4"/>
  <c r="B188" i="4"/>
  <c r="B218" i="4"/>
  <c r="B258" i="4"/>
  <c r="B263" i="4"/>
  <c r="B269" i="4"/>
  <c r="B274" i="4"/>
  <c r="B279" i="4"/>
  <c r="B284" i="4"/>
  <c r="B289" i="4"/>
  <c r="B294" i="4"/>
  <c r="B299" i="4"/>
  <c r="B309" i="4"/>
  <c r="E116" i="7"/>
  <c r="F85" i="7"/>
  <c r="H118" i="7"/>
  <c r="H111" i="7"/>
  <c r="E102" i="7"/>
  <c r="E103" i="7"/>
  <c r="E104" i="7"/>
  <c r="E100" i="7"/>
  <c r="H105" i="7"/>
  <c r="J105" i="7"/>
  <c r="J101" i="7"/>
  <c r="F97" i="7"/>
  <c r="J92" i="7"/>
  <c r="J88" i="7"/>
  <c r="J86" i="7"/>
  <c r="J84" i="7"/>
  <c r="F90" i="7"/>
  <c r="F82" i="7"/>
  <c r="D85" i="7"/>
  <c r="D83" i="7"/>
  <c r="D81" i="7"/>
  <c r="D80" i="7"/>
  <c r="B19" i="6"/>
  <c r="F321" i="4"/>
  <c r="F320" i="4"/>
  <c r="C21" i="5"/>
  <c r="C20" i="5"/>
  <c r="C26" i="5"/>
  <c r="C22" i="5"/>
  <c r="C17" i="5"/>
  <c r="C19" i="5"/>
  <c r="C16" i="5"/>
  <c r="C15" i="5"/>
  <c r="L2" i="6"/>
  <c r="C317" i="4"/>
  <c r="F317" i="4"/>
  <c r="R317" i="4"/>
  <c r="C318" i="4"/>
  <c r="F318" i="4"/>
  <c r="R318" i="4"/>
  <c r="C319" i="4"/>
  <c r="F319" i="4"/>
  <c r="C320" i="4"/>
  <c r="C321" i="4"/>
  <c r="C322" i="4"/>
  <c r="C323" i="4"/>
  <c r="C324" i="4"/>
  <c r="B146" i="2"/>
  <c r="B35" i="1"/>
  <c r="B36" i="6"/>
  <c r="B15" i="8"/>
  <c r="B76" i="2"/>
  <c r="B11" i="8"/>
  <c r="B107" i="1"/>
  <c r="F42" i="5"/>
  <c r="B71" i="8"/>
  <c r="B78" i="8"/>
  <c r="C5" i="8"/>
  <c r="B76" i="8"/>
  <c r="B74" i="8"/>
  <c r="B73" i="8"/>
  <c r="B10" i="8"/>
  <c r="C4" i="8"/>
  <c r="C16" i="8"/>
  <c r="C14" i="8"/>
  <c r="C12" i="8"/>
  <c r="B12" i="8"/>
  <c r="C9" i="8"/>
  <c r="C8" i="8"/>
  <c r="B8" i="8"/>
  <c r="C7" i="8"/>
  <c r="N36" i="6"/>
  <c r="C51" i="5"/>
  <c r="C53" i="5"/>
  <c r="T18" i="6"/>
  <c r="S17" i="6"/>
  <c r="S19" i="6"/>
  <c r="S18" i="6"/>
  <c r="S13" i="6"/>
  <c r="S14" i="6"/>
  <c r="S12" i="6"/>
  <c r="T16" i="6"/>
  <c r="T11" i="6"/>
  <c r="L38" i="6"/>
  <c r="B93" i="1"/>
  <c r="B79" i="2"/>
  <c r="H64" i="7"/>
  <c r="H63" i="7" s="1"/>
  <c r="E59" i="7"/>
  <c r="E55" i="7"/>
  <c r="H52" i="7"/>
  <c r="D45" i="7"/>
  <c r="E44" i="7"/>
  <c r="D44" i="7"/>
  <c r="E46" i="7"/>
  <c r="D46" i="7"/>
  <c r="E43" i="7"/>
  <c r="D43" i="7"/>
  <c r="E41" i="7"/>
  <c r="E50" i="7"/>
  <c r="E48" i="7"/>
  <c r="E47" i="7"/>
  <c r="H50" i="7"/>
  <c r="E51" i="7"/>
  <c r="C31" i="7"/>
  <c r="C5" i="5"/>
  <c r="C6" i="5"/>
  <c r="C7" i="5"/>
  <c r="C8" i="5"/>
  <c r="C10" i="5"/>
  <c r="C11" i="5"/>
  <c r="C12" i="5"/>
  <c r="C13" i="5"/>
  <c r="C23" i="5"/>
  <c r="C25" i="5"/>
  <c r="C28" i="5"/>
  <c r="C33" i="5"/>
  <c r="F34" i="5"/>
  <c r="F35" i="5"/>
  <c r="F36" i="5"/>
  <c r="F37" i="5"/>
  <c r="F38" i="5"/>
  <c r="F39" i="5"/>
  <c r="F40" i="5"/>
  <c r="C52" i="5"/>
  <c r="A1" i="4"/>
  <c r="A3" i="4"/>
  <c r="A4" i="4"/>
  <c r="B77" i="2"/>
  <c r="B78" i="2"/>
  <c r="B131" i="2"/>
  <c r="B133" i="2"/>
  <c r="B134" i="2"/>
  <c r="B135" i="2"/>
  <c r="B137" i="2"/>
  <c r="B138" i="2"/>
  <c r="B140" i="2"/>
  <c r="B141" i="2"/>
  <c r="B144" i="2"/>
  <c r="C4" i="1"/>
  <c r="C6" i="1"/>
  <c r="C7" i="1"/>
  <c r="C23" i="1" s="1"/>
  <c r="B8" i="1"/>
  <c r="C8" i="1"/>
  <c r="C9" i="1"/>
  <c r="B10" i="1"/>
  <c r="B11" i="1"/>
  <c r="C11" i="1"/>
  <c r="C13" i="1"/>
  <c r="C17" i="1"/>
  <c r="B18" i="1"/>
  <c r="B19" i="1"/>
  <c r="C22" i="1"/>
  <c r="G22" i="1"/>
  <c r="H22" i="1"/>
  <c r="J22" i="1"/>
  <c r="K22" i="1"/>
  <c r="F23" i="1"/>
  <c r="B24" i="1"/>
  <c r="F24" i="1"/>
  <c r="B26" i="1"/>
  <c r="F25" i="1"/>
  <c r="H25" i="1"/>
  <c r="F27" i="1"/>
  <c r="B29" i="1"/>
  <c r="F28" i="1"/>
  <c r="B30" i="1"/>
  <c r="B31" i="1"/>
  <c r="H31" i="1"/>
  <c r="B32" i="1"/>
  <c r="F32" i="1"/>
  <c r="B33" i="1"/>
  <c r="F33" i="1"/>
  <c r="F34" i="1"/>
  <c r="A38" i="1"/>
  <c r="F38" i="1"/>
  <c r="H38" i="1"/>
  <c r="J38" i="1"/>
  <c r="K38" i="1"/>
  <c r="F40" i="1"/>
  <c r="M40" i="1"/>
  <c r="F41" i="1"/>
  <c r="B42" i="1"/>
  <c r="F42" i="1"/>
  <c r="F43" i="1"/>
  <c r="B44" i="1"/>
  <c r="F45" i="1"/>
  <c r="F46" i="1"/>
  <c r="F47" i="1"/>
  <c r="L47" i="1"/>
  <c r="F48" i="1"/>
  <c r="H48" i="1"/>
  <c r="F49" i="1"/>
  <c r="I49" i="1"/>
  <c r="L49" i="1"/>
  <c r="M49" i="1"/>
  <c r="B102" i="1"/>
  <c r="B109" i="1"/>
  <c r="B110" i="1"/>
  <c r="B111" i="1"/>
  <c r="B112" i="1"/>
  <c r="B113" i="1"/>
  <c r="B117" i="1"/>
  <c r="C140" i="1"/>
  <c r="C142" i="1"/>
  <c r="C144" i="1"/>
  <c r="B148" i="1"/>
  <c r="C4" i="6"/>
  <c r="C6" i="6"/>
  <c r="L6" i="6"/>
  <c r="C7" i="6"/>
  <c r="L7" i="6"/>
  <c r="B8" i="6"/>
  <c r="L8" i="6"/>
  <c r="L9" i="6"/>
  <c r="B11" i="6"/>
  <c r="M11" i="6"/>
  <c r="N11" i="6"/>
  <c r="P11" i="6"/>
  <c r="B12" i="6"/>
  <c r="L12" i="6"/>
  <c r="B13" i="6"/>
  <c r="L13" i="6"/>
  <c r="B14" i="6"/>
  <c r="L14" i="6"/>
  <c r="L15" i="6"/>
  <c r="C16" i="6"/>
  <c r="B18" i="6"/>
  <c r="L18" i="6"/>
  <c r="L19" i="6"/>
  <c r="C20" i="6"/>
  <c r="L20" i="6"/>
  <c r="B21" i="6"/>
  <c r="L21" i="6"/>
  <c r="B22" i="6"/>
  <c r="L22" i="6"/>
  <c r="B23" i="6"/>
  <c r="D25" i="6"/>
  <c r="F26" i="6"/>
  <c r="H26" i="6"/>
  <c r="E27" i="6"/>
  <c r="F28" i="6"/>
  <c r="F29" i="6"/>
  <c r="F30" i="6"/>
  <c r="E31" i="6"/>
  <c r="E32" i="6"/>
  <c r="D35" i="6"/>
  <c r="B91" i="6"/>
  <c r="B96" i="6"/>
  <c r="B103" i="6"/>
  <c r="B104" i="6"/>
  <c r="B105" i="6"/>
  <c r="B107" i="6"/>
  <c r="B108" i="6"/>
  <c r="B109" i="6"/>
  <c r="B114" i="6"/>
  <c r="B115" i="6"/>
  <c r="B117" i="6"/>
  <c r="B118" i="6"/>
  <c r="B119" i="6"/>
  <c r="B121" i="6"/>
  <c r="C124" i="6"/>
  <c r="E124" i="6"/>
  <c r="C125" i="6"/>
  <c r="C126" i="6" s="1"/>
  <c r="C127" i="6" s="1"/>
  <c r="C128" i="6" s="1"/>
  <c r="C129" i="6" s="1"/>
  <c r="D125" i="6"/>
  <c r="E125" i="6" s="1"/>
  <c r="C130" i="6"/>
  <c r="C131" i="6"/>
  <c r="E131" i="6"/>
  <c r="B137" i="6"/>
  <c r="B140" i="6"/>
  <c r="B146" i="6"/>
  <c r="B155" i="6"/>
  <c r="E175" i="6"/>
  <c r="C176" i="6"/>
  <c r="F176" i="6"/>
  <c r="G176" i="6"/>
  <c r="D176" i="6" s="1"/>
  <c r="E176" i="6" s="1"/>
  <c r="H176" i="6"/>
  <c r="C177" i="6"/>
  <c r="F177" i="6"/>
  <c r="G177" i="6"/>
  <c r="D177" i="6" s="1"/>
  <c r="E177" i="6" s="1"/>
  <c r="H177" i="6"/>
  <c r="C178" i="6"/>
  <c r="F178" i="6"/>
  <c r="G178" i="6"/>
  <c r="H178" i="6"/>
  <c r="C179" i="6"/>
  <c r="F179" i="6"/>
  <c r="G179" i="6"/>
  <c r="D179" i="6" s="1"/>
  <c r="E179" i="6" s="1"/>
  <c r="H179" i="6"/>
  <c r="C180" i="6"/>
  <c r="D180" i="6"/>
  <c r="E180" i="6" s="1"/>
  <c r="F180" i="6"/>
  <c r="G180" i="6"/>
  <c r="H180" i="6"/>
  <c r="U120" i="4"/>
  <c r="T121" i="4" s="1"/>
  <c r="W85" i="4"/>
  <c r="U85" i="4"/>
  <c r="M85" i="4"/>
  <c r="G85" i="4"/>
  <c r="V115" i="4"/>
  <c r="D133" i="4"/>
  <c r="F133" i="4" s="1"/>
  <c r="J87" i="4"/>
  <c r="Q90" i="4"/>
  <c r="I90" i="4"/>
  <c r="T214" i="4"/>
  <c r="U214" i="4" s="1"/>
  <c r="V214" i="4" s="1"/>
  <c r="W214" i="4" s="1"/>
  <c r="D263" i="4"/>
  <c r="F263" i="4" s="1"/>
  <c r="X85" i="4"/>
  <c r="T85" i="4"/>
  <c r="R85" i="4"/>
  <c r="P85" i="4"/>
  <c r="J85" i="4"/>
  <c r="H85" i="4"/>
  <c r="B85" i="4"/>
  <c r="V120" i="4"/>
  <c r="W120" i="4" s="1"/>
  <c r="T90" i="4"/>
  <c r="R90" i="4"/>
  <c r="N90" i="4"/>
  <c r="L90" i="4"/>
  <c r="D90" i="4"/>
  <c r="D51" i="4"/>
  <c r="F51" i="4" s="1"/>
  <c r="D36" i="4"/>
  <c r="F36" i="4" s="1"/>
  <c r="U165" i="4"/>
  <c r="T166" i="4" s="1"/>
  <c r="R201" i="4"/>
  <c r="T211" i="4"/>
  <c r="S226" i="4"/>
  <c r="S251" i="4"/>
  <c r="L246" i="4"/>
  <c r="K246" i="4"/>
  <c r="R251" i="4"/>
  <c r="U116" i="4"/>
  <c r="W115" i="4"/>
  <c r="X115" i="4" s="1"/>
  <c r="V116" i="4"/>
  <c r="U211" i="4"/>
  <c r="M246" i="4"/>
  <c r="V250" i="4"/>
  <c r="U251" i="4" s="1"/>
  <c r="T251" i="4"/>
  <c r="V211" i="4"/>
  <c r="N246" i="4"/>
  <c r="X245" i="4"/>
  <c r="X246" i="4" s="1"/>
  <c r="W211" i="4"/>
  <c r="X211" i="4"/>
  <c r="O246" i="4"/>
  <c r="P246" i="4"/>
  <c r="Q246" i="4"/>
  <c r="R246" i="4"/>
  <c r="S246" i="4"/>
  <c r="T246" i="4"/>
  <c r="U246" i="4"/>
  <c r="X244" i="4"/>
  <c r="V246" i="4"/>
  <c r="W130" i="4"/>
  <c r="V131" i="4" s="1"/>
  <c r="U125" i="4"/>
  <c r="V125" i="4" s="1"/>
  <c r="R241" i="4"/>
  <c r="T126" i="4"/>
  <c r="P14" i="6"/>
  <c r="E11" i="7" s="1"/>
  <c r="C163" i="6"/>
  <c r="S191" i="4"/>
  <c r="O21" i="6"/>
  <c r="C167" i="6"/>
  <c r="C166" i="6"/>
  <c r="D161" i="6"/>
  <c r="E161" i="6" s="1"/>
  <c r="D158" i="6"/>
  <c r="E158" i="6" s="1"/>
  <c r="D162" i="6"/>
  <c r="E162" i="6" s="1"/>
  <c r="D160" i="6"/>
  <c r="E160" i="6" s="1"/>
  <c r="D159" i="6"/>
  <c r="E159" i="6" s="1"/>
  <c r="D166" i="6"/>
  <c r="E166" i="6" s="1"/>
  <c r="D167" i="6"/>
  <c r="E167" i="6" s="1"/>
  <c r="D163" i="6"/>
  <c r="E163" i="6" s="1"/>
  <c r="D165" i="6"/>
  <c r="E165" i="6" s="1"/>
  <c r="D164" i="6"/>
  <c r="E164" i="6" s="1"/>
  <c r="C165" i="6"/>
  <c r="O22" i="6"/>
  <c r="M22" i="6"/>
  <c r="C164" i="6"/>
  <c r="S206" i="4"/>
  <c r="R206" i="4"/>
  <c r="T206" i="4"/>
  <c r="U206" i="4"/>
  <c r="X205" i="4"/>
  <c r="W206" i="4" s="1"/>
  <c r="V206" i="4"/>
  <c r="X100" i="4"/>
  <c r="L105" i="4"/>
  <c r="C105" i="4"/>
  <c r="G105" i="4"/>
  <c r="K105" i="4"/>
  <c r="O105" i="4"/>
  <c r="S100" i="4"/>
  <c r="U100" i="4"/>
  <c r="H100" i="4"/>
  <c r="Q100" i="4"/>
  <c r="Q105" i="4"/>
  <c r="H4" i="3" l="1"/>
  <c r="D34" i="6"/>
  <c r="F25" i="7"/>
  <c r="C35" i="6"/>
  <c r="E45" i="7"/>
  <c r="B143" i="6"/>
  <c r="J97" i="7"/>
  <c r="C133" i="6"/>
  <c r="E188" i="6"/>
  <c r="E192" i="6"/>
  <c r="C184" i="6"/>
  <c r="C197" i="6"/>
  <c r="B197" i="6" s="1"/>
  <c r="C198" i="6"/>
  <c r="B189" i="6"/>
  <c r="E127" i="7"/>
  <c r="H69" i="7"/>
  <c r="E8" i="7"/>
  <c r="C148" i="6"/>
  <c r="V165" i="4"/>
  <c r="U166" i="4" s="1"/>
  <c r="J90" i="4"/>
  <c r="W90" i="4"/>
  <c r="D178" i="4"/>
  <c r="F178" i="4" s="1"/>
  <c r="D168" i="4"/>
  <c r="F168" i="4" s="1"/>
  <c r="D158" i="4"/>
  <c r="F158" i="4" s="1"/>
  <c r="D143" i="4"/>
  <c r="F143" i="4" s="1"/>
  <c r="P90" i="4"/>
  <c r="H90" i="4"/>
  <c r="J82" i="4"/>
  <c r="Q85" i="4"/>
  <c r="I85" i="4"/>
  <c r="T234" i="4"/>
  <c r="U234" i="4" s="1"/>
  <c r="V234" i="4" s="1"/>
  <c r="W234" i="4" s="1"/>
  <c r="L100" i="4"/>
  <c r="R105" i="4"/>
  <c r="L4" i="3"/>
  <c r="B79" i="8"/>
  <c r="M194" i="4"/>
  <c r="V100" i="4"/>
  <c r="E105" i="4"/>
  <c r="S105" i="4"/>
  <c r="D279" i="4"/>
  <c r="F279" i="4" s="1"/>
  <c r="U90" i="4"/>
  <c r="E90" i="4"/>
  <c r="G100" i="4"/>
  <c r="P100" i="4"/>
  <c r="T105" i="4"/>
  <c r="B77" i="8"/>
  <c r="D274" i="4"/>
  <c r="F274" i="4" s="1"/>
  <c r="D258" i="4"/>
  <c r="F258" i="4" s="1"/>
  <c r="D218" i="4"/>
  <c r="F218" i="4" s="1"/>
  <c r="M90" i="4"/>
  <c r="C182" i="6"/>
  <c r="R216" i="4"/>
  <c r="M20" i="6"/>
  <c r="B100" i="4"/>
  <c r="J100" i="4"/>
  <c r="C136" i="6"/>
  <c r="C90" i="4"/>
  <c r="S85" i="4"/>
  <c r="K85" i="4"/>
  <c r="D67" i="4"/>
  <c r="F67" i="4" s="1"/>
  <c r="D61" i="4"/>
  <c r="F61" i="4" s="1"/>
  <c r="D46" i="4"/>
  <c r="F46" i="4" s="1"/>
  <c r="D41" i="4"/>
  <c r="F41" i="4" s="1"/>
  <c r="D26" i="4"/>
  <c r="F26" i="4" s="1"/>
  <c r="R100" i="4"/>
  <c r="E185" i="6"/>
  <c r="W116" i="4"/>
  <c r="D113" i="4" s="1"/>
  <c r="F113" i="4" s="1"/>
  <c r="X116" i="4"/>
  <c r="X120" i="4"/>
  <c r="V121" i="4"/>
  <c r="U239" i="4"/>
  <c r="V239" i="4" s="1"/>
  <c r="W239" i="4" s="1"/>
  <c r="X239" i="4" s="1"/>
  <c r="S241" i="4"/>
  <c r="U126" i="4"/>
  <c r="W125" i="4"/>
  <c r="S216" i="4"/>
  <c r="U215" i="4"/>
  <c r="T216" i="4" s="1"/>
  <c r="D309" i="4"/>
  <c r="F309" i="4" s="1"/>
  <c r="D299" i="4"/>
  <c r="F299" i="4" s="1"/>
  <c r="D294" i="4"/>
  <c r="F294" i="4" s="1"/>
  <c r="D208" i="4"/>
  <c r="F208" i="4" s="1"/>
  <c r="B90" i="4"/>
  <c r="W165" i="4"/>
  <c r="U121" i="4"/>
  <c r="U110" i="4"/>
  <c r="J97" i="4"/>
  <c r="F100" i="4"/>
  <c r="N100" i="4"/>
  <c r="T100" i="4"/>
  <c r="V105" i="4"/>
  <c r="T241" i="4"/>
  <c r="C100" i="4"/>
  <c r="W100" i="4"/>
  <c r="H105" i="4"/>
  <c r="U105" i="4"/>
  <c r="D126" i="6"/>
  <c r="W250" i="4"/>
  <c r="X250" i="4" s="1"/>
  <c r="X251" i="4" s="1"/>
  <c r="D289" i="4"/>
  <c r="F289" i="4" s="1"/>
  <c r="X130" i="4"/>
  <c r="W246" i="4"/>
  <c r="D243" i="4" s="1"/>
  <c r="F243" i="4" s="1"/>
  <c r="C85" i="4"/>
  <c r="B199" i="6"/>
  <c r="D100" i="4"/>
  <c r="J102" i="4"/>
  <c r="F105" i="4"/>
  <c r="M105" i="4"/>
  <c r="E186" i="6"/>
  <c r="E187" i="6"/>
  <c r="J24" i="7"/>
  <c r="D304" i="4"/>
  <c r="F304" i="4" s="1"/>
  <c r="U200" i="4"/>
  <c r="S201" i="4"/>
  <c r="T191" i="4"/>
  <c r="V190" i="4"/>
  <c r="T226" i="4"/>
  <c r="V225" i="4"/>
  <c r="X255" i="4"/>
  <c r="V256" i="4"/>
  <c r="X240" i="4"/>
  <c r="W251" i="4"/>
  <c r="U235" i="4"/>
  <c r="K100" i="4"/>
  <c r="M100" i="4"/>
  <c r="O100" i="4"/>
  <c r="D105" i="4"/>
  <c r="W105" i="4"/>
  <c r="I100" i="4"/>
  <c r="X206" i="4"/>
  <c r="D203" i="4" s="1"/>
  <c r="F203" i="4" s="1"/>
  <c r="V215" i="4"/>
  <c r="B2" i="4"/>
  <c r="M24" i="6"/>
  <c r="K24" i="7"/>
  <c r="F94" i="7"/>
  <c r="M23" i="6"/>
  <c r="B57" i="8"/>
  <c r="C57" i="8" s="1"/>
  <c r="C14" i="1"/>
  <c r="H51" i="7" s="1"/>
  <c r="B59" i="8"/>
  <c r="C59" i="8" s="1"/>
  <c r="D178" i="6"/>
  <c r="E178" i="6" s="1"/>
  <c r="C34" i="6"/>
  <c r="E56" i="7" s="1"/>
  <c r="B61" i="8"/>
  <c r="C61" i="8" s="1"/>
  <c r="E40" i="7"/>
  <c r="O23" i="6"/>
  <c r="O24" i="6"/>
  <c r="B53" i="8"/>
  <c r="C53" i="8" s="1"/>
  <c r="B63" i="8"/>
  <c r="C63" i="8" s="1"/>
  <c r="B67" i="8"/>
  <c r="C67" i="8" s="1"/>
  <c r="B62" i="8"/>
  <c r="C62" i="8" s="1"/>
  <c r="B65" i="8"/>
  <c r="C65" i="8" s="1"/>
  <c r="H27" i="6"/>
  <c r="H45" i="7" s="1"/>
  <c r="C15" i="8"/>
  <c r="B66" i="8"/>
  <c r="C66" i="8" s="1"/>
  <c r="B54" i="8"/>
  <c r="C54" i="8" s="1"/>
  <c r="B56" i="8"/>
  <c r="C56" i="8" s="1"/>
  <c r="B60" i="8"/>
  <c r="C60" i="8" s="1"/>
  <c r="O18" i="6"/>
  <c r="B52" i="8"/>
  <c r="C52" i="8" s="1"/>
  <c r="D26" i="7"/>
  <c r="B51" i="8"/>
  <c r="C51" i="8" s="1"/>
  <c r="B58" i="8"/>
  <c r="C58" i="8" s="1"/>
  <c r="B64" i="8"/>
  <c r="C64" i="8" s="1"/>
  <c r="B50" i="8"/>
  <c r="C50" i="8" s="1"/>
  <c r="B55" i="8"/>
  <c r="C55" i="8" s="1"/>
  <c r="T14" i="6"/>
  <c r="C173" i="6"/>
  <c r="C172" i="6"/>
  <c r="C195" i="6"/>
  <c r="A317" i="4" a="1"/>
  <c r="A341" i="4" s="1"/>
  <c r="D148" i="4"/>
  <c r="F148" i="4" s="1"/>
  <c r="E107" i="7"/>
  <c r="H27" i="1"/>
  <c r="H67" i="7"/>
  <c r="H17" i="7"/>
  <c r="B106" i="1"/>
  <c r="E24" i="1"/>
  <c r="B108" i="1"/>
  <c r="H46" i="1"/>
  <c r="B157" i="1"/>
  <c r="B131" i="1"/>
  <c r="G4" i="3"/>
  <c r="C139" i="6"/>
  <c r="C134" i="6"/>
  <c r="C143" i="6"/>
  <c r="C146" i="6"/>
  <c r="AD4" i="3"/>
  <c r="E190" i="6"/>
  <c r="D30" i="1"/>
  <c r="I68" i="7" s="1"/>
  <c r="C10" i="8"/>
  <c r="AE4" i="3"/>
  <c r="T19" i="6"/>
  <c r="C142" i="6"/>
  <c r="C141" i="6"/>
  <c r="C145" i="6"/>
  <c r="I71" i="7"/>
  <c r="H5" i="7"/>
  <c r="B75" i="8"/>
  <c r="C196" i="6"/>
  <c r="B196" i="6" s="1"/>
  <c r="C147" i="6"/>
  <c r="E42" i="7"/>
  <c r="E193" i="6"/>
  <c r="E189" i="6"/>
  <c r="C183" i="6"/>
  <c r="J90" i="7"/>
  <c r="F118" i="7" s="1"/>
  <c r="C132" i="6"/>
  <c r="F27" i="7"/>
  <c r="H41" i="7"/>
  <c r="C137" i="6"/>
  <c r="C135" i="6"/>
  <c r="C138" i="6"/>
  <c r="E33" i="6"/>
  <c r="C144" i="6"/>
  <c r="T17" i="6"/>
  <c r="E14" i="7"/>
  <c r="B201" i="6"/>
  <c r="C201" i="6" s="1"/>
  <c r="B186" i="6"/>
  <c r="B200" i="6"/>
  <c r="C200" i="6" s="1"/>
  <c r="E183" i="6"/>
  <c r="B187" i="6"/>
  <c r="E184" i="6"/>
  <c r="B202" i="6"/>
  <c r="D3" i="4"/>
  <c r="U241" i="4" l="1"/>
  <c r="S236" i="4"/>
  <c r="D82" i="4"/>
  <c r="F82" i="4" s="1"/>
  <c r="N194" i="4"/>
  <c r="L196" i="4"/>
  <c r="D97" i="4"/>
  <c r="F97" i="4" s="1"/>
  <c r="V241" i="4"/>
  <c r="D87" i="4"/>
  <c r="F87" i="4" s="1"/>
  <c r="V166" i="4"/>
  <c r="X165" i="4"/>
  <c r="V126" i="4"/>
  <c r="X125" i="4"/>
  <c r="V251" i="4"/>
  <c r="D248" i="4" s="1"/>
  <c r="F248" i="4" s="1"/>
  <c r="X131" i="4"/>
  <c r="W131" i="4"/>
  <c r="D128" i="4" s="1"/>
  <c r="V110" i="4"/>
  <c r="T111" i="4"/>
  <c r="D102" i="4"/>
  <c r="F102" i="4" s="1"/>
  <c r="E126" i="6"/>
  <c r="D127" i="6"/>
  <c r="W121" i="4"/>
  <c r="X121" i="4"/>
  <c r="W225" i="4"/>
  <c r="U226" i="4"/>
  <c r="X256" i="4"/>
  <c r="W256" i="4"/>
  <c r="D253" i="4" s="1"/>
  <c r="T201" i="4"/>
  <c r="V200" i="4"/>
  <c r="W215" i="4"/>
  <c r="U216" i="4"/>
  <c r="T236" i="4"/>
  <c r="V235" i="4"/>
  <c r="X241" i="4"/>
  <c r="W241" i="4"/>
  <c r="U191" i="4"/>
  <c r="W190" i="4"/>
  <c r="D157" i="6"/>
  <c r="D137" i="6"/>
  <c r="W4" i="3"/>
  <c r="D139" i="6"/>
  <c r="D133" i="6"/>
  <c r="E133" i="6" s="1"/>
  <c r="D156" i="6"/>
  <c r="D135" i="6"/>
  <c r="E135" i="6" s="1"/>
  <c r="E52" i="7"/>
  <c r="D140" i="6"/>
  <c r="E30" i="6"/>
  <c r="E28" i="6" s="1"/>
  <c r="E34" i="6"/>
  <c r="D138" i="6"/>
  <c r="D145" i="6"/>
  <c r="D148" i="6"/>
  <c r="D143" i="6"/>
  <c r="D141" i="6"/>
  <c r="D134" i="6"/>
  <c r="E134" i="6" s="1"/>
  <c r="O20" i="6"/>
  <c r="I28" i="6" s="1"/>
  <c r="D136" i="6"/>
  <c r="E136" i="6" s="1"/>
  <c r="D147" i="6"/>
  <c r="E57" i="7"/>
  <c r="D142" i="6"/>
  <c r="D155" i="6"/>
  <c r="D132" i="6"/>
  <c r="E132" i="6" s="1"/>
  <c r="C168" i="6"/>
  <c r="C169" i="6" s="1"/>
  <c r="D168" i="6"/>
  <c r="D169" i="6" s="1"/>
  <c r="D144" i="6"/>
  <c r="E53" i="7"/>
  <c r="D146" i="6"/>
  <c r="S27" i="6"/>
  <c r="H12" i="7"/>
  <c r="I16" i="7"/>
  <c r="K49" i="1"/>
  <c r="R27" i="1"/>
  <c r="A323" i="4"/>
  <c r="A330" i="4"/>
  <c r="A331" i="4"/>
  <c r="A343" i="4"/>
  <c r="A339" i="4"/>
  <c r="A327" i="4"/>
  <c r="A338" i="4"/>
  <c r="A320" i="4"/>
  <c r="A332" i="4"/>
  <c r="A337" i="4"/>
  <c r="A340" i="4"/>
  <c r="A318" i="4"/>
  <c r="A333" i="4"/>
  <c r="A328" i="4"/>
  <c r="A342" i="4"/>
  <c r="A325" i="4"/>
  <c r="A336" i="4"/>
  <c r="A317" i="4"/>
  <c r="A346" i="4"/>
  <c r="A322" i="4"/>
  <c r="A329" i="4"/>
  <c r="A321" i="4"/>
  <c r="A326" i="4"/>
  <c r="A345" i="4"/>
  <c r="A319" i="4"/>
  <c r="A324" i="4"/>
  <c r="A335" i="4"/>
  <c r="A344" i="4"/>
  <c r="A334" i="4"/>
  <c r="R4" i="4"/>
  <c r="K4" i="4"/>
  <c r="H3" i="4"/>
  <c r="Y4" i="4"/>
  <c r="E3" i="4"/>
  <c r="M4" i="4"/>
  <c r="R3" i="4"/>
  <c r="D4" i="4"/>
  <c r="B4" i="4"/>
  <c r="X4" i="4"/>
  <c r="J3" i="4"/>
  <c r="N3" i="4"/>
  <c r="H2" i="4"/>
  <c r="C3" i="4"/>
  <c r="J2" i="4"/>
  <c r="Q3" i="4"/>
  <c r="V4" i="4"/>
  <c r="F4" i="4"/>
  <c r="H4" i="4"/>
  <c r="I3" i="4"/>
  <c r="S4" i="4"/>
  <c r="Y3" i="4"/>
  <c r="F2" i="4"/>
  <c r="B3" i="4"/>
  <c r="R2" i="4"/>
  <c r="T4" i="4"/>
  <c r="C4" i="4"/>
  <c r="U4" i="4"/>
  <c r="T3" i="4"/>
  <c r="P3" i="4"/>
  <c r="N2" i="4"/>
  <c r="J4" i="4"/>
  <c r="S3" i="4"/>
  <c r="O4" i="4"/>
  <c r="D2" i="4"/>
  <c r="X3" i="4"/>
  <c r="I4" i="4"/>
  <c r="O3" i="4"/>
  <c r="N4" i="4"/>
  <c r="G4" i="4"/>
  <c r="T2" i="4"/>
  <c r="F3" i="4"/>
  <c r="P2" i="4"/>
  <c r="E4" i="4"/>
  <c r="X2" i="4"/>
  <c r="V2" i="4"/>
  <c r="Q4" i="4"/>
  <c r="L4" i="4"/>
  <c r="W3" i="4"/>
  <c r="L3" i="4"/>
  <c r="K3" i="4"/>
  <c r="P4" i="4"/>
  <c r="M3" i="4"/>
  <c r="V3" i="4"/>
  <c r="G3" i="4"/>
  <c r="L2" i="4"/>
  <c r="W4" i="4"/>
  <c r="U3" i="4"/>
  <c r="Z2" i="4"/>
  <c r="C210" i="6" l="1"/>
  <c r="C207" i="6"/>
  <c r="C206" i="6"/>
  <c r="C205" i="6"/>
  <c r="C209" i="6"/>
  <c r="C208" i="6"/>
  <c r="N13" i="6"/>
  <c r="N12" i="6"/>
  <c r="N14" i="6"/>
  <c r="A5" i="3"/>
  <c r="B5" i="3" s="1"/>
  <c r="Z5" i="3" s="1"/>
  <c r="O194" i="4"/>
  <c r="M196" i="4"/>
  <c r="D238" i="4"/>
  <c r="F106" i="1"/>
  <c r="F105" i="1"/>
  <c r="F104" i="1"/>
  <c r="H18" i="7"/>
  <c r="F107" i="1"/>
  <c r="F103" i="1"/>
  <c r="E101" i="7"/>
  <c r="C171" i="6"/>
  <c r="C170" i="6"/>
  <c r="E49" i="7"/>
  <c r="E18" i="7"/>
  <c r="T13" i="6"/>
  <c r="T12" i="6"/>
  <c r="C174" i="6"/>
  <c r="M13" i="6"/>
  <c r="D171" i="6"/>
  <c r="B48" i="8"/>
  <c r="C48" i="8" s="1"/>
  <c r="D174" i="6"/>
  <c r="B43" i="8"/>
  <c r="C43" i="8" s="1"/>
  <c r="B49" i="8"/>
  <c r="C49" i="8" s="1"/>
  <c r="B41" i="8"/>
  <c r="C41" i="8" s="1"/>
  <c r="B42" i="8"/>
  <c r="C42" i="8" s="1"/>
  <c r="B44" i="8"/>
  <c r="C44" i="8" s="1"/>
  <c r="D172" i="6"/>
  <c r="D170" i="6"/>
  <c r="D173" i="6"/>
  <c r="B46" i="8"/>
  <c r="C46" i="8" s="1"/>
  <c r="B47" i="8"/>
  <c r="C47" i="8" s="1"/>
  <c r="B45" i="8"/>
  <c r="C45" i="8" s="1"/>
  <c r="D57" i="8"/>
  <c r="E57" i="8" s="1"/>
  <c r="H57" i="8" s="1"/>
  <c r="D66" i="8"/>
  <c r="F66" i="8" s="1"/>
  <c r="I66" i="8" s="1"/>
  <c r="D59" i="8"/>
  <c r="F59" i="8" s="1"/>
  <c r="I59" i="8" s="1"/>
  <c r="D47" i="8"/>
  <c r="E47" i="8" s="1"/>
  <c r="G47" i="8" s="1"/>
  <c r="D51" i="8"/>
  <c r="E51" i="8" s="1"/>
  <c r="G51" i="8" s="1"/>
  <c r="M14" i="6"/>
  <c r="C10" i="1" s="1"/>
  <c r="S4" i="3" s="1"/>
  <c r="T4" i="3" s="1"/>
  <c r="U4" i="3" s="1"/>
  <c r="M12" i="6"/>
  <c r="D52" i="8"/>
  <c r="E52" i="8" s="1"/>
  <c r="H52" i="8" s="1"/>
  <c r="D63" i="8"/>
  <c r="E63" i="8" s="1"/>
  <c r="H63" i="8" s="1"/>
  <c r="D64" i="8"/>
  <c r="E64" i="8" s="1"/>
  <c r="H64" i="8" s="1"/>
  <c r="D53" i="8"/>
  <c r="F53" i="8" s="1"/>
  <c r="I53" i="8" s="1"/>
  <c r="D62" i="8"/>
  <c r="E62" i="8" s="1"/>
  <c r="H62" i="8" s="1"/>
  <c r="D42" i="8"/>
  <c r="E42" i="8" s="1"/>
  <c r="G42" i="8" s="1"/>
  <c r="D65" i="8"/>
  <c r="E65" i="8" s="1"/>
  <c r="H65" i="8" s="1"/>
  <c r="D56" i="8"/>
  <c r="F56" i="8" s="1"/>
  <c r="I56" i="8" s="1"/>
  <c r="D67" i="8"/>
  <c r="F67" i="8" s="1"/>
  <c r="I67" i="8" s="1"/>
  <c r="D55" i="8"/>
  <c r="E55" i="8" s="1"/>
  <c r="G55" i="8" s="1"/>
  <c r="D44" i="8"/>
  <c r="F44" i="8" s="1"/>
  <c r="D60" i="8"/>
  <c r="F60" i="8" s="1"/>
  <c r="I60" i="8" s="1"/>
  <c r="D41" i="8"/>
  <c r="E41" i="8" s="1"/>
  <c r="G41" i="8" s="1"/>
  <c r="D48" i="8"/>
  <c r="F48" i="8" s="1"/>
  <c r="D46" i="8"/>
  <c r="F46" i="8" s="1"/>
  <c r="D45" i="8"/>
  <c r="E45" i="8" s="1"/>
  <c r="G45" i="8" s="1"/>
  <c r="D43" i="8"/>
  <c r="E43" i="8" s="1"/>
  <c r="G43" i="8" s="1"/>
  <c r="D50" i="8"/>
  <c r="F50" i="8" s="1"/>
  <c r="I50" i="8" s="1"/>
  <c r="D61" i="8"/>
  <c r="E61" i="8" s="1"/>
  <c r="G61" i="8" s="1"/>
  <c r="D54" i="8"/>
  <c r="F54" i="8" s="1"/>
  <c r="I54" i="8" s="1"/>
  <c r="D58" i="8"/>
  <c r="E58" i="8" s="1"/>
  <c r="G58" i="8" s="1"/>
  <c r="D49" i="8"/>
  <c r="E49" i="8" s="1"/>
  <c r="G49" i="8" s="1"/>
  <c r="W166" i="4"/>
  <c r="D163" i="4" s="1"/>
  <c r="F163" i="4" s="1"/>
  <c r="X166" i="4"/>
  <c r="E127" i="6"/>
  <c r="D128" i="6"/>
  <c r="W110" i="4"/>
  <c r="U111" i="4"/>
  <c r="X126" i="4"/>
  <c r="W126" i="4"/>
  <c r="D123" i="4" s="1"/>
  <c r="D118" i="4"/>
  <c r="F118" i="4" s="1"/>
  <c r="W235" i="4"/>
  <c r="U236" i="4"/>
  <c r="W200" i="4"/>
  <c r="U201" i="4"/>
  <c r="X215" i="4"/>
  <c r="V216" i="4"/>
  <c r="V226" i="4"/>
  <c r="X225" i="4"/>
  <c r="X190" i="4"/>
  <c r="V191" i="4"/>
  <c r="I31" i="6"/>
  <c r="C154" i="6" s="1"/>
  <c r="O19" i="6"/>
  <c r="M19" i="6" s="1"/>
  <c r="H31" i="6" s="1"/>
  <c r="E29" i="6"/>
  <c r="E35" i="6" s="1"/>
  <c r="C191" i="6"/>
  <c r="D153" i="6"/>
  <c r="C192" i="6"/>
  <c r="P15" i="6" l="1"/>
  <c r="M15" i="6" s="1"/>
  <c r="J42" i="7" s="1"/>
  <c r="I44" i="8"/>
  <c r="F62" i="8"/>
  <c r="I62" i="8" s="1"/>
  <c r="F47" i="8"/>
  <c r="I47" i="8" s="1"/>
  <c r="G62" i="8"/>
  <c r="J62" i="8" s="1"/>
  <c r="I48" i="8"/>
  <c r="G64" i="8"/>
  <c r="J64" i="8" s="1"/>
  <c r="E66" i="8"/>
  <c r="H66" i="8" s="1"/>
  <c r="I46" i="8"/>
  <c r="E44" i="8"/>
  <c r="G44" i="8" s="1"/>
  <c r="F61" i="8"/>
  <c r="I61" i="8" s="1"/>
  <c r="F107" i="7"/>
  <c r="F52" i="8"/>
  <c r="I52" i="8" s="1"/>
  <c r="G63" i="8"/>
  <c r="J63" i="8" s="1"/>
  <c r="G52" i="8"/>
  <c r="K52" i="8" s="1"/>
  <c r="H58" i="8"/>
  <c r="K58" i="8" s="1"/>
  <c r="H61" i="8"/>
  <c r="K61" i="8" s="1"/>
  <c r="H41" i="8"/>
  <c r="J41" i="8" s="1"/>
  <c r="G57" i="8"/>
  <c r="K57" i="8" s="1"/>
  <c r="H43" i="8"/>
  <c r="J43" i="8" s="1"/>
  <c r="H55" i="8"/>
  <c r="K55" i="8" s="1"/>
  <c r="F63" i="8"/>
  <c r="I63" i="8" s="1"/>
  <c r="E50" i="8"/>
  <c r="H50" i="8" s="1"/>
  <c r="I41" i="7"/>
  <c r="F55" i="8"/>
  <c r="I55" i="8" s="1"/>
  <c r="F57" i="8"/>
  <c r="I57" i="8" s="1"/>
  <c r="C24" i="1"/>
  <c r="C30" i="1" s="1"/>
  <c r="P27" i="1" s="1"/>
  <c r="C11" i="8"/>
  <c r="E58" i="7"/>
  <c r="H65" i="7" s="1"/>
  <c r="J41" i="7"/>
  <c r="E46" i="8"/>
  <c r="G46" i="8" s="1"/>
  <c r="E53" i="8"/>
  <c r="H53" i="8" s="1"/>
  <c r="H47" i="8"/>
  <c r="J47" i="8" s="1"/>
  <c r="H42" i="8"/>
  <c r="J42" i="8" s="1"/>
  <c r="F42" i="8"/>
  <c r="I42" i="8" s="1"/>
  <c r="F49" i="8"/>
  <c r="I49" i="8" s="1"/>
  <c r="C204" i="6"/>
  <c r="H51" i="8"/>
  <c r="J51" i="8" s="1"/>
  <c r="E67" i="8"/>
  <c r="H67" i="8" s="1"/>
  <c r="AC5" i="3"/>
  <c r="P5" i="3"/>
  <c r="Q5" i="3" s="1"/>
  <c r="R5" i="3" s="1"/>
  <c r="S5" i="3" s="1"/>
  <c r="T5" i="3" s="1"/>
  <c r="AA5" i="3"/>
  <c r="F65" i="8"/>
  <c r="I65" i="8" s="1"/>
  <c r="E48" i="8"/>
  <c r="G48" i="8" s="1"/>
  <c r="A6" i="3"/>
  <c r="B6" i="3" s="1"/>
  <c r="AC6" i="3" s="1"/>
  <c r="G65" i="8"/>
  <c r="K65" i="8" s="1"/>
  <c r="F51" i="8"/>
  <c r="I51" i="8" s="1"/>
  <c r="F64" i="8"/>
  <c r="I64" i="8" s="1"/>
  <c r="AD5" i="3"/>
  <c r="E110" i="7"/>
  <c r="N196" i="4"/>
  <c r="P194" i="4"/>
  <c r="H45" i="8"/>
  <c r="J45" i="8" s="1"/>
  <c r="H49" i="8"/>
  <c r="J49" i="8" s="1"/>
  <c r="F58" i="8"/>
  <c r="I58" i="8" s="1"/>
  <c r="F43" i="8"/>
  <c r="I43" i="8" s="1"/>
  <c r="F41" i="8"/>
  <c r="I41" i="8" s="1"/>
  <c r="E60" i="8"/>
  <c r="H60" i="8" s="1"/>
  <c r="E59" i="8"/>
  <c r="G59" i="8" s="1"/>
  <c r="F45" i="8"/>
  <c r="I45" i="8" s="1"/>
  <c r="E54" i="8"/>
  <c r="H54" i="8" s="1"/>
  <c r="E56" i="8"/>
  <c r="G56" i="8" s="1"/>
  <c r="V111" i="4"/>
  <c r="X110" i="4"/>
  <c r="E128" i="6"/>
  <c r="D129" i="6"/>
  <c r="X200" i="4"/>
  <c r="V201" i="4"/>
  <c r="W226" i="4"/>
  <c r="X226" i="4"/>
  <c r="X191" i="4"/>
  <c r="W191" i="4"/>
  <c r="W216" i="4"/>
  <c r="D213" i="4" s="1"/>
  <c r="F213" i="4" s="1"/>
  <c r="X216" i="4"/>
  <c r="V236" i="4"/>
  <c r="X235" i="4"/>
  <c r="H28" i="6"/>
  <c r="C190" i="6" s="1"/>
  <c r="C153" i="6"/>
  <c r="C157" i="6"/>
  <c r="C151" i="6"/>
  <c r="C152" i="6"/>
  <c r="H42" i="7" l="1"/>
  <c r="D23" i="7"/>
  <c r="E108" i="7"/>
  <c r="N15" i="6"/>
  <c r="C155" i="6" s="1"/>
  <c r="C156" i="6" s="1"/>
  <c r="K63" i="8"/>
  <c r="M63" i="8" s="1"/>
  <c r="M52" i="8"/>
  <c r="G50" i="8"/>
  <c r="J50" i="8" s="1"/>
  <c r="K64" i="8"/>
  <c r="L64" i="8" s="1"/>
  <c r="J52" i="8"/>
  <c r="L52" i="8" s="1"/>
  <c r="H46" i="8"/>
  <c r="J46" i="8" s="1"/>
  <c r="K62" i="8"/>
  <c r="M62" i="8" s="1"/>
  <c r="J55" i="8"/>
  <c r="L55" i="8" s="1"/>
  <c r="K51" i="8"/>
  <c r="M51" i="8" s="1"/>
  <c r="G66" i="8"/>
  <c r="J66" i="8" s="1"/>
  <c r="H48" i="8"/>
  <c r="J48" i="8" s="1"/>
  <c r="K41" i="8"/>
  <c r="M41" i="8" s="1"/>
  <c r="H44" i="8"/>
  <c r="J44" i="8" s="1"/>
  <c r="M61" i="8"/>
  <c r="M55" i="8"/>
  <c r="J58" i="8"/>
  <c r="L58" i="8" s="1"/>
  <c r="H32" i="6"/>
  <c r="J61" i="8"/>
  <c r="L61" i="8" s="1"/>
  <c r="G67" i="8"/>
  <c r="J67" i="8" s="1"/>
  <c r="M57" i="8"/>
  <c r="J57" i="8"/>
  <c r="L57" i="8" s="1"/>
  <c r="P28" i="1"/>
  <c r="K47" i="8"/>
  <c r="M47" i="8" s="1"/>
  <c r="K47" i="1"/>
  <c r="H16" i="7"/>
  <c r="C194" i="6"/>
  <c r="H46" i="7"/>
  <c r="H13" i="7"/>
  <c r="D152" i="6"/>
  <c r="J65" i="8"/>
  <c r="L65" i="8" s="1"/>
  <c r="G53" i="8"/>
  <c r="K53" i="8" s="1"/>
  <c r="M53" i="8" s="1"/>
  <c r="H68" i="7"/>
  <c r="H71" i="7"/>
  <c r="K43" i="8"/>
  <c r="M43" i="8" s="1"/>
  <c r="G54" i="8"/>
  <c r="J54" i="8" s="1"/>
  <c r="P6" i="3"/>
  <c r="Q6" i="3" s="1"/>
  <c r="R6" i="3" s="1"/>
  <c r="S6" i="3" s="1"/>
  <c r="T6" i="3" s="1"/>
  <c r="A7" i="3"/>
  <c r="B7" i="3" s="1"/>
  <c r="AD7" i="3" s="1"/>
  <c r="M65" i="8"/>
  <c r="H56" i="8"/>
  <c r="J56" i="8" s="1"/>
  <c r="H29" i="6"/>
  <c r="H47" i="7" s="1"/>
  <c r="F108" i="7"/>
  <c r="Z6" i="3"/>
  <c r="C149" i="6"/>
  <c r="AA6" i="3"/>
  <c r="K42" i="8"/>
  <c r="M42" i="8" s="1"/>
  <c r="K49" i="8"/>
  <c r="M49" i="8" s="1"/>
  <c r="B191" i="6"/>
  <c r="K45" i="8"/>
  <c r="M45" i="8" s="1"/>
  <c r="Q194" i="4"/>
  <c r="O196" i="4"/>
  <c r="AD6" i="3"/>
  <c r="M58" i="8"/>
  <c r="G60" i="8"/>
  <c r="J60" i="8" s="1"/>
  <c r="H59" i="8"/>
  <c r="J59" i="8" s="1"/>
  <c r="D223" i="4"/>
  <c r="F223" i="4" s="1"/>
  <c r="X111" i="4"/>
  <c r="W111" i="4"/>
  <c r="D108" i="4" s="1"/>
  <c r="D188" i="4"/>
  <c r="F188" i="4" s="1"/>
  <c r="D130" i="6"/>
  <c r="E130" i="6" s="1"/>
  <c r="E129" i="6"/>
  <c r="S28" i="6"/>
  <c r="C193" i="6"/>
  <c r="X236" i="4"/>
  <c r="W236" i="4"/>
  <c r="W201" i="4"/>
  <c r="X201" i="4"/>
  <c r="D5" i="3"/>
  <c r="AG5" i="3"/>
  <c r="AH5" i="3"/>
  <c r="E5" i="3"/>
  <c r="H5" i="3" s="1"/>
  <c r="C150" i="6" l="1"/>
  <c r="B193" i="6"/>
  <c r="I32" i="6"/>
  <c r="B192" i="6"/>
  <c r="I42" i="7"/>
  <c r="I29" i="6"/>
  <c r="S29" i="6" s="1"/>
  <c r="L63" i="8"/>
  <c r="M64" i="8"/>
  <c r="L62" i="8"/>
  <c r="K50" i="8"/>
  <c r="M50" i="8" s="1"/>
  <c r="K46" i="8"/>
  <c r="M46" i="8" s="1"/>
  <c r="K66" i="8"/>
  <c r="M66" i="8" s="1"/>
  <c r="L41" i="8"/>
  <c r="K48" i="8"/>
  <c r="L48" i="8" s="1"/>
  <c r="L51" i="8"/>
  <c r="K67" i="8"/>
  <c r="M67" i="8" s="1"/>
  <c r="K44" i="8"/>
  <c r="M44" i="8" s="1"/>
  <c r="L47" i="8"/>
  <c r="J53" i="8"/>
  <c r="L53" i="8" s="1"/>
  <c r="K54" i="8"/>
  <c r="M54" i="8" s="1"/>
  <c r="L43" i="8"/>
  <c r="A8" i="3"/>
  <c r="B8" i="3" s="1"/>
  <c r="AC8" i="3" s="1"/>
  <c r="Z7" i="3"/>
  <c r="K56" i="8"/>
  <c r="M56" i="8" s="1"/>
  <c r="P7" i="3"/>
  <c r="Q7" i="3" s="1"/>
  <c r="R7" i="3" s="1"/>
  <c r="S7" i="3" s="1"/>
  <c r="T7" i="3" s="1"/>
  <c r="K60" i="8"/>
  <c r="B194" i="6"/>
  <c r="L45" i="8"/>
  <c r="H30" i="6"/>
  <c r="H48" i="7" s="1"/>
  <c r="AC7" i="3"/>
  <c r="AA7" i="3"/>
  <c r="H14" i="7"/>
  <c r="B190" i="6"/>
  <c r="L49" i="8"/>
  <c r="L42" i="8"/>
  <c r="D198" i="4"/>
  <c r="F198" i="4" s="1"/>
  <c r="R194" i="4"/>
  <c r="P196" i="4"/>
  <c r="K59" i="8"/>
  <c r="M59" i="8" s="1"/>
  <c r="F108" i="4"/>
  <c r="D233" i="4"/>
  <c r="F233" i="4" s="1"/>
  <c r="K5" i="3"/>
  <c r="F5" i="3"/>
  <c r="G5" i="3"/>
  <c r="I14" i="7" l="1"/>
  <c r="I30" i="6"/>
  <c r="H33" i="6" s="1"/>
  <c r="I47" i="7"/>
  <c r="L46" i="8"/>
  <c r="L50" i="8"/>
  <c r="L44" i="8"/>
  <c r="L66" i="8"/>
  <c r="M48" i="8"/>
  <c r="L54" i="8"/>
  <c r="L67" i="8"/>
  <c r="P8" i="3"/>
  <c r="Q8" i="3" s="1"/>
  <c r="R8" i="3" s="1"/>
  <c r="S8" i="3" s="1"/>
  <c r="T8" i="3" s="1"/>
  <c r="AD8" i="3"/>
  <c r="AA8" i="3"/>
  <c r="L56" i="8"/>
  <c r="H15" i="7"/>
  <c r="Z8" i="3"/>
  <c r="A9" i="3"/>
  <c r="B9" i="3" s="1"/>
  <c r="AD9" i="3" s="1"/>
  <c r="M60" i="8"/>
  <c r="L60" i="8"/>
  <c r="S194" i="4"/>
  <c r="Q196" i="4"/>
  <c r="L59" i="8"/>
  <c r="M5" i="3"/>
  <c r="N5" i="3" s="1"/>
  <c r="I5" i="3"/>
  <c r="J5" i="3"/>
  <c r="V5" i="3"/>
  <c r="AE5" i="3"/>
  <c r="I48" i="7" l="1"/>
  <c r="I15" i="7"/>
  <c r="S30" i="6"/>
  <c r="A10" i="3"/>
  <c r="B10" i="3" s="1"/>
  <c r="P10" i="3" s="1"/>
  <c r="Q10" i="3" s="1"/>
  <c r="R10" i="3" s="1"/>
  <c r="AC9" i="3"/>
  <c r="P9" i="3"/>
  <c r="Q9" i="3" s="1"/>
  <c r="R9" i="3" s="1"/>
  <c r="S9" i="3" s="1"/>
  <c r="T9" i="3" s="1"/>
  <c r="Z9" i="3"/>
  <c r="AA9" i="3"/>
  <c r="T194" i="4"/>
  <c r="R196" i="4"/>
  <c r="W5" i="3"/>
  <c r="L5" i="3"/>
  <c r="AA10" i="3" l="1"/>
  <c r="AC10" i="3"/>
  <c r="AD10" i="3"/>
  <c r="Z10" i="3"/>
  <c r="A11" i="3"/>
  <c r="B11" i="3" s="1"/>
  <c r="AC11" i="3" s="1"/>
  <c r="S10" i="3"/>
  <c r="T10" i="3" s="1"/>
  <c r="U194" i="4"/>
  <c r="S196" i="4"/>
  <c r="U5" i="3"/>
  <c r="D6" i="3" s="1"/>
  <c r="AG6" i="3"/>
  <c r="AH6" i="3"/>
  <c r="AA11" i="3" l="1"/>
  <c r="P11" i="3"/>
  <c r="Q11" i="3" s="1"/>
  <c r="R11" i="3" s="1"/>
  <c r="S11" i="3" s="1"/>
  <c r="T11" i="3" s="1"/>
  <c r="Z11" i="3"/>
  <c r="A12" i="3"/>
  <c r="B12" i="3" s="1"/>
  <c r="Z12" i="3" s="1"/>
  <c r="AD11" i="3"/>
  <c r="T196" i="4"/>
  <c r="V194" i="4"/>
  <c r="E6" i="3"/>
  <c r="H6" i="3" s="1"/>
  <c r="K6" i="3" s="1"/>
  <c r="G6" i="3"/>
  <c r="AA12" i="3" l="1"/>
  <c r="AC12" i="3"/>
  <c r="A13" i="3"/>
  <c r="B13" i="3" s="1"/>
  <c r="A14" i="3" s="1"/>
  <c r="B14" i="3" s="1"/>
  <c r="A15" i="3" s="1"/>
  <c r="B15" i="3" s="1"/>
  <c r="P12" i="3"/>
  <c r="Q12" i="3" s="1"/>
  <c r="R12" i="3" s="1"/>
  <c r="S12" i="3" s="1"/>
  <c r="T12" i="3" s="1"/>
  <c r="AD12" i="3"/>
  <c r="U196" i="4"/>
  <c r="W194" i="4"/>
  <c r="F6" i="3"/>
  <c r="I6" i="3"/>
  <c r="J6" i="3"/>
  <c r="M6" i="3"/>
  <c r="N6" i="3" s="1"/>
  <c r="V6" i="3"/>
  <c r="AE6" i="3"/>
  <c r="P13" i="3" l="1"/>
  <c r="Q13" i="3" s="1"/>
  <c r="R13" i="3" s="1"/>
  <c r="S13" i="3" s="1"/>
  <c r="T13" i="3" s="1"/>
  <c r="AD13" i="3"/>
  <c r="AA14" i="3"/>
  <c r="AA13" i="3"/>
  <c r="AC14" i="3"/>
  <c r="Z14" i="3"/>
  <c r="Z13" i="3"/>
  <c r="AD14" i="3"/>
  <c r="P14" i="3"/>
  <c r="Q14" i="3" s="1"/>
  <c r="R14" i="3" s="1"/>
  <c r="AC13" i="3"/>
  <c r="V196" i="4"/>
  <c r="D193" i="4" s="1"/>
  <c r="W196" i="4"/>
  <c r="W6" i="3"/>
  <c r="AA15" i="3"/>
  <c r="P15" i="3"/>
  <c r="Q15" i="3" s="1"/>
  <c r="R15" i="3" s="1"/>
  <c r="AC15" i="3"/>
  <c r="Z15" i="3"/>
  <c r="AD15" i="3"/>
  <c r="A16" i="3"/>
  <c r="B16" i="3" s="1"/>
  <c r="L6" i="3"/>
  <c r="S14" i="3" l="1"/>
  <c r="S15" i="3" s="1"/>
  <c r="F193" i="4"/>
  <c r="M36" i="6"/>
  <c r="N34" i="1"/>
  <c r="AA16" i="3"/>
  <c r="AD16" i="3"/>
  <c r="AC16" i="3"/>
  <c r="P16" i="3"/>
  <c r="Q16" i="3" s="1"/>
  <c r="R16" i="3" s="1"/>
  <c r="Z16" i="3"/>
  <c r="A17" i="3"/>
  <c r="B17" i="3" s="1"/>
  <c r="AH7" i="3"/>
  <c r="AG7" i="3"/>
  <c r="U6" i="3"/>
  <c r="D7" i="3" s="1"/>
  <c r="Y5" i="3"/>
  <c r="T14" i="3" l="1"/>
  <c r="G7" i="3"/>
  <c r="P17" i="3"/>
  <c r="Q17" i="3" s="1"/>
  <c r="R17" i="3" s="1"/>
  <c r="A18" i="3"/>
  <c r="B18" i="3" s="1"/>
  <c r="AC17" i="3"/>
  <c r="Z17" i="3"/>
  <c r="AD17" i="3"/>
  <c r="AA17" i="3"/>
  <c r="T15" i="3"/>
  <c r="S16" i="3"/>
  <c r="E7" i="3"/>
  <c r="H7" i="3" s="1"/>
  <c r="AA18" i="3" l="1"/>
  <c r="P18" i="3"/>
  <c r="Q18" i="3" s="1"/>
  <c r="R18" i="3" s="1"/>
  <c r="AC18" i="3"/>
  <c r="A19" i="3"/>
  <c r="B19" i="3" s="1"/>
  <c r="AD18" i="3"/>
  <c r="Z18" i="3"/>
  <c r="F7" i="3"/>
  <c r="T16" i="3"/>
  <c r="S17" i="3"/>
  <c r="I7" i="3"/>
  <c r="J7" i="3"/>
  <c r="M7" i="3"/>
  <c r="N7" i="3" s="1"/>
  <c r="K7" i="3"/>
  <c r="P19" i="3" l="1"/>
  <c r="Q19" i="3" s="1"/>
  <c r="R19" i="3" s="1"/>
  <c r="A20" i="3"/>
  <c r="B20" i="3" s="1"/>
  <c r="Z19" i="3"/>
  <c r="AD19" i="3"/>
  <c r="AA19" i="3"/>
  <c r="AC19" i="3"/>
  <c r="L7" i="3"/>
  <c r="V7" i="3"/>
  <c r="W7" i="3" s="1"/>
  <c r="AE7" i="3"/>
  <c r="T17" i="3"/>
  <c r="S18" i="3"/>
  <c r="AH8" i="3" l="1"/>
  <c r="U7" i="3"/>
  <c r="D8" i="3" s="1"/>
  <c r="AG8" i="3"/>
  <c r="Y6" i="3"/>
  <c r="P20" i="3"/>
  <c r="Q20" i="3" s="1"/>
  <c r="R20" i="3" s="1"/>
  <c r="A21" i="3"/>
  <c r="B21" i="3" s="1"/>
  <c r="AA20" i="3"/>
  <c r="Z20" i="3"/>
  <c r="AD20" i="3"/>
  <c r="AC20" i="3"/>
  <c r="S19" i="3"/>
  <c r="T18" i="3"/>
  <c r="E8" i="3" l="1"/>
  <c r="H8" i="3" s="1"/>
  <c r="K8" i="3" s="1"/>
  <c r="AD21" i="3"/>
  <c r="P21" i="3"/>
  <c r="Q21" i="3" s="1"/>
  <c r="R21" i="3" s="1"/>
  <c r="AC21" i="3"/>
  <c r="AA21" i="3"/>
  <c r="Z21" i="3"/>
  <c r="A22" i="3"/>
  <c r="B22" i="3" s="1"/>
  <c r="G8" i="3"/>
  <c r="S20" i="3"/>
  <c r="T19" i="3"/>
  <c r="F8" i="3" l="1"/>
  <c r="AC22" i="3"/>
  <c r="A23" i="3"/>
  <c r="B23" i="3" s="1"/>
  <c r="AD22" i="3"/>
  <c r="AA22" i="3"/>
  <c r="Z22" i="3"/>
  <c r="P22" i="3"/>
  <c r="Q22" i="3" s="1"/>
  <c r="R22" i="3" s="1"/>
  <c r="I8" i="3"/>
  <c r="J8" i="3"/>
  <c r="M8" i="3"/>
  <c r="N8" i="3" s="1"/>
  <c r="V8" i="3"/>
  <c r="AE8" i="3"/>
  <c r="T20" i="3"/>
  <c r="S21" i="3"/>
  <c r="W8" i="3" l="1"/>
  <c r="A24" i="3"/>
  <c r="B24" i="3" s="1"/>
  <c r="Z23" i="3"/>
  <c r="AA23" i="3"/>
  <c r="AC23" i="3"/>
  <c r="AD23" i="3"/>
  <c r="P23" i="3"/>
  <c r="Q23" i="3" s="1"/>
  <c r="R23" i="3" s="1"/>
  <c r="T21" i="3"/>
  <c r="S22" i="3"/>
  <c r="L8" i="3"/>
  <c r="U8" i="3" l="1"/>
  <c r="D9" i="3" s="1"/>
  <c r="AH9" i="3"/>
  <c r="AG9" i="3"/>
  <c r="Y7" i="3"/>
  <c r="AA24" i="3"/>
  <c r="Z24" i="3"/>
  <c r="AC24" i="3"/>
  <c r="AD24" i="3"/>
  <c r="A25" i="3"/>
  <c r="B25" i="3" s="1"/>
  <c r="P24" i="3"/>
  <c r="Q24" i="3" s="1"/>
  <c r="R24" i="3" s="1"/>
  <c r="T22" i="3"/>
  <c r="S23" i="3"/>
  <c r="E9" i="3" l="1"/>
  <c r="H9" i="3" s="1"/>
  <c r="K9" i="3" s="1"/>
  <c r="P25" i="3"/>
  <c r="Q25" i="3" s="1"/>
  <c r="R25" i="3" s="1"/>
  <c r="Z25" i="3"/>
  <c r="A26" i="3"/>
  <c r="B26" i="3" s="1"/>
  <c r="AC25" i="3"/>
  <c r="AA25" i="3"/>
  <c r="AD25" i="3"/>
  <c r="S24" i="3"/>
  <c r="T23" i="3"/>
  <c r="G9" i="3"/>
  <c r="F9" i="3" l="1"/>
  <c r="AD26" i="3"/>
  <c r="P26" i="3"/>
  <c r="Q26" i="3" s="1"/>
  <c r="R26" i="3" s="1"/>
  <c r="A27" i="3"/>
  <c r="B27" i="3" s="1"/>
  <c r="AA26" i="3"/>
  <c r="Z26" i="3"/>
  <c r="AC26" i="3"/>
  <c r="S25" i="3"/>
  <c r="T24" i="3"/>
  <c r="V9" i="3"/>
  <c r="AE9" i="3"/>
  <c r="I9" i="3"/>
  <c r="J9" i="3"/>
  <c r="M9" i="3"/>
  <c r="N9" i="3" s="1"/>
  <c r="W9" i="3" l="1"/>
  <c r="P27" i="3"/>
  <c r="Q27" i="3" s="1"/>
  <c r="R27" i="3" s="1"/>
  <c r="Z27" i="3"/>
  <c r="AA27" i="3"/>
  <c r="AD27" i="3"/>
  <c r="A28" i="3"/>
  <c r="B28" i="3" s="1"/>
  <c r="AC27" i="3"/>
  <c r="S26" i="3"/>
  <c r="T25" i="3"/>
  <c r="L9" i="3"/>
  <c r="Z28" i="3" l="1"/>
  <c r="P28" i="3"/>
  <c r="Q28" i="3" s="1"/>
  <c r="R28" i="3" s="1"/>
  <c r="A29" i="3"/>
  <c r="B29" i="3" s="1"/>
  <c r="AA28" i="3"/>
  <c r="AC28" i="3"/>
  <c r="AD28" i="3"/>
  <c r="AH10" i="3"/>
  <c r="U9" i="3"/>
  <c r="E10" i="3" s="1"/>
  <c r="H10" i="3" s="1"/>
  <c r="AG10" i="3"/>
  <c r="Y8" i="3"/>
  <c r="T26" i="3"/>
  <c r="S27" i="3"/>
  <c r="K10" i="3" l="1"/>
  <c r="S28" i="3"/>
  <c r="T27" i="3"/>
  <c r="AC29" i="3"/>
  <c r="P29" i="3"/>
  <c r="Q29" i="3" s="1"/>
  <c r="R29" i="3" s="1"/>
  <c r="A30" i="3"/>
  <c r="B30" i="3" s="1"/>
  <c r="AD29" i="3"/>
  <c r="Z29" i="3"/>
  <c r="AA29" i="3"/>
  <c r="D10" i="3"/>
  <c r="Z30" i="3" l="1"/>
  <c r="P30" i="3"/>
  <c r="Q30" i="3" s="1"/>
  <c r="R30" i="3" s="1"/>
  <c r="AC30" i="3"/>
  <c r="AA30" i="3"/>
  <c r="AD30" i="3"/>
  <c r="A31" i="3"/>
  <c r="B31" i="3" s="1"/>
  <c r="F10" i="3"/>
  <c r="G10" i="3"/>
  <c r="V10" i="3"/>
  <c r="AE10" i="3"/>
  <c r="T28" i="3"/>
  <c r="S29" i="3"/>
  <c r="I10" i="3" l="1"/>
  <c r="W10" i="3" s="1"/>
  <c r="J10" i="3"/>
  <c r="M10" i="3"/>
  <c r="N10" i="3" s="1"/>
  <c r="AC31" i="3"/>
  <c r="A32" i="3"/>
  <c r="B32" i="3" s="1"/>
  <c r="Z31" i="3"/>
  <c r="P31" i="3"/>
  <c r="Q31" i="3" s="1"/>
  <c r="R31" i="3" s="1"/>
  <c r="AD31" i="3"/>
  <c r="AA31" i="3"/>
  <c r="S30" i="3"/>
  <c r="T29" i="3"/>
  <c r="A33" i="3" l="1"/>
  <c r="B33" i="3" s="1"/>
  <c r="Z32" i="3"/>
  <c r="P32" i="3"/>
  <c r="Q32" i="3" s="1"/>
  <c r="R32" i="3" s="1"/>
  <c r="AD32" i="3"/>
  <c r="AC32" i="3"/>
  <c r="AA32" i="3"/>
  <c r="L10" i="3"/>
  <c r="T30" i="3"/>
  <c r="S31" i="3"/>
  <c r="P33" i="3" l="1"/>
  <c r="Q33" i="3" s="1"/>
  <c r="R33" i="3" s="1"/>
  <c r="AC33" i="3"/>
  <c r="A34" i="3"/>
  <c r="B34" i="3" s="1"/>
  <c r="AA33" i="3"/>
  <c r="Z33" i="3"/>
  <c r="AD33" i="3"/>
  <c r="AG11" i="3"/>
  <c r="AH11" i="3"/>
  <c r="U10" i="3"/>
  <c r="E11" i="3" s="1"/>
  <c r="H11" i="3" s="1"/>
  <c r="Y9" i="3"/>
  <c r="T31" i="3"/>
  <c r="S32" i="3"/>
  <c r="K11" i="3" l="1"/>
  <c r="T32" i="3"/>
  <c r="S33" i="3"/>
  <c r="Z34" i="3"/>
  <c r="P34" i="3"/>
  <c r="Q34" i="3" s="1"/>
  <c r="R34" i="3" s="1"/>
  <c r="AC34" i="3"/>
  <c r="A35" i="3"/>
  <c r="B35" i="3" s="1"/>
  <c r="AA34" i="3"/>
  <c r="D11" i="3"/>
  <c r="S34" i="3" l="1"/>
  <c r="T33" i="3"/>
  <c r="V11" i="3"/>
  <c r="AE11" i="3"/>
  <c r="A36" i="3"/>
  <c r="B36" i="3" s="1"/>
  <c r="Z35" i="3"/>
  <c r="AD35" i="3"/>
  <c r="AA35" i="3"/>
  <c r="AC35" i="3"/>
  <c r="P35" i="3"/>
  <c r="Q35" i="3" s="1"/>
  <c r="R35" i="3" s="1"/>
  <c r="F11" i="3"/>
  <c r="G11" i="3"/>
  <c r="S35" i="3" l="1"/>
  <c r="T34" i="3"/>
  <c r="AD36" i="3"/>
  <c r="AA36" i="3"/>
  <c r="P36" i="3"/>
  <c r="Q36" i="3" s="1"/>
  <c r="R36" i="3" s="1"/>
  <c r="Z36" i="3"/>
  <c r="A37" i="3"/>
  <c r="B37" i="3" s="1"/>
  <c r="AC36" i="3"/>
  <c r="I11" i="3"/>
  <c r="W11" i="3" s="1"/>
  <c r="J11" i="3"/>
  <c r="M11" i="3"/>
  <c r="N11" i="3" s="1"/>
  <c r="AD37" i="3" l="1"/>
  <c r="Z37" i="3"/>
  <c r="AA37" i="3"/>
  <c r="AC37" i="3"/>
  <c r="P37" i="3"/>
  <c r="Q37" i="3" s="1"/>
  <c r="R37" i="3" s="1"/>
  <c r="A38" i="3"/>
  <c r="B38" i="3" s="1"/>
  <c r="L11" i="3"/>
  <c r="T35" i="3"/>
  <c r="S36" i="3"/>
  <c r="P38" i="3" l="1"/>
  <c r="Q38" i="3" s="1"/>
  <c r="R38" i="3" s="1"/>
  <c r="A39" i="3"/>
  <c r="B39" i="3" s="1"/>
  <c r="AC38" i="3"/>
  <c r="AA38" i="3"/>
  <c r="AD38" i="3"/>
  <c r="Z38" i="3"/>
  <c r="AH12" i="3"/>
  <c r="U11" i="3"/>
  <c r="E12" i="3" s="1"/>
  <c r="H12" i="3" s="1"/>
  <c r="AG12" i="3"/>
  <c r="Y10" i="3"/>
  <c r="T36" i="3"/>
  <c r="S37" i="3"/>
  <c r="D12" i="3" l="1"/>
  <c r="G12" i="3" s="1"/>
  <c r="S38" i="3"/>
  <c r="T37" i="3"/>
  <c r="K12" i="3"/>
  <c r="AC39" i="3"/>
  <c r="P39" i="3"/>
  <c r="Q39" i="3" s="1"/>
  <c r="R39" i="3" s="1"/>
  <c r="AD39" i="3"/>
  <c r="Z39" i="3"/>
  <c r="A40" i="3"/>
  <c r="B40" i="3" s="1"/>
  <c r="AA39" i="3"/>
  <c r="F12" i="3" l="1"/>
  <c r="P40" i="3"/>
  <c r="Q40" i="3" s="1"/>
  <c r="R40" i="3" s="1"/>
  <c r="AA40" i="3"/>
  <c r="A41" i="3"/>
  <c r="B41" i="3" s="1"/>
  <c r="AC40" i="3"/>
  <c r="Z40" i="3"/>
  <c r="AD40" i="3"/>
  <c r="V12" i="3"/>
  <c r="AE12" i="3"/>
  <c r="S39" i="3"/>
  <c r="T38" i="3"/>
  <c r="I12" i="3"/>
  <c r="J12" i="3"/>
  <c r="M12" i="3"/>
  <c r="N12" i="3" s="1"/>
  <c r="W12" i="3" l="1"/>
  <c r="P41" i="3"/>
  <c r="Q41" i="3" s="1"/>
  <c r="R41" i="3" s="1"/>
  <c r="AC41" i="3"/>
  <c r="A42" i="3"/>
  <c r="B42" i="3" s="1"/>
  <c r="AA41" i="3"/>
  <c r="Z41" i="3"/>
  <c r="AD41" i="3"/>
  <c r="L12" i="3"/>
  <c r="T39" i="3"/>
  <c r="S40" i="3"/>
  <c r="AG13" i="3" l="1"/>
  <c r="U12" i="3"/>
  <c r="E13" i="3" s="1"/>
  <c r="H13" i="3" s="1"/>
  <c r="AH13" i="3"/>
  <c r="Y11" i="3"/>
  <c r="P42" i="3"/>
  <c r="Q42" i="3" s="1"/>
  <c r="R42" i="3" s="1"/>
  <c r="Z42" i="3"/>
  <c r="AA42" i="3"/>
  <c r="A43" i="3"/>
  <c r="B43" i="3" s="1"/>
  <c r="AD42" i="3"/>
  <c r="AC42" i="3"/>
  <c r="S41" i="3"/>
  <c r="T40" i="3"/>
  <c r="D13" i="3" l="1"/>
  <c r="F13" i="3" s="1"/>
  <c r="K13" i="3"/>
  <c r="AC43" i="3"/>
  <c r="P43" i="3"/>
  <c r="Q43" i="3" s="1"/>
  <c r="R43" i="3" s="1"/>
  <c r="AD43" i="3"/>
  <c r="Z43" i="3"/>
  <c r="A44" i="3"/>
  <c r="B44" i="3" s="1"/>
  <c r="AA43" i="3"/>
  <c r="T41" i="3"/>
  <c r="S42" i="3"/>
  <c r="G13" i="3" l="1"/>
  <c r="I13" i="3" s="1"/>
  <c r="AA44" i="3"/>
  <c r="P44" i="3"/>
  <c r="Q44" i="3" s="1"/>
  <c r="R44" i="3" s="1"/>
  <c r="AD44" i="3"/>
  <c r="A45" i="3"/>
  <c r="B45" i="3" s="1"/>
  <c r="Z44" i="3"/>
  <c r="AC44" i="3"/>
  <c r="T42" i="3"/>
  <c r="S43" i="3"/>
  <c r="V13" i="3"/>
  <c r="AE13" i="3"/>
  <c r="J13" i="3" l="1"/>
  <c r="L13" i="3" s="1"/>
  <c r="M13" i="3"/>
  <c r="N13" i="3" s="1"/>
  <c r="P45" i="3"/>
  <c r="Q45" i="3" s="1"/>
  <c r="R45" i="3" s="1"/>
  <c r="A46" i="3"/>
  <c r="B46" i="3" s="1"/>
  <c r="AA45" i="3"/>
  <c r="AD45" i="3"/>
  <c r="Z45" i="3"/>
  <c r="AC45" i="3"/>
  <c r="S44" i="3"/>
  <c r="T43" i="3"/>
  <c r="W13" i="3"/>
  <c r="P46" i="3" l="1"/>
  <c r="Q46" i="3" s="1"/>
  <c r="R46" i="3" s="1"/>
  <c r="AA46" i="3"/>
  <c r="AD46" i="3"/>
  <c r="A47" i="3"/>
  <c r="B47" i="3" s="1"/>
  <c r="Z46" i="3"/>
  <c r="AC46" i="3"/>
  <c r="S45" i="3"/>
  <c r="T44" i="3"/>
  <c r="AH14" i="3"/>
  <c r="AG14" i="3"/>
  <c r="U13" i="3"/>
  <c r="D14" i="3" s="1"/>
  <c r="Y12" i="3"/>
  <c r="E14" i="3" l="1"/>
  <c r="H14" i="3" s="1"/>
  <c r="K14" i="3" s="1"/>
  <c r="AD47" i="3"/>
  <c r="AA47" i="3"/>
  <c r="P47" i="3"/>
  <c r="Q47" i="3" s="1"/>
  <c r="R47" i="3" s="1"/>
  <c r="A48" i="3"/>
  <c r="B48" i="3" s="1"/>
  <c r="Z47" i="3"/>
  <c r="AC47" i="3"/>
  <c r="S46" i="3"/>
  <c r="T45" i="3"/>
  <c r="G14" i="3"/>
  <c r="F14" i="3" l="1"/>
  <c r="AC48" i="3"/>
  <c r="Z48" i="3"/>
  <c r="AA48" i="3"/>
  <c r="A49" i="3"/>
  <c r="B49" i="3" s="1"/>
  <c r="AD48" i="3"/>
  <c r="P48" i="3"/>
  <c r="Q48" i="3" s="1"/>
  <c r="R48" i="3" s="1"/>
  <c r="V14" i="3"/>
  <c r="AE14" i="3"/>
  <c r="I14" i="3"/>
  <c r="J14" i="3"/>
  <c r="M14" i="3"/>
  <c r="N14" i="3" s="1"/>
  <c r="S47" i="3"/>
  <c r="T46" i="3"/>
  <c r="T47" i="3" l="1"/>
  <c r="S48" i="3"/>
  <c r="A50" i="3"/>
  <c r="B50" i="3" s="1"/>
  <c r="P49" i="3"/>
  <c r="Q49" i="3" s="1"/>
  <c r="R49" i="3" s="1"/>
  <c r="AC49" i="3"/>
  <c r="AD49" i="3"/>
  <c r="AA49" i="3"/>
  <c r="Z49" i="3"/>
  <c r="W14" i="3"/>
  <c r="L14" i="3"/>
  <c r="U14" i="3" l="1"/>
  <c r="E15" i="3" s="1"/>
  <c r="H15" i="3" s="1"/>
  <c r="AG15" i="3"/>
  <c r="AH15" i="3"/>
  <c r="Y13" i="3"/>
  <c r="Z50" i="3"/>
  <c r="AA50" i="3"/>
  <c r="P50" i="3"/>
  <c r="Q50" i="3" s="1"/>
  <c r="R50" i="3" s="1"/>
  <c r="A51" i="3"/>
  <c r="B51" i="3" s="1"/>
  <c r="AD50" i="3"/>
  <c r="AC50" i="3"/>
  <c r="T48" i="3"/>
  <c r="S49" i="3"/>
  <c r="D15" i="3" l="1"/>
  <c r="F15" i="3" s="1"/>
  <c r="AD51" i="3"/>
  <c r="A52" i="3"/>
  <c r="B52" i="3" s="1"/>
  <c r="P51" i="3"/>
  <c r="Q51" i="3" s="1"/>
  <c r="R51" i="3" s="1"/>
  <c r="AA51" i="3"/>
  <c r="Z51" i="3"/>
  <c r="AC51" i="3"/>
  <c r="K15" i="3"/>
  <c r="S50" i="3"/>
  <c r="T49" i="3"/>
  <c r="G15" i="3" l="1"/>
  <c r="I15" i="3" s="1"/>
  <c r="A53" i="3"/>
  <c r="B53" i="3" s="1"/>
  <c r="AC52" i="3"/>
  <c r="P52" i="3"/>
  <c r="Q52" i="3" s="1"/>
  <c r="R52" i="3" s="1"/>
  <c r="AA52" i="3"/>
  <c r="AD52" i="3"/>
  <c r="Z52" i="3"/>
  <c r="T50" i="3"/>
  <c r="S51" i="3"/>
  <c r="V15" i="3"/>
  <c r="AE15" i="3"/>
  <c r="J15" i="3" l="1"/>
  <c r="L15" i="3" s="1"/>
  <c r="M15" i="3"/>
  <c r="N15" i="3" s="1"/>
  <c r="A54" i="3"/>
  <c r="B54" i="3" s="1"/>
  <c r="AD53" i="3"/>
  <c r="P53" i="3"/>
  <c r="Q53" i="3" s="1"/>
  <c r="R53" i="3" s="1"/>
  <c r="AA53" i="3"/>
  <c r="AC53" i="3"/>
  <c r="Z53" i="3"/>
  <c r="T51" i="3"/>
  <c r="S52" i="3"/>
  <c r="W15" i="3"/>
  <c r="AC54" i="3" l="1"/>
  <c r="P54" i="3"/>
  <c r="Q54" i="3" s="1"/>
  <c r="R54" i="3" s="1"/>
  <c r="A55" i="3"/>
  <c r="B55" i="3" s="1"/>
  <c r="AA54" i="3"/>
  <c r="Z54" i="3"/>
  <c r="AD54" i="3"/>
  <c r="T52" i="3"/>
  <c r="S53" i="3"/>
  <c r="U15" i="3"/>
  <c r="D16" i="3" s="1"/>
  <c r="AG16" i="3"/>
  <c r="AH16" i="3"/>
  <c r="Y14" i="3"/>
  <c r="E16" i="3" l="1"/>
  <c r="H16" i="3" s="1"/>
  <c r="K16" i="3" s="1"/>
  <c r="G16" i="3"/>
  <c r="S54" i="3"/>
  <c r="T53" i="3"/>
  <c r="P55" i="3"/>
  <c r="Q55" i="3" s="1"/>
  <c r="R55" i="3" s="1"/>
  <c r="A56" i="3"/>
  <c r="B56" i="3" s="1"/>
  <c r="AC55" i="3"/>
  <c r="AA55" i="3"/>
  <c r="Z55" i="3"/>
  <c r="AD55" i="3"/>
  <c r="F16" i="3" l="1"/>
  <c r="P56" i="3"/>
  <c r="Q56" i="3" s="1"/>
  <c r="R56" i="3" s="1"/>
  <c r="AA56" i="3"/>
  <c r="A57" i="3"/>
  <c r="B57" i="3" s="1"/>
  <c r="AD56" i="3"/>
  <c r="Z56" i="3"/>
  <c r="AC56" i="3"/>
  <c r="I16" i="3"/>
  <c r="J16" i="3"/>
  <c r="M16" i="3"/>
  <c r="N16" i="3" s="1"/>
  <c r="S55" i="3"/>
  <c r="T54" i="3"/>
  <c r="V16" i="3"/>
  <c r="AE16" i="3"/>
  <c r="S56" i="3" l="1"/>
  <c r="T55" i="3"/>
  <c r="AD57" i="3"/>
  <c r="AA57" i="3"/>
  <c r="A58" i="3"/>
  <c r="B58" i="3" s="1"/>
  <c r="AC57" i="3"/>
  <c r="P57" i="3"/>
  <c r="Q57" i="3" s="1"/>
  <c r="R57" i="3" s="1"/>
  <c r="Z57" i="3"/>
  <c r="L16" i="3"/>
  <c r="W16" i="3"/>
  <c r="Z58" i="3" l="1"/>
  <c r="AD58" i="3"/>
  <c r="AA58" i="3"/>
  <c r="P58" i="3"/>
  <c r="Q58" i="3" s="1"/>
  <c r="R58" i="3" s="1"/>
  <c r="A59" i="3"/>
  <c r="B59" i="3" s="1"/>
  <c r="AC58" i="3"/>
  <c r="S57" i="3"/>
  <c r="T56" i="3"/>
  <c r="U16" i="3"/>
  <c r="D17" i="3" s="1"/>
  <c r="AG17" i="3"/>
  <c r="AH17" i="3"/>
  <c r="Y15" i="3"/>
  <c r="G17" i="3" l="1"/>
  <c r="P59" i="3"/>
  <c r="Q59" i="3" s="1"/>
  <c r="R59" i="3" s="1"/>
  <c r="A60" i="3"/>
  <c r="B60" i="3" s="1"/>
  <c r="AC59" i="3"/>
  <c r="AD59" i="3"/>
  <c r="Z59" i="3"/>
  <c r="AA59" i="3"/>
  <c r="E17" i="3"/>
  <c r="H17" i="3" s="1"/>
  <c r="S58" i="3"/>
  <c r="T57" i="3"/>
  <c r="AC60" i="3" l="1"/>
  <c r="AD60" i="3"/>
  <c r="Z60" i="3"/>
  <c r="P60" i="3"/>
  <c r="Q60" i="3" s="1"/>
  <c r="R60" i="3" s="1"/>
  <c r="A61" i="3"/>
  <c r="B61" i="3" s="1"/>
  <c r="AA60" i="3"/>
  <c r="F17" i="3"/>
  <c r="I17" i="3"/>
  <c r="J17" i="3"/>
  <c r="M17" i="3"/>
  <c r="N17" i="3" s="1"/>
  <c r="K17" i="3"/>
  <c r="S59" i="3"/>
  <c r="T58" i="3"/>
  <c r="A62" i="3" l="1"/>
  <c r="B62" i="3" s="1"/>
  <c r="Z61" i="3"/>
  <c r="AD61" i="3"/>
  <c r="AC61" i="3"/>
  <c r="P61" i="3"/>
  <c r="Q61" i="3" s="1"/>
  <c r="R61" i="3" s="1"/>
  <c r="AA61" i="3"/>
  <c r="T59" i="3"/>
  <c r="S60" i="3"/>
  <c r="V17" i="3"/>
  <c r="W17" i="3" s="1"/>
  <c r="AE17" i="3"/>
  <c r="L17" i="3"/>
  <c r="AD62" i="3" l="1"/>
  <c r="P62" i="3"/>
  <c r="Q62" i="3" s="1"/>
  <c r="R62" i="3" s="1"/>
  <c r="Z62" i="3"/>
  <c r="AA62" i="3"/>
  <c r="AC62" i="3"/>
  <c r="A63" i="3"/>
  <c r="B63" i="3" s="1"/>
  <c r="S61" i="3"/>
  <c r="T60" i="3"/>
  <c r="U17" i="3"/>
  <c r="E18" i="3" s="1"/>
  <c r="H18" i="3" s="1"/>
  <c r="AG18" i="3"/>
  <c r="AH18" i="3"/>
  <c r="Y16" i="3"/>
  <c r="D18" i="3" l="1"/>
  <c r="G18" i="3" s="1"/>
  <c r="K18" i="3"/>
  <c r="AC63" i="3"/>
  <c r="AA63" i="3"/>
  <c r="A64" i="3"/>
  <c r="B64" i="3" s="1"/>
  <c r="AD63" i="3"/>
  <c r="P63" i="3"/>
  <c r="Q63" i="3" s="1"/>
  <c r="R63" i="3" s="1"/>
  <c r="Z63" i="3"/>
  <c r="S62" i="3"/>
  <c r="T61" i="3"/>
  <c r="F18" i="3" l="1"/>
  <c r="I18" i="3"/>
  <c r="J18" i="3"/>
  <c r="M18" i="3"/>
  <c r="N18" i="3" s="1"/>
  <c r="S63" i="3"/>
  <c r="T62" i="3"/>
  <c r="A65" i="3"/>
  <c r="B65" i="3" s="1"/>
  <c r="Z64" i="3"/>
  <c r="AA64" i="3"/>
  <c r="AC64" i="3"/>
  <c r="AD64" i="3"/>
  <c r="P64" i="3"/>
  <c r="Q64" i="3" s="1"/>
  <c r="R64" i="3" s="1"/>
  <c r="V18" i="3"/>
  <c r="AE18" i="3"/>
  <c r="Z65" i="3" l="1"/>
  <c r="AA65" i="3"/>
  <c r="A66" i="3"/>
  <c r="B66" i="3" s="1"/>
  <c r="AC65" i="3"/>
  <c r="P65" i="3"/>
  <c r="Q65" i="3" s="1"/>
  <c r="R65" i="3" s="1"/>
  <c r="AD65" i="3"/>
  <c r="L18" i="3"/>
  <c r="W18" i="3"/>
  <c r="S64" i="3"/>
  <c r="T63" i="3"/>
  <c r="A67" i="3" l="1"/>
  <c r="B67" i="3" s="1"/>
  <c r="P66" i="3"/>
  <c r="Q66" i="3" s="1"/>
  <c r="R66" i="3" s="1"/>
  <c r="AC66" i="3"/>
  <c r="Z66" i="3"/>
  <c r="AD66" i="3"/>
  <c r="AA66" i="3"/>
  <c r="U18" i="3"/>
  <c r="D19" i="3" s="1"/>
  <c r="AH19" i="3"/>
  <c r="AG19" i="3"/>
  <c r="Y17" i="3"/>
  <c r="S65" i="3"/>
  <c r="T64" i="3"/>
  <c r="G19" i="3" l="1"/>
  <c r="E19" i="3"/>
  <c r="H19" i="3" s="1"/>
  <c r="AA67" i="3"/>
  <c r="Z67" i="3"/>
  <c r="AD67" i="3"/>
  <c r="AC67" i="3"/>
  <c r="P67" i="3"/>
  <c r="Q67" i="3" s="1"/>
  <c r="R67" i="3" s="1"/>
  <c r="A68" i="3"/>
  <c r="B68" i="3" s="1"/>
  <c r="S66" i="3"/>
  <c r="T65" i="3"/>
  <c r="F19" i="3" l="1"/>
  <c r="AD68" i="3"/>
  <c r="AC68" i="3"/>
  <c r="Z68" i="3"/>
  <c r="AA68" i="3"/>
  <c r="A69" i="3"/>
  <c r="B69" i="3" s="1"/>
  <c r="P68" i="3"/>
  <c r="Q68" i="3" s="1"/>
  <c r="R68" i="3" s="1"/>
  <c r="I19" i="3"/>
  <c r="J19" i="3"/>
  <c r="M19" i="3"/>
  <c r="N19" i="3" s="1"/>
  <c r="K19" i="3"/>
  <c r="S67" i="3"/>
  <c r="T66" i="3"/>
  <c r="Z69" i="3" l="1"/>
  <c r="AC69" i="3"/>
  <c r="P69" i="3"/>
  <c r="Q69" i="3" s="1"/>
  <c r="R69" i="3" s="1"/>
  <c r="AA69" i="3"/>
  <c r="AD69" i="3"/>
  <c r="A70" i="3"/>
  <c r="B70" i="3" s="1"/>
  <c r="V19" i="3"/>
  <c r="W19" i="3" s="1"/>
  <c r="AE19" i="3"/>
  <c r="L19" i="3"/>
  <c r="T67" i="3"/>
  <c r="S68" i="3"/>
  <c r="AH20" i="3" l="1"/>
  <c r="U19" i="3"/>
  <c r="E20" i="3" s="1"/>
  <c r="H20" i="3" s="1"/>
  <c r="AG20" i="3"/>
  <c r="Y18" i="3"/>
  <c r="A71" i="3"/>
  <c r="B71" i="3" s="1"/>
  <c r="AC70" i="3"/>
  <c r="AA70" i="3"/>
  <c r="AD70" i="3"/>
  <c r="P70" i="3"/>
  <c r="Q70" i="3" s="1"/>
  <c r="R70" i="3" s="1"/>
  <c r="Z70" i="3"/>
  <c r="S69" i="3"/>
  <c r="T68" i="3"/>
  <c r="D20" i="3" l="1"/>
  <c r="G20" i="3" s="1"/>
  <c r="K20" i="3"/>
  <c r="AA71" i="3"/>
  <c r="A72" i="3"/>
  <c r="B72" i="3" s="1"/>
  <c r="AC71" i="3"/>
  <c r="Z71" i="3"/>
  <c r="AD71" i="3"/>
  <c r="P71" i="3"/>
  <c r="Q71" i="3" s="1"/>
  <c r="R71" i="3" s="1"/>
  <c r="T69" i="3"/>
  <c r="S70" i="3"/>
  <c r="F20" i="3" l="1"/>
  <c r="A73" i="3"/>
  <c r="B73" i="3" s="1"/>
  <c r="Z72" i="3"/>
  <c r="P72" i="3"/>
  <c r="Q72" i="3" s="1"/>
  <c r="R72" i="3" s="1"/>
  <c r="AD72" i="3"/>
  <c r="AA72" i="3"/>
  <c r="AC72" i="3"/>
  <c r="T70" i="3"/>
  <c r="S71" i="3"/>
  <c r="V20" i="3"/>
  <c r="AE20" i="3"/>
  <c r="I20" i="3"/>
  <c r="J20" i="3"/>
  <c r="M20" i="3"/>
  <c r="N20" i="3" s="1"/>
  <c r="AC73" i="3" l="1"/>
  <c r="A74" i="3"/>
  <c r="B74" i="3" s="1"/>
  <c r="Z73" i="3"/>
  <c r="AA73" i="3"/>
  <c r="AD73" i="3"/>
  <c r="P73" i="3"/>
  <c r="Q73" i="3" s="1"/>
  <c r="R73" i="3" s="1"/>
  <c r="L20" i="3"/>
  <c r="T71" i="3"/>
  <c r="S72" i="3"/>
  <c r="W20" i="3"/>
  <c r="AD74" i="3" l="1"/>
  <c r="P74" i="3"/>
  <c r="Q74" i="3" s="1"/>
  <c r="R74" i="3" s="1"/>
  <c r="AC74" i="3"/>
  <c r="A75" i="3"/>
  <c r="B75" i="3" s="1"/>
  <c r="AA74" i="3"/>
  <c r="Z74" i="3"/>
  <c r="AG21" i="3"/>
  <c r="U20" i="3"/>
  <c r="E21" i="3" s="1"/>
  <c r="H21" i="3" s="1"/>
  <c r="AH21" i="3"/>
  <c r="Y19" i="3"/>
  <c r="S73" i="3"/>
  <c r="T72" i="3"/>
  <c r="D21" i="3" l="1"/>
  <c r="G21" i="3" s="1"/>
  <c r="K21" i="3"/>
  <c r="P75" i="3"/>
  <c r="Q75" i="3" s="1"/>
  <c r="R75" i="3" s="1"/>
  <c r="Z75" i="3"/>
  <c r="A76" i="3"/>
  <c r="B76" i="3" s="1"/>
  <c r="AA75" i="3"/>
  <c r="AC75" i="3"/>
  <c r="AD75" i="3"/>
  <c r="T73" i="3"/>
  <c r="S74" i="3"/>
  <c r="F21" i="3" l="1"/>
  <c r="AC76" i="3"/>
  <c r="Z76" i="3"/>
  <c r="AD76" i="3"/>
  <c r="AA76" i="3"/>
  <c r="A77" i="3"/>
  <c r="B77" i="3" s="1"/>
  <c r="P76" i="3"/>
  <c r="Q76" i="3" s="1"/>
  <c r="R76" i="3" s="1"/>
  <c r="I21" i="3"/>
  <c r="J21" i="3"/>
  <c r="M21" i="3"/>
  <c r="N21" i="3" s="1"/>
  <c r="S75" i="3"/>
  <c r="T74" i="3"/>
  <c r="V21" i="3"/>
  <c r="AE21" i="3"/>
  <c r="W21" i="3" l="1"/>
  <c r="S76" i="3"/>
  <c r="T75" i="3"/>
  <c r="A78" i="3"/>
  <c r="B78" i="3" s="1"/>
  <c r="AA77" i="3"/>
  <c r="Z77" i="3"/>
  <c r="P77" i="3"/>
  <c r="Q77" i="3" s="1"/>
  <c r="R77" i="3" s="1"/>
  <c r="AD77" i="3"/>
  <c r="AC77" i="3"/>
  <c r="L21" i="3"/>
  <c r="S77" i="3" l="1"/>
  <c r="T76" i="3"/>
  <c r="AG22" i="3"/>
  <c r="U21" i="3"/>
  <c r="D22" i="3" s="1"/>
  <c r="AH22" i="3"/>
  <c r="Y20" i="3"/>
  <c r="A79" i="3"/>
  <c r="B79" i="3" s="1"/>
  <c r="AD78" i="3"/>
  <c r="P78" i="3"/>
  <c r="Q78" i="3" s="1"/>
  <c r="R78" i="3" s="1"/>
  <c r="AC78" i="3"/>
  <c r="AA78" i="3"/>
  <c r="Z78" i="3"/>
  <c r="G22" i="3" l="1"/>
  <c r="T77" i="3"/>
  <c r="S78" i="3"/>
  <c r="E22" i="3"/>
  <c r="H22" i="3" s="1"/>
  <c r="P79" i="3"/>
  <c r="Q79" i="3" s="1"/>
  <c r="R79" i="3" s="1"/>
  <c r="A80" i="3"/>
  <c r="B80" i="3" s="1"/>
  <c r="Z79" i="3"/>
  <c r="AC79" i="3"/>
  <c r="AA79" i="3"/>
  <c r="AD79" i="3"/>
  <c r="AA80" i="3" l="1"/>
  <c r="A81" i="3"/>
  <c r="B81" i="3" s="1"/>
  <c r="AD80" i="3"/>
  <c r="AC80" i="3"/>
  <c r="P80" i="3"/>
  <c r="Q80" i="3" s="1"/>
  <c r="R80" i="3" s="1"/>
  <c r="Z80" i="3"/>
  <c r="I22" i="3"/>
  <c r="J22" i="3"/>
  <c r="M22" i="3"/>
  <c r="N22" i="3" s="1"/>
  <c r="K22" i="3"/>
  <c r="T78" i="3"/>
  <c r="S79" i="3"/>
  <c r="F22" i="3"/>
  <c r="L22" i="3" l="1"/>
  <c r="S80" i="3"/>
  <c r="T79" i="3"/>
  <c r="Z81" i="3"/>
  <c r="AC81" i="3"/>
  <c r="A82" i="3"/>
  <c r="B82" i="3" s="1"/>
  <c r="AA81" i="3"/>
  <c r="AD81" i="3"/>
  <c r="P81" i="3"/>
  <c r="Q81" i="3" s="1"/>
  <c r="R81" i="3" s="1"/>
  <c r="V22" i="3"/>
  <c r="W22" i="3" s="1"/>
  <c r="AE22" i="3"/>
  <c r="U22" i="3" l="1"/>
  <c r="E23" i="3" s="1"/>
  <c r="H23" i="3" s="1"/>
  <c r="AH23" i="3"/>
  <c r="AG23" i="3"/>
  <c r="Y21" i="3"/>
  <c r="A83" i="3"/>
  <c r="B83" i="3" s="1"/>
  <c r="P82" i="3"/>
  <c r="Q82" i="3" s="1"/>
  <c r="R82" i="3" s="1"/>
  <c r="AC82" i="3"/>
  <c r="AA82" i="3"/>
  <c r="Z82" i="3"/>
  <c r="AD82" i="3"/>
  <c r="T80" i="3"/>
  <c r="S81" i="3"/>
  <c r="AA83" i="3" l="1"/>
  <c r="AC83" i="3"/>
  <c r="P83" i="3"/>
  <c r="Q83" i="3" s="1"/>
  <c r="R83" i="3" s="1"/>
  <c r="Z83" i="3"/>
  <c r="AD83" i="3"/>
  <c r="A84" i="3"/>
  <c r="B84" i="3" s="1"/>
  <c r="K23" i="3"/>
  <c r="D23" i="3"/>
  <c r="T81" i="3"/>
  <c r="S82" i="3"/>
  <c r="AA84" i="3" l="1"/>
  <c r="Z84" i="3"/>
  <c r="A85" i="3"/>
  <c r="B85" i="3" s="1"/>
  <c r="P84" i="3"/>
  <c r="Q84" i="3" s="1"/>
  <c r="R84" i="3" s="1"/>
  <c r="AD84" i="3"/>
  <c r="AC84" i="3"/>
  <c r="T82" i="3"/>
  <c r="S83" i="3"/>
  <c r="V23" i="3"/>
  <c r="AE23" i="3"/>
  <c r="F23" i="3"/>
  <c r="G23" i="3"/>
  <c r="T83" i="3" l="1"/>
  <c r="S84" i="3"/>
  <c r="A86" i="3"/>
  <c r="B86" i="3" s="1"/>
  <c r="P85" i="3"/>
  <c r="Q85" i="3" s="1"/>
  <c r="R85" i="3" s="1"/>
  <c r="AA85" i="3"/>
  <c r="AC85" i="3"/>
  <c r="Z85" i="3"/>
  <c r="AD85" i="3"/>
  <c r="I23" i="3"/>
  <c r="W23" i="3" s="1"/>
  <c r="J23" i="3"/>
  <c r="M23" i="3"/>
  <c r="N23" i="3" s="1"/>
  <c r="AC86" i="3" l="1"/>
  <c r="Z86" i="3"/>
  <c r="P86" i="3"/>
  <c r="Q86" i="3" s="1"/>
  <c r="R86" i="3" s="1"/>
  <c r="AA86" i="3"/>
  <c r="A87" i="3"/>
  <c r="B87" i="3" s="1"/>
  <c r="AD86" i="3"/>
  <c r="S85" i="3"/>
  <c r="T84" i="3"/>
  <c r="L23" i="3"/>
  <c r="P87" i="3" l="1"/>
  <c r="Q87" i="3" s="1"/>
  <c r="R87" i="3" s="1"/>
  <c r="Z87" i="3"/>
  <c r="A88" i="3"/>
  <c r="B88" i="3" s="1"/>
  <c r="AD87" i="3"/>
  <c r="AC87" i="3"/>
  <c r="AA87" i="3"/>
  <c r="AG24" i="3"/>
  <c r="AH24" i="3"/>
  <c r="U23" i="3"/>
  <c r="E24" i="3" s="1"/>
  <c r="H24" i="3" s="1"/>
  <c r="Y22" i="3"/>
  <c r="T85" i="3"/>
  <c r="S86" i="3"/>
  <c r="D24" i="3" l="1"/>
  <c r="G24" i="3" s="1"/>
  <c r="T86" i="3"/>
  <c r="S87" i="3"/>
  <c r="A89" i="3"/>
  <c r="B89" i="3" s="1"/>
  <c r="P88" i="3"/>
  <c r="Q88" i="3" s="1"/>
  <c r="R88" i="3" s="1"/>
  <c r="AC88" i="3"/>
  <c r="Z88" i="3"/>
  <c r="AA88" i="3"/>
  <c r="AD88" i="3"/>
  <c r="K24" i="3"/>
  <c r="F24" i="3" l="1"/>
  <c r="AD89" i="3"/>
  <c r="AC89" i="3"/>
  <c r="P89" i="3"/>
  <c r="Q89" i="3" s="1"/>
  <c r="R89" i="3" s="1"/>
  <c r="Z89" i="3"/>
  <c r="AA89" i="3"/>
  <c r="A90" i="3"/>
  <c r="B90" i="3" s="1"/>
  <c r="S88" i="3"/>
  <c r="T87" i="3"/>
  <c r="V24" i="3"/>
  <c r="AE24" i="3"/>
  <c r="I24" i="3"/>
  <c r="J24" i="3"/>
  <c r="M24" i="3"/>
  <c r="N24" i="3" s="1"/>
  <c r="T88" i="3" l="1"/>
  <c r="S89" i="3"/>
  <c r="A91" i="3"/>
  <c r="B91" i="3" s="1"/>
  <c r="P90" i="3"/>
  <c r="Q90" i="3" s="1"/>
  <c r="R90" i="3" s="1"/>
  <c r="AC90" i="3"/>
  <c r="Z90" i="3"/>
  <c r="AA90" i="3"/>
  <c r="AD90" i="3"/>
  <c r="L24" i="3"/>
  <c r="W24" i="3"/>
  <c r="S90" i="3" l="1"/>
  <c r="T89" i="3"/>
  <c r="P91" i="3"/>
  <c r="Q91" i="3" s="1"/>
  <c r="R91" i="3" s="1"/>
  <c r="AD91" i="3"/>
  <c r="AA91" i="3"/>
  <c r="A92" i="3"/>
  <c r="B92" i="3" s="1"/>
  <c r="AC91" i="3"/>
  <c r="Z91" i="3"/>
  <c r="AH25" i="3"/>
  <c r="AG25" i="3"/>
  <c r="U24" i="3"/>
  <c r="D25" i="3" s="1"/>
  <c r="Y23" i="3"/>
  <c r="E25" i="3" l="1"/>
  <c r="H25" i="3" s="1"/>
  <c r="K25" i="3" s="1"/>
  <c r="G25" i="3"/>
  <c r="AA92" i="3"/>
  <c r="AD92" i="3"/>
  <c r="AC92" i="3"/>
  <c r="P92" i="3"/>
  <c r="Q92" i="3" s="1"/>
  <c r="R92" i="3" s="1"/>
  <c r="Z92" i="3"/>
  <c r="A93" i="3"/>
  <c r="B93" i="3" s="1"/>
  <c r="S91" i="3"/>
  <c r="T90" i="3"/>
  <c r="F25" i="3" l="1"/>
  <c r="S92" i="3"/>
  <c r="T91" i="3"/>
  <c r="Z93" i="3"/>
  <c r="AA93" i="3"/>
  <c r="P93" i="3"/>
  <c r="Q93" i="3" s="1"/>
  <c r="R93" i="3" s="1"/>
  <c r="A94" i="3"/>
  <c r="B94" i="3" s="1"/>
  <c r="AD93" i="3"/>
  <c r="AC93" i="3"/>
  <c r="I25" i="3"/>
  <c r="J25" i="3"/>
  <c r="M25" i="3"/>
  <c r="N25" i="3" s="1"/>
  <c r="V25" i="3"/>
  <c r="AE25" i="3"/>
  <c r="W25" i="3" l="1"/>
  <c r="AC94" i="3"/>
  <c r="Z94" i="3"/>
  <c r="AA94" i="3"/>
  <c r="AD94" i="3"/>
  <c r="A95" i="3"/>
  <c r="B95" i="3" s="1"/>
  <c r="P94" i="3"/>
  <c r="Q94" i="3" s="1"/>
  <c r="R94" i="3" s="1"/>
  <c r="L25" i="3"/>
  <c r="T92" i="3"/>
  <c r="S93" i="3"/>
  <c r="U25" i="3" l="1"/>
  <c r="E26" i="3" s="1"/>
  <c r="H26" i="3" s="1"/>
  <c r="AH26" i="3"/>
  <c r="AG26" i="3"/>
  <c r="Y24" i="3"/>
  <c r="Z95" i="3"/>
  <c r="A96" i="3"/>
  <c r="B96" i="3" s="1"/>
  <c r="P95" i="3"/>
  <c r="Q95" i="3" s="1"/>
  <c r="R95" i="3" s="1"/>
  <c r="AC95" i="3"/>
  <c r="AD95" i="3"/>
  <c r="AA95" i="3"/>
  <c r="S94" i="3"/>
  <c r="T93" i="3"/>
  <c r="D26" i="3" l="1"/>
  <c r="G26" i="3" s="1"/>
  <c r="K26" i="3"/>
  <c r="Z96" i="3"/>
  <c r="P96" i="3"/>
  <c r="Q96" i="3" s="1"/>
  <c r="R96" i="3" s="1"/>
  <c r="AC96" i="3"/>
  <c r="AA96" i="3"/>
  <c r="AD96" i="3"/>
  <c r="A97" i="3"/>
  <c r="B97" i="3" s="1"/>
  <c r="T94" i="3"/>
  <c r="S95" i="3"/>
  <c r="F26" i="3" l="1"/>
  <c r="I26" i="3"/>
  <c r="J26" i="3"/>
  <c r="M26" i="3"/>
  <c r="N26" i="3" s="1"/>
  <c r="S96" i="3"/>
  <c r="T95" i="3"/>
  <c r="A98" i="3"/>
  <c r="B98" i="3" s="1"/>
  <c r="P97" i="3"/>
  <c r="Q97" i="3" s="1"/>
  <c r="R97" i="3" s="1"/>
  <c r="AD97" i="3"/>
  <c r="AA97" i="3"/>
  <c r="Z97" i="3"/>
  <c r="AC97" i="3"/>
  <c r="V26" i="3"/>
  <c r="AE26" i="3"/>
  <c r="W26" i="3" l="1"/>
  <c r="A99" i="3"/>
  <c r="B99" i="3" s="1"/>
  <c r="AD98" i="3"/>
  <c r="AA98" i="3"/>
  <c r="P98" i="3"/>
  <c r="Q98" i="3" s="1"/>
  <c r="R98" i="3" s="1"/>
  <c r="Z98" i="3"/>
  <c r="AC98" i="3"/>
  <c r="S97" i="3"/>
  <c r="T96" i="3"/>
  <c r="L26" i="3"/>
  <c r="AD99" i="3" l="1"/>
  <c r="P99" i="3"/>
  <c r="Q99" i="3" s="1"/>
  <c r="R99" i="3" s="1"/>
  <c r="Z99" i="3"/>
  <c r="A100" i="3"/>
  <c r="B100" i="3" s="1"/>
  <c r="AC99" i="3"/>
  <c r="AA99" i="3"/>
  <c r="T97" i="3"/>
  <c r="S98" i="3"/>
  <c r="AH27" i="3"/>
  <c r="U26" i="3"/>
  <c r="D27" i="3" s="1"/>
  <c r="AG27" i="3"/>
  <c r="Y25" i="3"/>
  <c r="E27" i="3" l="1"/>
  <c r="H27" i="3" s="1"/>
  <c r="K27" i="3" s="1"/>
  <c r="G27" i="3"/>
  <c r="A101" i="3"/>
  <c r="B101" i="3" s="1"/>
  <c r="AA100" i="3"/>
  <c r="AC100" i="3"/>
  <c r="Z100" i="3"/>
  <c r="AD100" i="3"/>
  <c r="P100" i="3"/>
  <c r="Q100" i="3" s="1"/>
  <c r="R100" i="3" s="1"/>
  <c r="T98" i="3"/>
  <c r="S99" i="3"/>
  <c r="F27" i="3" l="1"/>
  <c r="AD101" i="3"/>
  <c r="Z101" i="3"/>
  <c r="P101" i="3"/>
  <c r="Q101" i="3" s="1"/>
  <c r="R101" i="3" s="1"/>
  <c r="AC101" i="3"/>
  <c r="A102" i="3"/>
  <c r="B102" i="3" s="1"/>
  <c r="AA101" i="3"/>
  <c r="I27" i="3"/>
  <c r="J27" i="3"/>
  <c r="M27" i="3"/>
  <c r="N27" i="3" s="1"/>
  <c r="V27" i="3"/>
  <c r="AE27" i="3"/>
  <c r="T99" i="3"/>
  <c r="S100" i="3"/>
  <c r="P102" i="3" l="1"/>
  <c r="Q102" i="3" s="1"/>
  <c r="R102" i="3" s="1"/>
  <c r="A103" i="3"/>
  <c r="B103" i="3" s="1"/>
  <c r="AA102" i="3"/>
  <c r="AC102" i="3"/>
  <c r="AD102" i="3"/>
  <c r="Z102" i="3"/>
  <c r="T100" i="3"/>
  <c r="S101" i="3"/>
  <c r="L27" i="3"/>
  <c r="W27" i="3"/>
  <c r="P103" i="3" l="1"/>
  <c r="Q103" i="3" s="1"/>
  <c r="R103" i="3" s="1"/>
  <c r="AD103" i="3"/>
  <c r="AC103" i="3"/>
  <c r="Z103" i="3"/>
  <c r="A104" i="3"/>
  <c r="B104" i="3" s="1"/>
  <c r="AA103" i="3"/>
  <c r="U27" i="3"/>
  <c r="E28" i="3" s="1"/>
  <c r="H28" i="3" s="1"/>
  <c r="AG28" i="3"/>
  <c r="AH28" i="3"/>
  <c r="Y26" i="3"/>
  <c r="S102" i="3"/>
  <c r="T101" i="3"/>
  <c r="D28" i="3" l="1"/>
  <c r="F28" i="3" s="1"/>
  <c r="K28" i="3"/>
  <c r="A105" i="3"/>
  <c r="B105" i="3" s="1"/>
  <c r="AC104" i="3"/>
  <c r="P104" i="3"/>
  <c r="Q104" i="3" s="1"/>
  <c r="R104" i="3" s="1"/>
  <c r="Z104" i="3"/>
  <c r="AA104" i="3"/>
  <c r="T102" i="3"/>
  <c r="S103" i="3"/>
  <c r="G28" i="3" l="1"/>
  <c r="I28" i="3" s="1"/>
  <c r="A106" i="3"/>
  <c r="B106" i="3" s="1"/>
  <c r="AA105" i="3"/>
  <c r="Z105" i="3"/>
  <c r="P105" i="3"/>
  <c r="Q105" i="3" s="1"/>
  <c r="R105" i="3" s="1"/>
  <c r="AC105" i="3"/>
  <c r="AD105" i="3"/>
  <c r="S104" i="3"/>
  <c r="T103" i="3"/>
  <c r="V28" i="3"/>
  <c r="AE28" i="3"/>
  <c r="M28" i="3" l="1"/>
  <c r="N28" i="3" s="1"/>
  <c r="J28" i="3"/>
  <c r="L28" i="3" s="1"/>
  <c r="W28" i="3"/>
  <c r="P106" i="3"/>
  <c r="Q106" i="3" s="1"/>
  <c r="R106" i="3" s="1"/>
  <c r="Z106" i="3"/>
  <c r="A107" i="3"/>
  <c r="B107" i="3" s="1"/>
  <c r="AD106" i="3"/>
  <c r="AC106" i="3"/>
  <c r="AA106" i="3"/>
  <c r="S105" i="3"/>
  <c r="T104" i="3"/>
  <c r="S106" i="3" l="1"/>
  <c r="T105" i="3"/>
  <c r="Z107" i="3"/>
  <c r="AA107" i="3"/>
  <c r="AC107" i="3"/>
  <c r="AD107" i="3"/>
  <c r="P107" i="3"/>
  <c r="Q107" i="3" s="1"/>
  <c r="R107" i="3" s="1"/>
  <c r="A108" i="3"/>
  <c r="B108" i="3" s="1"/>
  <c r="AH29" i="3"/>
  <c r="AG29" i="3"/>
  <c r="U28" i="3"/>
  <c r="E29" i="3" s="1"/>
  <c r="H29" i="3" s="1"/>
  <c r="Y27" i="3"/>
  <c r="D29" i="3" l="1"/>
  <c r="F29" i="3" s="1"/>
  <c r="Z108" i="3"/>
  <c r="AA108" i="3"/>
  <c r="A109" i="3"/>
  <c r="B109" i="3" s="1"/>
  <c r="AC108" i="3"/>
  <c r="P108" i="3"/>
  <c r="Q108" i="3" s="1"/>
  <c r="R108" i="3" s="1"/>
  <c r="AD108" i="3"/>
  <c r="S107" i="3"/>
  <c r="T106" i="3"/>
  <c r="K29" i="3"/>
  <c r="G29" i="3" l="1"/>
  <c r="M29" i="3" s="1"/>
  <c r="N29" i="3" s="1"/>
  <c r="A110" i="3"/>
  <c r="B110" i="3" s="1"/>
  <c r="AD109" i="3"/>
  <c r="P109" i="3"/>
  <c r="Q109" i="3" s="1"/>
  <c r="R109" i="3" s="1"/>
  <c r="AA109" i="3"/>
  <c r="Z109" i="3"/>
  <c r="AC109" i="3"/>
  <c r="V29" i="3"/>
  <c r="AE29" i="3"/>
  <c r="T107" i="3"/>
  <c r="S108" i="3"/>
  <c r="J29" i="3" l="1"/>
  <c r="L29" i="3" s="1"/>
  <c r="I29" i="3"/>
  <c r="W29" i="3" s="1"/>
  <c r="AA110" i="3"/>
  <c r="A111" i="3"/>
  <c r="B111" i="3" s="1"/>
  <c r="AD110" i="3"/>
  <c r="Z110" i="3"/>
  <c r="P110" i="3"/>
  <c r="Q110" i="3" s="1"/>
  <c r="R110" i="3" s="1"/>
  <c r="AC110" i="3"/>
  <c r="S109" i="3"/>
  <c r="T108" i="3"/>
  <c r="A112" i="3" l="1"/>
  <c r="B112" i="3" s="1"/>
  <c r="AA111" i="3"/>
  <c r="AC111" i="3"/>
  <c r="P111" i="3"/>
  <c r="Q111" i="3" s="1"/>
  <c r="R111" i="3" s="1"/>
  <c r="AD111" i="3"/>
  <c r="Z111" i="3"/>
  <c r="U29" i="3"/>
  <c r="D30" i="3" s="1"/>
  <c r="AG30" i="3"/>
  <c r="AH30" i="3"/>
  <c r="Y28" i="3"/>
  <c r="S110" i="3"/>
  <c r="T109" i="3"/>
  <c r="E30" i="3" l="1"/>
  <c r="H30" i="3" s="1"/>
  <c r="K30" i="3" s="1"/>
  <c r="AD112" i="3"/>
  <c r="P112" i="3"/>
  <c r="Q112" i="3" s="1"/>
  <c r="R112" i="3" s="1"/>
  <c r="AA112" i="3"/>
  <c r="Z112" i="3"/>
  <c r="A113" i="3"/>
  <c r="B113" i="3" s="1"/>
  <c r="AC112" i="3"/>
  <c r="G30" i="3"/>
  <c r="T110" i="3"/>
  <c r="S111" i="3"/>
  <c r="F30" i="3" l="1"/>
  <c r="AC113" i="3"/>
  <c r="AA113" i="3"/>
  <c r="A114" i="3"/>
  <c r="B114" i="3" s="1"/>
  <c r="Z113" i="3"/>
  <c r="P113" i="3"/>
  <c r="Q113" i="3" s="1"/>
  <c r="R113" i="3" s="1"/>
  <c r="AD113" i="3"/>
  <c r="S112" i="3"/>
  <c r="T111" i="3"/>
  <c r="I30" i="3"/>
  <c r="J30" i="3"/>
  <c r="M30" i="3"/>
  <c r="N30" i="3" s="1"/>
  <c r="V30" i="3"/>
  <c r="AE30" i="3"/>
  <c r="W30" i="3" l="1"/>
  <c r="P114" i="3"/>
  <c r="Q114" i="3" s="1"/>
  <c r="R114" i="3" s="1"/>
  <c r="AD114" i="3"/>
  <c r="Z114" i="3"/>
  <c r="AC114" i="3"/>
  <c r="AA114" i="3"/>
  <c r="A115" i="3"/>
  <c r="B115" i="3" s="1"/>
  <c r="S113" i="3"/>
  <c r="T112" i="3"/>
  <c r="L30" i="3"/>
  <c r="AA115" i="3" l="1"/>
  <c r="A116" i="3"/>
  <c r="B116" i="3" s="1"/>
  <c r="Z115" i="3"/>
  <c r="AD115" i="3"/>
  <c r="P115" i="3"/>
  <c r="Q115" i="3" s="1"/>
  <c r="R115" i="3" s="1"/>
  <c r="AC115" i="3"/>
  <c r="T113" i="3"/>
  <c r="S114" i="3"/>
  <c r="U30" i="3"/>
  <c r="D31" i="3" s="1"/>
  <c r="AG31" i="3"/>
  <c r="AH31" i="3"/>
  <c r="Y29" i="3"/>
  <c r="E31" i="3" l="1"/>
  <c r="H31" i="3" s="1"/>
  <c r="K31" i="3" s="1"/>
  <c r="AD116" i="3"/>
  <c r="P116" i="3"/>
  <c r="Q116" i="3" s="1"/>
  <c r="R116" i="3" s="1"/>
  <c r="AA116" i="3"/>
  <c r="A117" i="3"/>
  <c r="B117" i="3" s="1"/>
  <c r="AC116" i="3"/>
  <c r="Z116" i="3"/>
  <c r="S115" i="3"/>
  <c r="T114" i="3"/>
  <c r="G31" i="3"/>
  <c r="F31" i="3" l="1"/>
  <c r="A118" i="3"/>
  <c r="B118" i="3" s="1"/>
  <c r="Z117" i="3"/>
  <c r="P117" i="3"/>
  <c r="Q117" i="3" s="1"/>
  <c r="R117" i="3" s="1"/>
  <c r="AC117" i="3"/>
  <c r="AD117" i="3"/>
  <c r="AA117" i="3"/>
  <c r="S116" i="3"/>
  <c r="T115" i="3"/>
  <c r="V31" i="3"/>
  <c r="AE31" i="3"/>
  <c r="I31" i="3"/>
  <c r="J31" i="3"/>
  <c r="M31" i="3"/>
  <c r="N31" i="3" s="1"/>
  <c r="P118" i="3" l="1"/>
  <c r="Q118" i="3" s="1"/>
  <c r="R118" i="3" s="1"/>
  <c r="Z118" i="3"/>
  <c r="AA118" i="3"/>
  <c r="AC118" i="3"/>
  <c r="A119" i="3"/>
  <c r="B119" i="3" s="1"/>
  <c r="AD118" i="3"/>
  <c r="L31" i="3"/>
  <c r="S117" i="3"/>
  <c r="T116" i="3"/>
  <c r="W31" i="3"/>
  <c r="S118" i="3" l="1"/>
  <c r="T117" i="3"/>
  <c r="AG32" i="3"/>
  <c r="AH32" i="3"/>
  <c r="U31" i="3"/>
  <c r="E32" i="3" s="1"/>
  <c r="H32" i="3" s="1"/>
  <c r="Y30" i="3"/>
  <c r="AD119" i="3"/>
  <c r="Z119" i="3"/>
  <c r="AC119" i="3"/>
  <c r="P119" i="3"/>
  <c r="Q119" i="3" s="1"/>
  <c r="R119" i="3" s="1"/>
  <c r="AA119" i="3"/>
  <c r="A120" i="3"/>
  <c r="B120" i="3" s="1"/>
  <c r="D32" i="3" l="1"/>
  <c r="F32" i="3" s="1"/>
  <c r="K32" i="3"/>
  <c r="T118" i="3"/>
  <c r="S119" i="3"/>
  <c r="P120" i="3"/>
  <c r="Q120" i="3" s="1"/>
  <c r="R120" i="3" s="1"/>
  <c r="Z120" i="3"/>
  <c r="AA120" i="3"/>
  <c r="AD120" i="3"/>
  <c r="A121" i="3"/>
  <c r="B121" i="3" s="1"/>
  <c r="AC120" i="3"/>
  <c r="G32" i="3" l="1"/>
  <c r="I32" i="3" s="1"/>
  <c r="A122" i="3"/>
  <c r="B122" i="3" s="1"/>
  <c r="P121" i="3"/>
  <c r="Q121" i="3" s="1"/>
  <c r="R121" i="3" s="1"/>
  <c r="AC121" i="3"/>
  <c r="AD121" i="3"/>
  <c r="AA121" i="3"/>
  <c r="Z121" i="3"/>
  <c r="V32" i="3"/>
  <c r="AE32" i="3"/>
  <c r="T119" i="3"/>
  <c r="S120" i="3"/>
  <c r="M32" i="3" l="1"/>
  <c r="N32" i="3" s="1"/>
  <c r="J32" i="3"/>
  <c r="L32" i="3" s="1"/>
  <c r="W32" i="3"/>
  <c r="AD122" i="3"/>
  <c r="A123" i="3"/>
  <c r="B123" i="3" s="1"/>
  <c r="Z122" i="3"/>
  <c r="AA122" i="3"/>
  <c r="P122" i="3"/>
  <c r="Q122" i="3" s="1"/>
  <c r="R122" i="3" s="1"/>
  <c r="AC122" i="3"/>
  <c r="S121" i="3"/>
  <c r="T120" i="3"/>
  <c r="T121" i="3" l="1"/>
  <c r="S122" i="3"/>
  <c r="AA123" i="3"/>
  <c r="P123" i="3"/>
  <c r="Q123" i="3" s="1"/>
  <c r="R123" i="3" s="1"/>
  <c r="A124" i="3"/>
  <c r="B124" i="3" s="1"/>
  <c r="Z123" i="3"/>
  <c r="AC123" i="3"/>
  <c r="AD123" i="3"/>
  <c r="AH33" i="3"/>
  <c r="AG33" i="3"/>
  <c r="U32" i="3"/>
  <c r="D33" i="3" s="1"/>
  <c r="Y31" i="3"/>
  <c r="E33" i="3" l="1"/>
  <c r="H33" i="3" s="1"/>
  <c r="K33" i="3" s="1"/>
  <c r="A125" i="3"/>
  <c r="B125" i="3" s="1"/>
  <c r="P124" i="3"/>
  <c r="Q124" i="3" s="1"/>
  <c r="R124" i="3" s="1"/>
  <c r="AC124" i="3"/>
  <c r="AA124" i="3"/>
  <c r="Z124" i="3"/>
  <c r="AD124" i="3"/>
  <c r="T122" i="3"/>
  <c r="S123" i="3"/>
  <c r="G33" i="3"/>
  <c r="F33" i="3" l="1"/>
  <c r="P125" i="3"/>
  <c r="Q125" i="3" s="1"/>
  <c r="R125" i="3" s="1"/>
  <c r="Z125" i="3"/>
  <c r="AC125" i="3"/>
  <c r="AD125" i="3"/>
  <c r="AA125" i="3"/>
  <c r="A126" i="3"/>
  <c r="B126" i="3" s="1"/>
  <c r="S124" i="3"/>
  <c r="T123" i="3"/>
  <c r="I33" i="3"/>
  <c r="J33" i="3"/>
  <c r="M33" i="3"/>
  <c r="N33" i="3" s="1"/>
  <c r="V33" i="3"/>
  <c r="AE33" i="3"/>
  <c r="W33" i="3" l="1"/>
  <c r="AA126" i="3"/>
  <c r="P126" i="3"/>
  <c r="Q126" i="3" s="1"/>
  <c r="R126" i="3" s="1"/>
  <c r="Z126" i="3"/>
  <c r="AC126" i="3"/>
  <c r="A127" i="3"/>
  <c r="B127" i="3" s="1"/>
  <c r="AD126" i="3"/>
  <c r="L33" i="3"/>
  <c r="S125" i="3"/>
  <c r="T124" i="3"/>
  <c r="Z127" i="3" l="1"/>
  <c r="AC127" i="3"/>
  <c r="P127" i="3"/>
  <c r="Q127" i="3" s="1"/>
  <c r="R127" i="3" s="1"/>
  <c r="AD127" i="3"/>
  <c r="A128" i="3"/>
  <c r="B128" i="3" s="1"/>
  <c r="AA127" i="3"/>
  <c r="AH34" i="3"/>
  <c r="AG34" i="3"/>
  <c r="U33" i="3"/>
  <c r="D34" i="3" s="1"/>
  <c r="Y32" i="3"/>
  <c r="S126" i="3"/>
  <c r="T125" i="3"/>
  <c r="G34" i="3" l="1"/>
  <c r="P128" i="3"/>
  <c r="Q128" i="3" s="1"/>
  <c r="R128" i="3" s="1"/>
  <c r="Z128" i="3"/>
  <c r="AC128" i="3"/>
  <c r="AA128" i="3"/>
  <c r="A129" i="3"/>
  <c r="B129" i="3" s="1"/>
  <c r="AD128" i="3"/>
  <c r="E34" i="3"/>
  <c r="H34" i="3" s="1"/>
  <c r="S127" i="3"/>
  <c r="T126" i="3"/>
  <c r="F34" i="3" l="1"/>
  <c r="I34" i="3"/>
  <c r="J34" i="3"/>
  <c r="AD34" i="3" s="1"/>
  <c r="M34" i="3"/>
  <c r="N34" i="3" s="1"/>
  <c r="K34" i="3"/>
  <c r="P129" i="3"/>
  <c r="Q129" i="3" s="1"/>
  <c r="R129" i="3" s="1"/>
  <c r="AC129" i="3"/>
  <c r="Z129" i="3"/>
  <c r="A130" i="3"/>
  <c r="B130" i="3" s="1"/>
  <c r="AD129" i="3"/>
  <c r="AA129" i="3"/>
  <c r="S128" i="3"/>
  <c r="T127" i="3"/>
  <c r="A131" i="3" l="1"/>
  <c r="B131" i="3" s="1"/>
  <c r="AD130" i="3"/>
  <c r="P130" i="3"/>
  <c r="Q130" i="3" s="1"/>
  <c r="R130" i="3" s="1"/>
  <c r="AC130" i="3"/>
  <c r="AA130" i="3"/>
  <c r="Z130" i="3"/>
  <c r="S129" i="3"/>
  <c r="T128" i="3"/>
  <c r="V34" i="3"/>
  <c r="W34" i="3" s="1"/>
  <c r="AE34" i="3"/>
  <c r="L34" i="3"/>
  <c r="T129" i="3" l="1"/>
  <c r="S130" i="3"/>
  <c r="AC131" i="3"/>
  <c r="AD131" i="3"/>
  <c r="A132" i="3"/>
  <c r="B132" i="3" s="1"/>
  <c r="Z131" i="3"/>
  <c r="P131" i="3"/>
  <c r="Q131" i="3" s="1"/>
  <c r="R131" i="3" s="1"/>
  <c r="AA131" i="3"/>
  <c r="U34" i="3"/>
  <c r="E35" i="3" s="1"/>
  <c r="H35" i="3" s="1"/>
  <c r="AH35" i="3"/>
  <c r="AG35" i="3"/>
  <c r="Y33" i="3"/>
  <c r="D35" i="3" l="1"/>
  <c r="G35" i="3" s="1"/>
  <c r="AD132" i="3"/>
  <c r="P132" i="3"/>
  <c r="Q132" i="3" s="1"/>
  <c r="R132" i="3" s="1"/>
  <c r="Z132" i="3"/>
  <c r="A133" i="3"/>
  <c r="B133" i="3" s="1"/>
  <c r="AC132" i="3"/>
  <c r="AA132" i="3"/>
  <c r="T130" i="3"/>
  <c r="S131" i="3"/>
  <c r="K35" i="3"/>
  <c r="F35" i="3" l="1"/>
  <c r="AD133" i="3"/>
  <c r="P133" i="3"/>
  <c r="Q133" i="3" s="1"/>
  <c r="R133" i="3" s="1"/>
  <c r="Z133" i="3"/>
  <c r="A134" i="3"/>
  <c r="B134" i="3" s="1"/>
  <c r="AA133" i="3"/>
  <c r="AC133" i="3"/>
  <c r="S132" i="3"/>
  <c r="T131" i="3"/>
  <c r="I35" i="3"/>
  <c r="J35" i="3"/>
  <c r="M35" i="3"/>
  <c r="N35" i="3" s="1"/>
  <c r="V35" i="3"/>
  <c r="AE35" i="3"/>
  <c r="W35" i="3" l="1"/>
  <c r="AC134" i="3"/>
  <c r="AA134" i="3"/>
  <c r="A135" i="3"/>
  <c r="B135" i="3" s="1"/>
  <c r="P134" i="3"/>
  <c r="Q134" i="3" s="1"/>
  <c r="R134" i="3" s="1"/>
  <c r="Z134" i="3"/>
  <c r="L35" i="3"/>
  <c r="S133" i="3"/>
  <c r="T132" i="3"/>
  <c r="AD135" i="3" l="1"/>
  <c r="P135" i="3"/>
  <c r="Q135" i="3" s="1"/>
  <c r="R135" i="3" s="1"/>
  <c r="A136" i="3"/>
  <c r="B136" i="3" s="1"/>
  <c r="AA135" i="3"/>
  <c r="AC135" i="3"/>
  <c r="Z135" i="3"/>
  <c r="S134" i="3"/>
  <c r="T133" i="3"/>
  <c r="U35" i="3"/>
  <c r="E36" i="3" s="1"/>
  <c r="H36" i="3" s="1"/>
  <c r="AG36" i="3"/>
  <c r="AH36" i="3"/>
  <c r="Y34" i="3"/>
  <c r="K36" i="3" l="1"/>
  <c r="A137" i="3"/>
  <c r="B137" i="3" s="1"/>
  <c r="P136" i="3"/>
  <c r="Q136" i="3" s="1"/>
  <c r="R136" i="3" s="1"/>
  <c r="AA136" i="3"/>
  <c r="Z136" i="3"/>
  <c r="AD136" i="3"/>
  <c r="AC136" i="3"/>
  <c r="T134" i="3"/>
  <c r="S135" i="3"/>
  <c r="D36" i="3"/>
  <c r="T135" i="3" l="1"/>
  <c r="S136" i="3"/>
  <c r="F36" i="3"/>
  <c r="G36" i="3"/>
  <c r="P137" i="3"/>
  <c r="Q137" i="3" s="1"/>
  <c r="R137" i="3" s="1"/>
  <c r="Z137" i="3"/>
  <c r="AA137" i="3"/>
  <c r="AD137" i="3"/>
  <c r="AC137" i="3"/>
  <c r="A138" i="3"/>
  <c r="B138" i="3" s="1"/>
  <c r="V36" i="3"/>
  <c r="AE36" i="3"/>
  <c r="A139" i="3" l="1"/>
  <c r="B139" i="3" s="1"/>
  <c r="AC138" i="3"/>
  <c r="P138" i="3"/>
  <c r="Q138" i="3" s="1"/>
  <c r="R138" i="3" s="1"/>
  <c r="AA138" i="3"/>
  <c r="AD138" i="3"/>
  <c r="Z138" i="3"/>
  <c r="S137" i="3"/>
  <c r="T136" i="3"/>
  <c r="I36" i="3"/>
  <c r="W36" i="3" s="1"/>
  <c r="J36" i="3"/>
  <c r="M36" i="3"/>
  <c r="N36" i="3" s="1"/>
  <c r="L36" i="3" l="1"/>
  <c r="T137" i="3"/>
  <c r="S138" i="3"/>
  <c r="A140" i="3"/>
  <c r="B140" i="3" s="1"/>
  <c r="AA139" i="3"/>
  <c r="AD139" i="3"/>
  <c r="AC139" i="3"/>
  <c r="Z139" i="3"/>
  <c r="P139" i="3"/>
  <c r="Q139" i="3" s="1"/>
  <c r="R139" i="3" s="1"/>
  <c r="P140" i="3" l="1"/>
  <c r="Q140" i="3" s="1"/>
  <c r="R140" i="3" s="1"/>
  <c r="AD140" i="3"/>
  <c r="A141" i="3"/>
  <c r="B141" i="3" s="1"/>
  <c r="AA140" i="3"/>
  <c r="Z140" i="3"/>
  <c r="AC140" i="3"/>
  <c r="AH37" i="3"/>
  <c r="AG37" i="3"/>
  <c r="U36" i="3"/>
  <c r="E37" i="3" s="1"/>
  <c r="H37" i="3" s="1"/>
  <c r="Y35" i="3"/>
  <c r="S139" i="3"/>
  <c r="T138" i="3"/>
  <c r="D37" i="3" l="1"/>
  <c r="G37" i="3" s="1"/>
  <c r="A142" i="3"/>
  <c r="B142" i="3" s="1"/>
  <c r="P141" i="3"/>
  <c r="Q141" i="3" s="1"/>
  <c r="R141" i="3" s="1"/>
  <c r="AC141" i="3"/>
  <c r="Z141" i="3"/>
  <c r="AD141" i="3"/>
  <c r="AA141" i="3"/>
  <c r="K37" i="3"/>
  <c r="S140" i="3"/>
  <c r="T139" i="3"/>
  <c r="F37" i="3" l="1"/>
  <c r="A143" i="3"/>
  <c r="B143" i="3" s="1"/>
  <c r="AA142" i="3"/>
  <c r="P142" i="3"/>
  <c r="Q142" i="3" s="1"/>
  <c r="R142" i="3" s="1"/>
  <c r="AC142" i="3"/>
  <c r="AD142" i="3"/>
  <c r="Z142" i="3"/>
  <c r="I37" i="3"/>
  <c r="J37" i="3"/>
  <c r="M37" i="3"/>
  <c r="N37" i="3" s="1"/>
  <c r="V37" i="3"/>
  <c r="AE37" i="3"/>
  <c r="T140" i="3"/>
  <c r="S141" i="3"/>
  <c r="W37" i="3" l="1"/>
  <c r="P143" i="3"/>
  <c r="Q143" i="3" s="1"/>
  <c r="R143" i="3" s="1"/>
  <c r="AC143" i="3"/>
  <c r="A144" i="3"/>
  <c r="B144" i="3" s="1"/>
  <c r="AD143" i="3"/>
  <c r="AA143" i="3"/>
  <c r="Z143" i="3"/>
  <c r="T141" i="3"/>
  <c r="S142" i="3"/>
  <c r="L37" i="3"/>
  <c r="T142" i="3" l="1"/>
  <c r="S143" i="3"/>
  <c r="Z144" i="3"/>
  <c r="P144" i="3"/>
  <c r="Q144" i="3" s="1"/>
  <c r="R144" i="3" s="1"/>
  <c r="A145" i="3"/>
  <c r="B145" i="3" s="1"/>
  <c r="AA144" i="3"/>
  <c r="AC144" i="3"/>
  <c r="AD144" i="3"/>
  <c r="AH38" i="3"/>
  <c r="AG38" i="3"/>
  <c r="U37" i="3"/>
  <c r="D38" i="3" s="1"/>
  <c r="Y36" i="3"/>
  <c r="G38" i="3" l="1"/>
  <c r="P145" i="3"/>
  <c r="Q145" i="3" s="1"/>
  <c r="R145" i="3" s="1"/>
  <c r="A146" i="3"/>
  <c r="B146" i="3" s="1"/>
  <c r="Z145" i="3"/>
  <c r="AA145" i="3"/>
  <c r="AC145" i="3"/>
  <c r="AD145" i="3"/>
  <c r="T143" i="3"/>
  <c r="S144" i="3"/>
  <c r="E38" i="3"/>
  <c r="H38" i="3" s="1"/>
  <c r="Z146" i="3" l="1"/>
  <c r="A147" i="3"/>
  <c r="B147" i="3" s="1"/>
  <c r="AA146" i="3"/>
  <c r="AD146" i="3"/>
  <c r="P146" i="3"/>
  <c r="Q146" i="3" s="1"/>
  <c r="R146" i="3" s="1"/>
  <c r="AC146" i="3"/>
  <c r="K38" i="3"/>
  <c r="F38" i="3"/>
  <c r="I38" i="3"/>
  <c r="J38" i="3"/>
  <c r="M38" i="3"/>
  <c r="N38" i="3" s="1"/>
  <c r="T144" i="3"/>
  <c r="S145" i="3"/>
  <c r="Z147" i="3" l="1"/>
  <c r="P147" i="3"/>
  <c r="Q147" i="3" s="1"/>
  <c r="R147" i="3" s="1"/>
  <c r="AC147" i="3"/>
  <c r="A148" i="3"/>
  <c r="B148" i="3" s="1"/>
  <c r="AD147" i="3"/>
  <c r="AA147" i="3"/>
  <c r="S146" i="3"/>
  <c r="T145" i="3"/>
  <c r="L38" i="3"/>
  <c r="V38" i="3"/>
  <c r="W38" i="3" s="1"/>
  <c r="AE38" i="3"/>
  <c r="AD148" i="3" l="1"/>
  <c r="P148" i="3"/>
  <c r="Q148" i="3" s="1"/>
  <c r="R148" i="3" s="1"/>
  <c r="Z148" i="3"/>
  <c r="AC148" i="3"/>
  <c r="AA148" i="3"/>
  <c r="A149" i="3"/>
  <c r="B149" i="3" s="1"/>
  <c r="S147" i="3"/>
  <c r="T146" i="3"/>
  <c r="U38" i="3"/>
  <c r="D39" i="3" s="1"/>
  <c r="AG39" i="3"/>
  <c r="AH39" i="3"/>
  <c r="Y37" i="3"/>
  <c r="G39" i="3" l="1"/>
  <c r="AD149" i="3"/>
  <c r="AC149" i="3"/>
  <c r="P149" i="3"/>
  <c r="Q149" i="3" s="1"/>
  <c r="R149" i="3" s="1"/>
  <c r="AA149" i="3"/>
  <c r="Z149" i="3"/>
  <c r="A150" i="3"/>
  <c r="B150" i="3" s="1"/>
  <c r="T147" i="3"/>
  <c r="S148" i="3"/>
  <c r="E39" i="3"/>
  <c r="H39" i="3" s="1"/>
  <c r="AA150" i="3" l="1"/>
  <c r="P150" i="3"/>
  <c r="Q150" i="3" s="1"/>
  <c r="R150" i="3" s="1"/>
  <c r="Z150" i="3"/>
  <c r="AD150" i="3"/>
  <c r="AC150" i="3"/>
  <c r="A151" i="3"/>
  <c r="B151" i="3" s="1"/>
  <c r="F39" i="3"/>
  <c r="K39" i="3"/>
  <c r="I39" i="3"/>
  <c r="J39" i="3"/>
  <c r="M39" i="3"/>
  <c r="N39" i="3" s="1"/>
  <c r="T148" i="3"/>
  <c r="S149" i="3"/>
  <c r="S150" i="3" l="1"/>
  <c r="T149" i="3"/>
  <c r="P151" i="3"/>
  <c r="Q151" i="3" s="1"/>
  <c r="R151" i="3" s="1"/>
  <c r="AC151" i="3"/>
  <c r="AD151" i="3"/>
  <c r="Z151" i="3"/>
  <c r="A152" i="3"/>
  <c r="B152" i="3" s="1"/>
  <c r="AA151" i="3"/>
  <c r="L39" i="3"/>
  <c r="V39" i="3"/>
  <c r="W39" i="3" s="1"/>
  <c r="AE39" i="3"/>
  <c r="S151" i="3" l="1"/>
  <c r="T150" i="3"/>
  <c r="A153" i="3"/>
  <c r="B153" i="3" s="1"/>
  <c r="AC152" i="3"/>
  <c r="AA152" i="3"/>
  <c r="P152" i="3"/>
  <c r="Q152" i="3" s="1"/>
  <c r="R152" i="3" s="1"/>
  <c r="AD152" i="3"/>
  <c r="Z152" i="3"/>
  <c r="U39" i="3"/>
  <c r="E40" i="3" s="1"/>
  <c r="H40" i="3" s="1"/>
  <c r="AH40" i="3"/>
  <c r="AG40" i="3"/>
  <c r="Y38" i="3"/>
  <c r="D40" i="3" l="1"/>
  <c r="F40" i="3" s="1"/>
  <c r="A154" i="3"/>
  <c r="B154" i="3" s="1"/>
  <c r="P153" i="3"/>
  <c r="Q153" i="3" s="1"/>
  <c r="R153" i="3" s="1"/>
  <c r="AD153" i="3"/>
  <c r="Z153" i="3"/>
  <c r="AA153" i="3"/>
  <c r="AC153" i="3"/>
  <c r="S152" i="3"/>
  <c r="T151" i="3"/>
  <c r="K40" i="3"/>
  <c r="G40" i="3" l="1"/>
  <c r="M40" i="3" s="1"/>
  <c r="N40" i="3" s="1"/>
  <c r="P154" i="3"/>
  <c r="Q154" i="3" s="1"/>
  <c r="R154" i="3" s="1"/>
  <c r="AD154" i="3"/>
  <c r="Z154" i="3"/>
  <c r="AA154" i="3"/>
  <c r="A155" i="3"/>
  <c r="B155" i="3" s="1"/>
  <c r="AC154" i="3"/>
  <c r="S153" i="3"/>
  <c r="T152" i="3"/>
  <c r="V40" i="3"/>
  <c r="AE40" i="3"/>
  <c r="I40" i="3" l="1"/>
  <c r="W40" i="3" s="1"/>
  <c r="J40" i="3"/>
  <c r="L40" i="3" s="1"/>
  <c r="Z155" i="3"/>
  <c r="P155" i="3"/>
  <c r="Q155" i="3" s="1"/>
  <c r="R155" i="3" s="1"/>
  <c r="A156" i="3"/>
  <c r="B156" i="3" s="1"/>
  <c r="AD155" i="3"/>
  <c r="AC155" i="3"/>
  <c r="AA155" i="3"/>
  <c r="T153" i="3"/>
  <c r="S154" i="3"/>
  <c r="U40" i="3" l="1"/>
  <c r="D41" i="3" s="1"/>
  <c r="AG41" i="3"/>
  <c r="AH41" i="3"/>
  <c r="Y39" i="3"/>
  <c r="S155" i="3"/>
  <c r="T154" i="3"/>
  <c r="AA156" i="3"/>
  <c r="A157" i="3"/>
  <c r="B157" i="3" s="1"/>
  <c r="AD156" i="3"/>
  <c r="Z156" i="3"/>
  <c r="AC156" i="3"/>
  <c r="P156" i="3"/>
  <c r="Q156" i="3" s="1"/>
  <c r="R156" i="3" s="1"/>
  <c r="G41" i="3" l="1"/>
  <c r="A158" i="3"/>
  <c r="B158" i="3" s="1"/>
  <c r="AD157" i="3"/>
  <c r="P157" i="3"/>
  <c r="Q157" i="3" s="1"/>
  <c r="R157" i="3" s="1"/>
  <c r="AA157" i="3"/>
  <c r="Z157" i="3"/>
  <c r="AC157" i="3"/>
  <c r="E41" i="3"/>
  <c r="H41" i="3" s="1"/>
  <c r="T155" i="3"/>
  <c r="S156" i="3"/>
  <c r="F41" i="3" l="1"/>
  <c r="S157" i="3"/>
  <c r="T156" i="3"/>
  <c r="A159" i="3"/>
  <c r="B159" i="3" s="1"/>
  <c r="P158" i="3"/>
  <c r="Q158" i="3" s="1"/>
  <c r="R158" i="3" s="1"/>
  <c r="AA158" i="3"/>
  <c r="AC158" i="3"/>
  <c r="Z158" i="3"/>
  <c r="AD158" i="3"/>
  <c r="I41" i="3"/>
  <c r="J41" i="3"/>
  <c r="M41" i="3"/>
  <c r="N41" i="3" s="1"/>
  <c r="K41" i="3"/>
  <c r="V41" i="3" l="1"/>
  <c r="W41" i="3" s="1"/>
  <c r="AE41" i="3"/>
  <c r="L41" i="3"/>
  <c r="A160" i="3"/>
  <c r="B160" i="3" s="1"/>
  <c r="AC159" i="3"/>
  <c r="P159" i="3"/>
  <c r="Q159" i="3" s="1"/>
  <c r="R159" i="3" s="1"/>
  <c r="AD159" i="3"/>
  <c r="Z159" i="3"/>
  <c r="AA159" i="3"/>
  <c r="S158" i="3"/>
  <c r="T157" i="3"/>
  <c r="AA160" i="3" l="1"/>
  <c r="P160" i="3"/>
  <c r="Q160" i="3" s="1"/>
  <c r="R160" i="3" s="1"/>
  <c r="Z160" i="3"/>
  <c r="AC160" i="3"/>
  <c r="AD160" i="3"/>
  <c r="A161" i="3"/>
  <c r="B161" i="3" s="1"/>
  <c r="U41" i="3"/>
  <c r="E42" i="3" s="1"/>
  <c r="H42" i="3" s="1"/>
  <c r="AG42" i="3"/>
  <c r="AH42" i="3"/>
  <c r="Y40" i="3"/>
  <c r="T158" i="3"/>
  <c r="S159" i="3"/>
  <c r="D42" i="3" l="1"/>
  <c r="G42" i="3" s="1"/>
  <c r="Z161" i="3"/>
  <c r="AA161" i="3"/>
  <c r="P161" i="3"/>
  <c r="Q161" i="3" s="1"/>
  <c r="R161" i="3" s="1"/>
  <c r="A162" i="3"/>
  <c r="B162" i="3" s="1"/>
  <c r="AC161" i="3"/>
  <c r="AD161" i="3"/>
  <c r="S160" i="3"/>
  <c r="T159" i="3"/>
  <c r="K42" i="3"/>
  <c r="F42" i="3" l="1"/>
  <c r="AD162" i="3"/>
  <c r="Z162" i="3"/>
  <c r="P162" i="3"/>
  <c r="Q162" i="3" s="1"/>
  <c r="R162" i="3" s="1"/>
  <c r="AC162" i="3"/>
  <c r="AA162" i="3"/>
  <c r="A163" i="3"/>
  <c r="B163" i="3" s="1"/>
  <c r="V42" i="3"/>
  <c r="AE42" i="3"/>
  <c r="S161" i="3"/>
  <c r="T160" i="3"/>
  <c r="I42" i="3"/>
  <c r="J42" i="3"/>
  <c r="M42" i="3"/>
  <c r="N42" i="3" s="1"/>
  <c r="W42" i="3" l="1"/>
  <c r="L42" i="3"/>
  <c r="T161" i="3"/>
  <c r="S162" i="3"/>
  <c r="AD163" i="3"/>
  <c r="A164" i="3"/>
  <c r="B164" i="3" s="1"/>
  <c r="AC163" i="3"/>
  <c r="Z163" i="3"/>
  <c r="P163" i="3"/>
  <c r="Q163" i="3" s="1"/>
  <c r="R163" i="3" s="1"/>
  <c r="AA163" i="3"/>
  <c r="P164" i="3" l="1"/>
  <c r="Q164" i="3" s="1"/>
  <c r="R164" i="3" s="1"/>
  <c r="AA164" i="3"/>
  <c r="AD164" i="3"/>
  <c r="Z164" i="3"/>
  <c r="A165" i="3"/>
  <c r="B165" i="3" s="1"/>
  <c r="AC164" i="3"/>
  <c r="AG43" i="3"/>
  <c r="AH43" i="3"/>
  <c r="U42" i="3"/>
  <c r="E43" i="3" s="1"/>
  <c r="H43" i="3" s="1"/>
  <c r="Y41" i="3"/>
  <c r="S163" i="3"/>
  <c r="T162" i="3"/>
  <c r="K43" i="3" l="1"/>
  <c r="AD165" i="3"/>
  <c r="A166" i="3"/>
  <c r="B166" i="3" s="1"/>
  <c r="AA165" i="3"/>
  <c r="AC165" i="3"/>
  <c r="Z165" i="3"/>
  <c r="P165" i="3"/>
  <c r="Q165" i="3" s="1"/>
  <c r="R165" i="3" s="1"/>
  <c r="D43" i="3"/>
  <c r="S164" i="3"/>
  <c r="T163" i="3"/>
  <c r="A167" i="3" l="1"/>
  <c r="B167" i="3" s="1"/>
  <c r="AA166" i="3"/>
  <c r="AC166" i="3"/>
  <c r="P166" i="3"/>
  <c r="Q166" i="3" s="1"/>
  <c r="R166" i="3" s="1"/>
  <c r="AD166" i="3"/>
  <c r="Z166" i="3"/>
  <c r="T164" i="3"/>
  <c r="S165" i="3"/>
  <c r="V43" i="3"/>
  <c r="AE43" i="3"/>
  <c r="F43" i="3"/>
  <c r="G43" i="3"/>
  <c r="P167" i="3" l="1"/>
  <c r="Q167" i="3" s="1"/>
  <c r="R167" i="3" s="1"/>
  <c r="AA167" i="3"/>
  <c r="AC167" i="3"/>
  <c r="Z167" i="3"/>
  <c r="A168" i="3"/>
  <c r="B168" i="3" s="1"/>
  <c r="AD167" i="3"/>
  <c r="S166" i="3"/>
  <c r="T165" i="3"/>
  <c r="I43" i="3"/>
  <c r="W43" i="3" s="1"/>
  <c r="J43" i="3"/>
  <c r="M43" i="3"/>
  <c r="N43" i="3" s="1"/>
  <c r="A169" i="3" l="1"/>
  <c r="B169" i="3" s="1"/>
  <c r="Z168" i="3"/>
  <c r="P168" i="3"/>
  <c r="Q168" i="3" s="1"/>
  <c r="R168" i="3" s="1"/>
  <c r="AD168" i="3"/>
  <c r="AC168" i="3"/>
  <c r="AA168" i="3"/>
  <c r="L43" i="3"/>
  <c r="T166" i="3"/>
  <c r="S167" i="3"/>
  <c r="AD169" i="3" l="1"/>
  <c r="P169" i="3"/>
  <c r="Q169" i="3" s="1"/>
  <c r="R169" i="3" s="1"/>
  <c r="A170" i="3"/>
  <c r="B170" i="3" s="1"/>
  <c r="Z169" i="3"/>
  <c r="AA169" i="3"/>
  <c r="AC169" i="3"/>
  <c r="AG44" i="3"/>
  <c r="AH44" i="3"/>
  <c r="U43" i="3"/>
  <c r="E44" i="3" s="1"/>
  <c r="H44" i="3" s="1"/>
  <c r="Y42" i="3"/>
  <c r="S168" i="3"/>
  <c r="T167" i="3"/>
  <c r="D44" i="3" l="1"/>
  <c r="F44" i="3" s="1"/>
  <c r="K44" i="3"/>
  <c r="AA170" i="3"/>
  <c r="AC170" i="3"/>
  <c r="P170" i="3"/>
  <c r="Q170" i="3" s="1"/>
  <c r="R170" i="3" s="1"/>
  <c r="A171" i="3"/>
  <c r="B171" i="3" s="1"/>
  <c r="AD170" i="3"/>
  <c r="Z170" i="3"/>
  <c r="T168" i="3"/>
  <c r="S169" i="3"/>
  <c r="G44" i="3" l="1"/>
  <c r="J44" i="3" s="1"/>
  <c r="A172" i="3"/>
  <c r="B172" i="3" s="1"/>
  <c r="AD171" i="3"/>
  <c r="P171" i="3"/>
  <c r="Q171" i="3" s="1"/>
  <c r="R171" i="3" s="1"/>
  <c r="Z171" i="3"/>
  <c r="AA171" i="3"/>
  <c r="AC171" i="3"/>
  <c r="V44" i="3"/>
  <c r="AE44" i="3"/>
  <c r="T169" i="3"/>
  <c r="S170" i="3"/>
  <c r="M44" i="3" l="1"/>
  <c r="N44" i="3" s="1"/>
  <c r="I44" i="3"/>
  <c r="W44" i="3" s="1"/>
  <c r="A173" i="3"/>
  <c r="B173" i="3" s="1"/>
  <c r="AD172" i="3"/>
  <c r="P172" i="3"/>
  <c r="Q172" i="3" s="1"/>
  <c r="R172" i="3" s="1"/>
  <c r="AA172" i="3"/>
  <c r="AC172" i="3"/>
  <c r="Z172" i="3"/>
  <c r="T170" i="3"/>
  <c r="S171" i="3"/>
  <c r="L44" i="3"/>
  <c r="Z173" i="3" l="1"/>
  <c r="P173" i="3"/>
  <c r="Q173" i="3" s="1"/>
  <c r="R173" i="3" s="1"/>
  <c r="AD173" i="3"/>
  <c r="AA173" i="3"/>
  <c r="AC173" i="3"/>
  <c r="A174" i="3"/>
  <c r="B174" i="3" s="1"/>
  <c r="T171" i="3"/>
  <c r="S172" i="3"/>
  <c r="U44" i="3"/>
  <c r="E45" i="3" s="1"/>
  <c r="H45" i="3" s="1"/>
  <c r="AH45" i="3"/>
  <c r="AG45" i="3"/>
  <c r="Y43" i="3"/>
  <c r="D45" i="3" l="1"/>
  <c r="G45" i="3" s="1"/>
  <c r="K45" i="3"/>
  <c r="Z174" i="3"/>
  <c r="A175" i="3"/>
  <c r="B175" i="3" s="1"/>
  <c r="AD174" i="3"/>
  <c r="P174" i="3"/>
  <c r="Q174" i="3" s="1"/>
  <c r="R174" i="3" s="1"/>
  <c r="AA174" i="3"/>
  <c r="AC174" i="3"/>
  <c r="S173" i="3"/>
  <c r="T172" i="3"/>
  <c r="F45" i="3" l="1"/>
  <c r="P175" i="3"/>
  <c r="Q175" i="3" s="1"/>
  <c r="R175" i="3" s="1"/>
  <c r="A176" i="3"/>
  <c r="B176" i="3" s="1"/>
  <c r="AD175" i="3"/>
  <c r="AC175" i="3"/>
  <c r="AA175" i="3"/>
  <c r="Z175" i="3"/>
  <c r="I45" i="3"/>
  <c r="J45" i="3"/>
  <c r="M45" i="3"/>
  <c r="N45" i="3" s="1"/>
  <c r="S174" i="3"/>
  <c r="T173" i="3"/>
  <c r="V45" i="3"/>
  <c r="AE45" i="3"/>
  <c r="AD176" i="3" l="1"/>
  <c r="P176" i="3"/>
  <c r="Q176" i="3" s="1"/>
  <c r="R176" i="3" s="1"/>
  <c r="A177" i="3"/>
  <c r="B177" i="3" s="1"/>
  <c r="Z176" i="3"/>
  <c r="AC176" i="3"/>
  <c r="AA176" i="3"/>
  <c r="T174" i="3"/>
  <c r="S175" i="3"/>
  <c r="L45" i="3"/>
  <c r="W45" i="3"/>
  <c r="T175" i="3" l="1"/>
  <c r="S176" i="3"/>
  <c r="P177" i="3"/>
  <c r="Q177" i="3" s="1"/>
  <c r="R177" i="3" s="1"/>
  <c r="AA177" i="3"/>
  <c r="Z177" i="3"/>
  <c r="A178" i="3"/>
  <c r="B178" i="3" s="1"/>
  <c r="AC177" i="3"/>
  <c r="AD177" i="3"/>
  <c r="U45" i="3"/>
  <c r="D46" i="3" s="1"/>
  <c r="AG46" i="3"/>
  <c r="AH46" i="3"/>
  <c r="Y44" i="3"/>
  <c r="E46" i="3" l="1"/>
  <c r="H46" i="3" s="1"/>
  <c r="K46" i="3" s="1"/>
  <c r="G46" i="3"/>
  <c r="P178" i="3"/>
  <c r="Q178" i="3" s="1"/>
  <c r="R178" i="3" s="1"/>
  <c r="AA178" i="3"/>
  <c r="A179" i="3"/>
  <c r="B179" i="3" s="1"/>
  <c r="Z178" i="3"/>
  <c r="AD178" i="3"/>
  <c r="AC178" i="3"/>
  <c r="T176" i="3"/>
  <c r="S177" i="3"/>
  <c r="F46" i="3" l="1"/>
  <c r="P179" i="3"/>
  <c r="Q179" i="3" s="1"/>
  <c r="R179" i="3" s="1"/>
  <c r="A180" i="3"/>
  <c r="B180" i="3" s="1"/>
  <c r="AA179" i="3"/>
  <c r="Z179" i="3"/>
  <c r="AD179" i="3"/>
  <c r="AC179" i="3"/>
  <c r="I46" i="3"/>
  <c r="J46" i="3"/>
  <c r="M46" i="3"/>
  <c r="N46" i="3" s="1"/>
  <c r="V46" i="3"/>
  <c r="AE46" i="3"/>
  <c r="S178" i="3"/>
  <c r="T177" i="3"/>
  <c r="W46" i="3" l="1"/>
  <c r="AC180" i="3"/>
  <c r="A181" i="3"/>
  <c r="B181" i="3" s="1"/>
  <c r="AA180" i="3"/>
  <c r="AD180" i="3"/>
  <c r="Z180" i="3"/>
  <c r="P180" i="3"/>
  <c r="Q180" i="3" s="1"/>
  <c r="R180" i="3" s="1"/>
  <c r="T178" i="3"/>
  <c r="S179" i="3"/>
  <c r="L46" i="3"/>
  <c r="AA181" i="3" l="1"/>
  <c r="Z181" i="3"/>
  <c r="A182" i="3"/>
  <c r="B182" i="3" s="1"/>
  <c r="AD181" i="3"/>
  <c r="AC181" i="3"/>
  <c r="P181" i="3"/>
  <c r="Q181" i="3" s="1"/>
  <c r="R181" i="3" s="1"/>
  <c r="S180" i="3"/>
  <c r="T179" i="3"/>
  <c r="AG47" i="3"/>
  <c r="U46" i="3"/>
  <c r="D47" i="3" s="1"/>
  <c r="AH47" i="3"/>
  <c r="Y45" i="3"/>
  <c r="E47" i="3" l="1"/>
  <c r="H47" i="3" s="1"/>
  <c r="K47" i="3" s="1"/>
  <c r="A183" i="3"/>
  <c r="B183" i="3" s="1"/>
  <c r="AA182" i="3"/>
  <c r="P182" i="3"/>
  <c r="Q182" i="3" s="1"/>
  <c r="R182" i="3" s="1"/>
  <c r="Z182" i="3"/>
  <c r="AD182" i="3"/>
  <c r="AC182" i="3"/>
  <c r="T180" i="3"/>
  <c r="S181" i="3"/>
  <c r="G47" i="3"/>
  <c r="F47" i="3" l="1"/>
  <c r="Z183" i="3"/>
  <c r="AA183" i="3"/>
  <c r="AC183" i="3"/>
  <c r="A184" i="3"/>
  <c r="B184" i="3" s="1"/>
  <c r="P183" i="3"/>
  <c r="Q183" i="3" s="1"/>
  <c r="R183" i="3" s="1"/>
  <c r="AD183" i="3"/>
  <c r="S182" i="3"/>
  <c r="T181" i="3"/>
  <c r="I47" i="3"/>
  <c r="J47" i="3"/>
  <c r="M47" i="3"/>
  <c r="N47" i="3" s="1"/>
  <c r="V47" i="3"/>
  <c r="AE47" i="3"/>
  <c r="W47" i="3" l="1"/>
  <c r="AD184" i="3"/>
  <c r="Z184" i="3"/>
  <c r="P184" i="3"/>
  <c r="Q184" i="3" s="1"/>
  <c r="R184" i="3" s="1"/>
  <c r="AA184" i="3"/>
  <c r="A185" i="3"/>
  <c r="B185" i="3" s="1"/>
  <c r="AC184" i="3"/>
  <c r="L47" i="3"/>
  <c r="S183" i="3"/>
  <c r="T182" i="3"/>
  <c r="AD185" i="3" l="1"/>
  <c r="A186" i="3"/>
  <c r="B186" i="3" s="1"/>
  <c r="AC185" i="3"/>
  <c r="P185" i="3"/>
  <c r="Q185" i="3" s="1"/>
  <c r="R185" i="3" s="1"/>
  <c r="AA185" i="3"/>
  <c r="Z185" i="3"/>
  <c r="AG48" i="3"/>
  <c r="U47" i="3"/>
  <c r="E48" i="3" s="1"/>
  <c r="H48" i="3" s="1"/>
  <c r="AH48" i="3"/>
  <c r="Y46" i="3"/>
  <c r="S184" i="3"/>
  <c r="T183" i="3"/>
  <c r="AD186" i="3" l="1"/>
  <c r="Z186" i="3"/>
  <c r="A187" i="3"/>
  <c r="B187" i="3" s="1"/>
  <c r="P186" i="3"/>
  <c r="Q186" i="3" s="1"/>
  <c r="R186" i="3" s="1"/>
  <c r="AA186" i="3"/>
  <c r="AC186" i="3"/>
  <c r="K48" i="3"/>
  <c r="D48" i="3"/>
  <c r="T184" i="3"/>
  <c r="S185" i="3"/>
  <c r="P187" i="3" l="1"/>
  <c r="Q187" i="3" s="1"/>
  <c r="R187" i="3" s="1"/>
  <c r="AD187" i="3"/>
  <c r="A188" i="3"/>
  <c r="B188" i="3" s="1"/>
  <c r="AA187" i="3"/>
  <c r="AC187" i="3"/>
  <c r="Z187" i="3"/>
  <c r="S186" i="3"/>
  <c r="T185" i="3"/>
  <c r="V48" i="3"/>
  <c r="AE48" i="3"/>
  <c r="F48" i="3"/>
  <c r="G48" i="3"/>
  <c r="S187" i="3" l="1"/>
  <c r="T186" i="3"/>
  <c r="Z188" i="3"/>
  <c r="A189" i="3"/>
  <c r="B189" i="3" s="1"/>
  <c r="AA188" i="3"/>
  <c r="P188" i="3"/>
  <c r="Q188" i="3" s="1"/>
  <c r="R188" i="3" s="1"/>
  <c r="AD188" i="3"/>
  <c r="AC188" i="3"/>
  <c r="I48" i="3"/>
  <c r="W48" i="3" s="1"/>
  <c r="J48" i="3"/>
  <c r="M48" i="3"/>
  <c r="N48" i="3" s="1"/>
  <c r="Z189" i="3" l="1"/>
  <c r="P189" i="3"/>
  <c r="Q189" i="3" s="1"/>
  <c r="R189" i="3" s="1"/>
  <c r="A190" i="3"/>
  <c r="B190" i="3" s="1"/>
  <c r="AC189" i="3"/>
  <c r="AA189" i="3"/>
  <c r="AD189" i="3"/>
  <c r="S188" i="3"/>
  <c r="T187" i="3"/>
  <c r="L48" i="3"/>
  <c r="AC190" i="3" l="1"/>
  <c r="P190" i="3"/>
  <c r="Q190" i="3" s="1"/>
  <c r="R190" i="3" s="1"/>
  <c r="Z190" i="3"/>
  <c r="A191" i="3"/>
  <c r="B191" i="3" s="1"/>
  <c r="AD190" i="3"/>
  <c r="AA190" i="3"/>
  <c r="S189" i="3"/>
  <c r="T188" i="3"/>
  <c r="AH49" i="3"/>
  <c r="U48" i="3"/>
  <c r="E49" i="3" s="1"/>
  <c r="H49" i="3" s="1"/>
  <c r="AG49" i="3"/>
  <c r="Y47" i="3"/>
  <c r="D49" i="3" l="1"/>
  <c r="G49" i="3" s="1"/>
  <c r="K49" i="3"/>
  <c r="Z191" i="3"/>
  <c r="P191" i="3"/>
  <c r="Q191" i="3" s="1"/>
  <c r="R191" i="3" s="1"/>
  <c r="AA191" i="3"/>
  <c r="AC191" i="3"/>
  <c r="A192" i="3"/>
  <c r="B192" i="3" s="1"/>
  <c r="AD191" i="3"/>
  <c r="S190" i="3"/>
  <c r="T189" i="3"/>
  <c r="F49" i="3" l="1"/>
  <c r="P192" i="3"/>
  <c r="Q192" i="3" s="1"/>
  <c r="R192" i="3" s="1"/>
  <c r="Z192" i="3"/>
  <c r="AD192" i="3"/>
  <c r="AA192" i="3"/>
  <c r="A193" i="3"/>
  <c r="B193" i="3" s="1"/>
  <c r="AC192" i="3"/>
  <c r="V49" i="3"/>
  <c r="AE49" i="3"/>
  <c r="I49" i="3"/>
  <c r="J49" i="3"/>
  <c r="M49" i="3"/>
  <c r="N49" i="3" s="1"/>
  <c r="S191" i="3"/>
  <c r="T190" i="3"/>
  <c r="W49" i="3" l="1"/>
  <c r="Z193" i="3"/>
  <c r="AC193" i="3"/>
  <c r="AA193" i="3"/>
  <c r="AD193" i="3"/>
  <c r="P193" i="3"/>
  <c r="Q193" i="3" s="1"/>
  <c r="R193" i="3" s="1"/>
  <c r="A194" i="3"/>
  <c r="B194" i="3" s="1"/>
  <c r="S192" i="3"/>
  <c r="T191" i="3"/>
  <c r="L49" i="3"/>
  <c r="T192" i="3" l="1"/>
  <c r="S193" i="3"/>
  <c r="AD194" i="3"/>
  <c r="P194" i="3"/>
  <c r="Q194" i="3" s="1"/>
  <c r="R194" i="3" s="1"/>
  <c r="AA194" i="3"/>
  <c r="A195" i="3"/>
  <c r="B195" i="3" s="1"/>
  <c r="AC194" i="3"/>
  <c r="Z194" i="3"/>
  <c r="AG50" i="3"/>
  <c r="AH50" i="3"/>
  <c r="U49" i="3"/>
  <c r="D50" i="3" s="1"/>
  <c r="Y48" i="3"/>
  <c r="E50" i="3" l="1"/>
  <c r="H50" i="3" s="1"/>
  <c r="K50" i="3" s="1"/>
  <c r="G50" i="3"/>
  <c r="S194" i="3"/>
  <c r="T193" i="3"/>
  <c r="Z195" i="3"/>
  <c r="AA195" i="3"/>
  <c r="P195" i="3"/>
  <c r="Q195" i="3" s="1"/>
  <c r="R195" i="3" s="1"/>
  <c r="A196" i="3"/>
  <c r="B196" i="3" s="1"/>
  <c r="AC195" i="3"/>
  <c r="AD195" i="3"/>
  <c r="F50" i="3" l="1"/>
  <c r="P196" i="3"/>
  <c r="Q196" i="3" s="1"/>
  <c r="R196" i="3" s="1"/>
  <c r="A197" i="3"/>
  <c r="B197" i="3" s="1"/>
  <c r="Z196" i="3"/>
  <c r="AC196" i="3"/>
  <c r="AA196" i="3"/>
  <c r="AD196" i="3"/>
  <c r="S195" i="3"/>
  <c r="T194" i="3"/>
  <c r="I50" i="3"/>
  <c r="J50" i="3"/>
  <c r="M50" i="3"/>
  <c r="N50" i="3" s="1"/>
  <c r="V50" i="3"/>
  <c r="AE50" i="3"/>
  <c r="L50" i="3" l="1"/>
  <c r="S196" i="3"/>
  <c r="T195" i="3"/>
  <c r="AD197" i="3"/>
  <c r="P197" i="3"/>
  <c r="Q197" i="3" s="1"/>
  <c r="R197" i="3" s="1"/>
  <c r="AA197" i="3"/>
  <c r="A198" i="3"/>
  <c r="B198" i="3" s="1"/>
  <c r="Z197" i="3"/>
  <c r="AC197" i="3"/>
  <c r="W50" i="3"/>
  <c r="P198" i="3" l="1"/>
  <c r="Q198" i="3" s="1"/>
  <c r="R198" i="3" s="1"/>
  <c r="A199" i="3"/>
  <c r="B199" i="3" s="1"/>
  <c r="AA198" i="3"/>
  <c r="Z198" i="3"/>
  <c r="AC198" i="3"/>
  <c r="AD198" i="3"/>
  <c r="U50" i="3"/>
  <c r="D51" i="3" s="1"/>
  <c r="AH51" i="3"/>
  <c r="AG51" i="3"/>
  <c r="Y49" i="3"/>
  <c r="S197" i="3"/>
  <c r="T196" i="3"/>
  <c r="E51" i="3" l="1"/>
  <c r="H51" i="3" s="1"/>
  <c r="K51" i="3" s="1"/>
  <c r="AD199" i="3"/>
  <c r="P199" i="3"/>
  <c r="Q199" i="3" s="1"/>
  <c r="R199" i="3" s="1"/>
  <c r="A200" i="3"/>
  <c r="B200" i="3" s="1"/>
  <c r="AC199" i="3"/>
  <c r="AA199" i="3"/>
  <c r="Z199" i="3"/>
  <c r="G51" i="3"/>
  <c r="T197" i="3"/>
  <c r="S198" i="3"/>
  <c r="F51" i="3" l="1"/>
  <c r="AA200" i="3"/>
  <c r="A201" i="3"/>
  <c r="B201" i="3" s="1"/>
  <c r="AC200" i="3"/>
  <c r="Z200" i="3"/>
  <c r="P200" i="3"/>
  <c r="Q200" i="3" s="1"/>
  <c r="R200" i="3" s="1"/>
  <c r="AD200" i="3"/>
  <c r="V51" i="3"/>
  <c r="AE51" i="3"/>
  <c r="I51" i="3"/>
  <c r="J51" i="3"/>
  <c r="M51" i="3"/>
  <c r="N51" i="3" s="1"/>
  <c r="T198" i="3"/>
  <c r="S199" i="3"/>
  <c r="W51" i="3" l="1"/>
  <c r="A202" i="3"/>
  <c r="B202" i="3" s="1"/>
  <c r="AC201" i="3"/>
  <c r="Z201" i="3"/>
  <c r="AD201" i="3"/>
  <c r="P201" i="3"/>
  <c r="Q201" i="3" s="1"/>
  <c r="R201" i="3" s="1"/>
  <c r="AA201" i="3"/>
  <c r="L51" i="3"/>
  <c r="S200" i="3"/>
  <c r="T199" i="3"/>
  <c r="AD202" i="3" l="1"/>
  <c r="P202" i="3"/>
  <c r="Q202" i="3" s="1"/>
  <c r="R202" i="3" s="1"/>
  <c r="AA202" i="3"/>
  <c r="AC202" i="3"/>
  <c r="Z202" i="3"/>
  <c r="A203" i="3"/>
  <c r="B203" i="3" s="1"/>
  <c r="AH52" i="3"/>
  <c r="AG52" i="3"/>
  <c r="U51" i="3"/>
  <c r="E52" i="3" s="1"/>
  <c r="H52" i="3" s="1"/>
  <c r="Y50" i="3"/>
  <c r="S201" i="3"/>
  <c r="T200" i="3"/>
  <c r="D52" i="3" l="1"/>
  <c r="G52" i="3" s="1"/>
  <c r="K52" i="3"/>
  <c r="Z203" i="3"/>
  <c r="P203" i="3"/>
  <c r="Q203" i="3" s="1"/>
  <c r="R203" i="3" s="1"/>
  <c r="AD203" i="3"/>
  <c r="AA203" i="3"/>
  <c r="A204" i="3"/>
  <c r="B204" i="3" s="1"/>
  <c r="AC203" i="3"/>
  <c r="S202" i="3"/>
  <c r="T201" i="3"/>
  <c r="F52" i="3" l="1"/>
  <c r="P204" i="3"/>
  <c r="Q204" i="3" s="1"/>
  <c r="R204" i="3" s="1"/>
  <c r="Z204" i="3"/>
  <c r="AA204" i="3"/>
  <c r="AC204" i="3"/>
  <c r="S203" i="3"/>
  <c r="T202" i="3"/>
  <c r="V52" i="3"/>
  <c r="AE52" i="3"/>
  <c r="I52" i="3"/>
  <c r="J52" i="3"/>
  <c r="M52" i="3"/>
  <c r="N52" i="3" s="1"/>
  <c r="S204" i="3" l="1"/>
  <c r="T203" i="3"/>
  <c r="L52" i="3"/>
  <c r="W52" i="3"/>
  <c r="T204" i="3" l="1"/>
  <c r="AH53" i="3"/>
  <c r="AG53" i="3"/>
  <c r="U52" i="3"/>
  <c r="E53" i="3" s="1"/>
  <c r="H53" i="3" s="1"/>
  <c r="Y51" i="3"/>
  <c r="K53" i="3" l="1"/>
  <c r="D53" i="3"/>
  <c r="V53" i="3" l="1"/>
  <c r="AE53" i="3"/>
  <c r="F53" i="3"/>
  <c r="G53" i="3"/>
  <c r="I53" i="3" l="1"/>
  <c r="W53" i="3" s="1"/>
  <c r="J53" i="3"/>
  <c r="M53" i="3"/>
  <c r="N53" i="3" s="1"/>
  <c r="L53" i="3" l="1"/>
  <c r="AH54" i="3" l="1"/>
  <c r="AG54" i="3"/>
  <c r="U53" i="3"/>
  <c r="D54" i="3" s="1"/>
  <c r="Y52" i="3"/>
  <c r="G54" i="3" l="1"/>
  <c r="E54" i="3"/>
  <c r="H54" i="3" s="1"/>
  <c r="I54" i="3" l="1"/>
  <c r="J54" i="3"/>
  <c r="M54" i="3"/>
  <c r="N54" i="3" s="1"/>
  <c r="F54" i="3"/>
  <c r="K54" i="3"/>
  <c r="L54" i="3" l="1"/>
  <c r="V54" i="3"/>
  <c r="W54" i="3" s="1"/>
  <c r="AE54" i="3"/>
  <c r="U54" i="3" l="1"/>
  <c r="D55" i="3" s="1"/>
  <c r="AG55" i="3"/>
  <c r="AH55" i="3"/>
  <c r="Y53" i="3"/>
  <c r="E55" i="3" l="1"/>
  <c r="H55" i="3" s="1"/>
  <c r="K55" i="3" s="1"/>
  <c r="G55" i="3"/>
  <c r="F55" i="3" l="1"/>
  <c r="V55" i="3"/>
  <c r="AE55" i="3"/>
  <c r="I55" i="3"/>
  <c r="J55" i="3"/>
  <c r="M55" i="3"/>
  <c r="N55" i="3" s="1"/>
  <c r="W55" i="3" l="1"/>
  <c r="L55" i="3"/>
  <c r="AH56" i="3" l="1"/>
  <c r="U55" i="3"/>
  <c r="D56" i="3" s="1"/>
  <c r="AG56" i="3"/>
  <c r="Y54" i="3"/>
  <c r="E56" i="3" l="1"/>
  <c r="H56" i="3" s="1"/>
  <c r="K56" i="3" s="1"/>
  <c r="G56" i="3"/>
  <c r="F56" i="3" l="1"/>
  <c r="I56" i="3"/>
  <c r="J56" i="3"/>
  <c r="M56" i="3"/>
  <c r="N56" i="3" s="1"/>
  <c r="V56" i="3"/>
  <c r="AE56" i="3"/>
  <c r="W56" i="3" l="1"/>
  <c r="L56" i="3"/>
  <c r="AG57" i="3" l="1"/>
  <c r="U56" i="3"/>
  <c r="D57" i="3" s="1"/>
  <c r="AH57" i="3"/>
  <c r="Y55" i="3"/>
  <c r="E57" i="3" l="1"/>
  <c r="H57" i="3" s="1"/>
  <c r="K57" i="3" s="1"/>
  <c r="G57" i="3"/>
  <c r="F57" i="3" l="1"/>
  <c r="I57" i="3"/>
  <c r="J57" i="3"/>
  <c r="M57" i="3"/>
  <c r="N57" i="3" s="1"/>
  <c r="V57" i="3"/>
  <c r="AE57" i="3"/>
  <c r="W57" i="3" l="1"/>
  <c r="L57" i="3"/>
  <c r="U57" i="3" l="1"/>
  <c r="D58" i="3" s="1"/>
  <c r="AH58" i="3"/>
  <c r="AG58" i="3"/>
  <c r="Y56" i="3"/>
  <c r="E58" i="3" l="1"/>
  <c r="H58" i="3" s="1"/>
  <c r="K58" i="3" s="1"/>
  <c r="G58" i="3"/>
  <c r="F58" i="3" l="1"/>
  <c r="V58" i="3"/>
  <c r="AE58" i="3"/>
  <c r="I58" i="3"/>
  <c r="J58" i="3"/>
  <c r="M58" i="3"/>
  <c r="N58" i="3" s="1"/>
  <c r="W58" i="3" l="1"/>
  <c r="L58" i="3"/>
  <c r="AG59" i="3" l="1"/>
  <c r="U58" i="3"/>
  <c r="E59" i="3" s="1"/>
  <c r="H59" i="3" s="1"/>
  <c r="AH59" i="3"/>
  <c r="Y57" i="3"/>
  <c r="D59" i="3" l="1"/>
  <c r="F59" i="3" s="1"/>
  <c r="K59" i="3"/>
  <c r="G59" i="3" l="1"/>
  <c r="M59" i="3" s="1"/>
  <c r="N59" i="3" s="1"/>
  <c r="V59" i="3"/>
  <c r="AE59" i="3"/>
  <c r="I59" i="3" l="1"/>
  <c r="W59" i="3" s="1"/>
  <c r="J59" i="3"/>
  <c r="L59" i="3" s="1"/>
  <c r="AH60" i="3" l="1"/>
  <c r="U59" i="3"/>
  <c r="D60" i="3" s="1"/>
  <c r="AG60" i="3"/>
  <c r="Y58" i="3"/>
  <c r="E60" i="3" l="1"/>
  <c r="H60" i="3" s="1"/>
  <c r="K60" i="3" s="1"/>
  <c r="G60" i="3"/>
  <c r="F60" i="3" l="1"/>
  <c r="I60" i="3"/>
  <c r="J60" i="3"/>
  <c r="M60" i="3"/>
  <c r="N60" i="3" s="1"/>
  <c r="V60" i="3"/>
  <c r="AE60" i="3"/>
  <c r="W60" i="3" l="1"/>
  <c r="L60" i="3"/>
  <c r="AG61" i="3" l="1"/>
  <c r="U60" i="3"/>
  <c r="D61" i="3" s="1"/>
  <c r="AH61" i="3"/>
  <c r="Y59" i="3"/>
  <c r="G61" i="3" l="1"/>
  <c r="E61" i="3"/>
  <c r="H61" i="3" s="1"/>
  <c r="F61" i="3" l="1"/>
  <c r="I61" i="3"/>
  <c r="J61" i="3"/>
  <c r="M61" i="3"/>
  <c r="N61" i="3" s="1"/>
  <c r="K61" i="3"/>
  <c r="V61" i="3" l="1"/>
  <c r="W61" i="3" s="1"/>
  <c r="AE61" i="3"/>
  <c r="L61" i="3"/>
  <c r="AG62" i="3" l="1"/>
  <c r="U61" i="3"/>
  <c r="D62" i="3" s="1"/>
  <c r="AH62" i="3"/>
  <c r="Y60" i="3"/>
  <c r="G62" i="3" l="1"/>
  <c r="E62" i="3"/>
  <c r="H62" i="3" s="1"/>
  <c r="F62" i="3" l="1"/>
  <c r="I62" i="3"/>
  <c r="J62" i="3"/>
  <c r="M62" i="3"/>
  <c r="N62" i="3" s="1"/>
  <c r="K62" i="3"/>
  <c r="V62" i="3" l="1"/>
  <c r="W62" i="3" s="1"/>
  <c r="AE62" i="3"/>
  <c r="L62" i="3"/>
  <c r="U62" i="3" l="1"/>
  <c r="E63" i="3" s="1"/>
  <c r="H63" i="3" s="1"/>
  <c r="AG63" i="3"/>
  <c r="AH63" i="3"/>
  <c r="Y61" i="3"/>
  <c r="D63" i="3" l="1"/>
  <c r="G63" i="3" s="1"/>
  <c r="K63" i="3"/>
  <c r="F63" i="3" l="1"/>
  <c r="I63" i="3"/>
  <c r="J63" i="3"/>
  <c r="M63" i="3"/>
  <c r="N63" i="3" s="1"/>
  <c r="V63" i="3"/>
  <c r="AE63" i="3"/>
  <c r="W63" i="3" l="1"/>
  <c r="L63" i="3"/>
  <c r="U63" i="3" l="1"/>
  <c r="E64" i="3" s="1"/>
  <c r="H64" i="3" s="1"/>
  <c r="AH64" i="3"/>
  <c r="AG64" i="3"/>
  <c r="Y62" i="3"/>
  <c r="D64" i="3" l="1"/>
  <c r="G64" i="3" s="1"/>
  <c r="K64" i="3"/>
  <c r="F64" i="3" l="1"/>
  <c r="V64" i="3"/>
  <c r="AE64" i="3"/>
  <c r="I64" i="3"/>
  <c r="J64" i="3"/>
  <c r="M64" i="3"/>
  <c r="N64" i="3" s="1"/>
  <c r="W64" i="3" l="1"/>
  <c r="L64" i="3"/>
  <c r="U64" i="3" l="1"/>
  <c r="E65" i="3" s="1"/>
  <c r="H65" i="3" s="1"/>
  <c r="AH65" i="3"/>
  <c r="AG65" i="3"/>
  <c r="Y63" i="3"/>
  <c r="D65" i="3" l="1"/>
  <c r="G65" i="3" s="1"/>
  <c r="K65" i="3"/>
  <c r="F65" i="3" l="1"/>
  <c r="V65" i="3"/>
  <c r="AE65" i="3"/>
  <c r="I65" i="3"/>
  <c r="J65" i="3"/>
  <c r="M65" i="3"/>
  <c r="N65" i="3" s="1"/>
  <c r="W65" i="3" l="1"/>
  <c r="L65" i="3"/>
  <c r="U65" i="3" l="1"/>
  <c r="D66" i="3" s="1"/>
  <c r="AH66" i="3"/>
  <c r="AG66" i="3"/>
  <c r="Y64" i="3"/>
  <c r="E66" i="3" l="1"/>
  <c r="H66" i="3" s="1"/>
  <c r="K66" i="3" s="1"/>
  <c r="G66" i="3"/>
  <c r="F66" i="3" l="1"/>
  <c r="I66" i="3"/>
  <c r="J66" i="3"/>
  <c r="M66" i="3"/>
  <c r="N66" i="3" s="1"/>
  <c r="V66" i="3"/>
  <c r="AE66" i="3"/>
  <c r="W66" i="3" l="1"/>
  <c r="L66" i="3"/>
  <c r="U66" i="3" l="1"/>
  <c r="D67" i="3" s="1"/>
  <c r="AH67" i="3"/>
  <c r="AG67" i="3"/>
  <c r="Y65" i="3"/>
  <c r="E67" i="3" l="1"/>
  <c r="H67" i="3" s="1"/>
  <c r="K67" i="3" s="1"/>
  <c r="G67" i="3"/>
  <c r="F67" i="3" l="1"/>
  <c r="I67" i="3"/>
  <c r="J67" i="3"/>
  <c r="M67" i="3"/>
  <c r="N67" i="3" s="1"/>
  <c r="V67" i="3"/>
  <c r="AE67" i="3"/>
  <c r="W67" i="3" l="1"/>
  <c r="L67" i="3"/>
  <c r="U67" i="3" l="1"/>
  <c r="D68" i="3" s="1"/>
  <c r="AH68" i="3"/>
  <c r="AG68" i="3"/>
  <c r="Y66" i="3"/>
  <c r="E68" i="3" l="1"/>
  <c r="H68" i="3" s="1"/>
  <c r="K68" i="3" s="1"/>
  <c r="G68" i="3"/>
  <c r="F68" i="3" l="1"/>
  <c r="I68" i="3"/>
  <c r="J68" i="3"/>
  <c r="M68" i="3"/>
  <c r="N68" i="3" s="1"/>
  <c r="V68" i="3"/>
  <c r="AE68" i="3"/>
  <c r="W68" i="3" l="1"/>
  <c r="L68" i="3"/>
  <c r="U68" i="3" l="1"/>
  <c r="D69" i="3" s="1"/>
  <c r="AH69" i="3"/>
  <c r="AG69" i="3"/>
  <c r="Y67" i="3"/>
  <c r="E69" i="3" l="1"/>
  <c r="H69" i="3" s="1"/>
  <c r="K69" i="3" s="1"/>
  <c r="G69" i="3"/>
  <c r="F69" i="3" l="1"/>
  <c r="I69" i="3"/>
  <c r="J69" i="3"/>
  <c r="M69" i="3"/>
  <c r="N69" i="3" s="1"/>
  <c r="V69" i="3"/>
  <c r="AE69" i="3"/>
  <c r="W69" i="3" l="1"/>
  <c r="L69" i="3"/>
  <c r="AH70" i="3" l="1"/>
  <c r="U69" i="3"/>
  <c r="E70" i="3" s="1"/>
  <c r="H70" i="3" s="1"/>
  <c r="AG70" i="3"/>
  <c r="Y68" i="3"/>
  <c r="D70" i="3" l="1"/>
  <c r="G70" i="3" s="1"/>
  <c r="K70" i="3"/>
  <c r="F70" i="3" l="1"/>
  <c r="I70" i="3"/>
  <c r="J70" i="3"/>
  <c r="M70" i="3"/>
  <c r="N70" i="3" s="1"/>
  <c r="V70" i="3"/>
  <c r="AE70" i="3"/>
  <c r="W70" i="3" l="1"/>
  <c r="L70" i="3"/>
  <c r="AG71" i="3" l="1"/>
  <c r="AH71" i="3"/>
  <c r="U70" i="3"/>
  <c r="E71" i="3" s="1"/>
  <c r="H71" i="3" s="1"/>
  <c r="Y69" i="3"/>
  <c r="D71" i="3" l="1"/>
  <c r="G71" i="3" s="1"/>
  <c r="K71" i="3"/>
  <c r="F71" i="3" l="1"/>
  <c r="I71" i="3"/>
  <c r="J71" i="3"/>
  <c r="M71" i="3"/>
  <c r="N71" i="3" s="1"/>
  <c r="V71" i="3"/>
  <c r="AE71" i="3"/>
  <c r="W71" i="3" l="1"/>
  <c r="L71" i="3"/>
  <c r="AH72" i="3" l="1"/>
  <c r="U71" i="3"/>
  <c r="E72" i="3" s="1"/>
  <c r="H72" i="3" s="1"/>
  <c r="AG72" i="3"/>
  <c r="Y70" i="3"/>
  <c r="D72" i="3" l="1"/>
  <c r="F72" i="3" s="1"/>
  <c r="K72" i="3"/>
  <c r="G72" i="3" l="1"/>
  <c r="M72" i="3" s="1"/>
  <c r="N72" i="3" s="1"/>
  <c r="V72" i="3"/>
  <c r="AE72" i="3"/>
  <c r="I72" i="3" l="1"/>
  <c r="W72" i="3" s="1"/>
  <c r="J72" i="3"/>
  <c r="L72" i="3" s="1"/>
  <c r="U72" i="3" l="1"/>
  <c r="D73" i="3" s="1"/>
  <c r="AG73" i="3"/>
  <c r="AH73" i="3"/>
  <c r="Y71" i="3"/>
  <c r="E73" i="3" l="1"/>
  <c r="H73" i="3" s="1"/>
  <c r="K73" i="3" s="1"/>
  <c r="G73" i="3"/>
  <c r="F73" i="3" l="1"/>
  <c r="I73" i="3"/>
  <c r="J73" i="3"/>
  <c r="M73" i="3"/>
  <c r="N73" i="3" s="1"/>
  <c r="V73" i="3"/>
  <c r="AE73" i="3"/>
  <c r="W73" i="3" l="1"/>
  <c r="L73" i="3"/>
  <c r="AG74" i="3" l="1"/>
  <c r="AH74" i="3"/>
  <c r="U73" i="3"/>
  <c r="D74" i="3" s="1"/>
  <c r="Y72" i="3"/>
  <c r="G74" i="3" l="1"/>
  <c r="E74" i="3"/>
  <c r="H74" i="3" s="1"/>
  <c r="I74" i="3" l="1"/>
  <c r="J74" i="3"/>
  <c r="M74" i="3"/>
  <c r="N74" i="3" s="1"/>
  <c r="K74" i="3"/>
  <c r="F74" i="3"/>
  <c r="V74" i="3" l="1"/>
  <c r="W74" i="3" s="1"/>
  <c r="AE74" i="3"/>
  <c r="L74" i="3"/>
  <c r="AG75" i="3" l="1"/>
  <c r="U74" i="3"/>
  <c r="E75" i="3" s="1"/>
  <c r="H75" i="3" s="1"/>
  <c r="AH75" i="3"/>
  <c r="Y73" i="3"/>
  <c r="K75" i="3" l="1"/>
  <c r="D75" i="3"/>
  <c r="V75" i="3" l="1"/>
  <c r="AE75" i="3"/>
  <c r="F75" i="3"/>
  <c r="G75" i="3"/>
  <c r="I75" i="3" l="1"/>
  <c r="W75" i="3" s="1"/>
  <c r="J75" i="3"/>
  <c r="M75" i="3"/>
  <c r="N75" i="3" s="1"/>
  <c r="L75" i="3" l="1"/>
  <c r="U75" i="3" l="1"/>
  <c r="E76" i="3" s="1"/>
  <c r="H76" i="3" s="1"/>
  <c r="AH76" i="3"/>
  <c r="AG76" i="3"/>
  <c r="Y74" i="3"/>
  <c r="D76" i="3" l="1"/>
  <c r="F76" i="3" s="1"/>
  <c r="K76" i="3"/>
  <c r="G76" i="3" l="1"/>
  <c r="I76" i="3" s="1"/>
  <c r="V76" i="3"/>
  <c r="AE76" i="3"/>
  <c r="J76" i="3" l="1"/>
  <c r="L76" i="3" s="1"/>
  <c r="M76" i="3"/>
  <c r="N76" i="3" s="1"/>
  <c r="W76" i="3"/>
  <c r="U76" i="3" l="1"/>
  <c r="D77" i="3" s="1"/>
  <c r="AH77" i="3"/>
  <c r="AG77" i="3"/>
  <c r="Y75" i="3"/>
  <c r="E77" i="3" l="1"/>
  <c r="H77" i="3" s="1"/>
  <c r="K77" i="3" s="1"/>
  <c r="G77" i="3"/>
  <c r="F77" i="3" l="1"/>
  <c r="I77" i="3"/>
  <c r="J77" i="3"/>
  <c r="M77" i="3"/>
  <c r="N77" i="3" s="1"/>
  <c r="V77" i="3"/>
  <c r="AE77" i="3"/>
  <c r="W77" i="3" l="1"/>
  <c r="L77" i="3"/>
  <c r="AH78" i="3" l="1"/>
  <c r="U77" i="3"/>
  <c r="D78" i="3" s="1"/>
  <c r="AG78" i="3"/>
  <c r="Y76" i="3"/>
  <c r="E78" i="3" l="1"/>
  <c r="H78" i="3" s="1"/>
  <c r="K78" i="3" s="1"/>
  <c r="G78" i="3"/>
  <c r="F78" i="3" l="1"/>
  <c r="I78" i="3"/>
  <c r="J78" i="3"/>
  <c r="M78" i="3"/>
  <c r="N78" i="3" s="1"/>
  <c r="V78" i="3"/>
  <c r="AE78" i="3"/>
  <c r="W78" i="3" l="1"/>
  <c r="L78" i="3"/>
  <c r="U78" i="3" l="1"/>
  <c r="E79" i="3" s="1"/>
  <c r="H79" i="3" s="1"/>
  <c r="AH79" i="3"/>
  <c r="AG79" i="3"/>
  <c r="Y77" i="3"/>
  <c r="D79" i="3" l="1"/>
  <c r="G79" i="3" s="1"/>
  <c r="K79" i="3"/>
  <c r="F79" i="3" l="1"/>
  <c r="I79" i="3"/>
  <c r="J79" i="3"/>
  <c r="M79" i="3"/>
  <c r="N79" i="3" s="1"/>
  <c r="V79" i="3"/>
  <c r="AE79" i="3"/>
  <c r="W79" i="3" l="1"/>
  <c r="L79" i="3"/>
  <c r="AH80" i="3" l="1"/>
  <c r="AG80" i="3"/>
  <c r="U79" i="3"/>
  <c r="E80" i="3" s="1"/>
  <c r="H80" i="3" s="1"/>
  <c r="Y78" i="3"/>
  <c r="D80" i="3" l="1"/>
  <c r="F80" i="3" s="1"/>
  <c r="K80" i="3"/>
  <c r="G80" i="3" l="1"/>
  <c r="I80" i="3" s="1"/>
  <c r="V80" i="3"/>
  <c r="AE80" i="3"/>
  <c r="J80" i="3" l="1"/>
  <c r="L80" i="3" s="1"/>
  <c r="M80" i="3"/>
  <c r="N80" i="3" s="1"/>
  <c r="W80" i="3"/>
  <c r="U80" i="3" l="1"/>
  <c r="E81" i="3" s="1"/>
  <c r="H81" i="3" s="1"/>
  <c r="AG81" i="3"/>
  <c r="AH81" i="3"/>
  <c r="Y79" i="3"/>
  <c r="D81" i="3" l="1"/>
  <c r="G81" i="3" s="1"/>
  <c r="K81" i="3"/>
  <c r="F81" i="3" l="1"/>
  <c r="I81" i="3"/>
  <c r="J81" i="3"/>
  <c r="M81" i="3"/>
  <c r="N81" i="3" s="1"/>
  <c r="V81" i="3"/>
  <c r="AE81" i="3"/>
  <c r="W81" i="3" l="1"/>
  <c r="L81" i="3"/>
  <c r="AH82" i="3" l="1"/>
  <c r="AG82" i="3"/>
  <c r="U81" i="3"/>
  <c r="E82" i="3" s="1"/>
  <c r="H82" i="3" s="1"/>
  <c r="Y80" i="3"/>
  <c r="D82" i="3" l="1"/>
  <c r="G82" i="3" s="1"/>
  <c r="K82" i="3"/>
  <c r="F82" i="3" l="1"/>
  <c r="I82" i="3"/>
  <c r="J82" i="3"/>
  <c r="M82" i="3"/>
  <c r="N82" i="3" s="1"/>
  <c r="V82" i="3"/>
  <c r="AE82" i="3"/>
  <c r="W82" i="3" l="1"/>
  <c r="L82" i="3"/>
  <c r="AG83" i="3" l="1"/>
  <c r="U82" i="3"/>
  <c r="D83" i="3" s="1"/>
  <c r="AH83" i="3"/>
  <c r="Y81" i="3"/>
  <c r="E83" i="3" l="1"/>
  <c r="H83" i="3" s="1"/>
  <c r="K83" i="3" s="1"/>
  <c r="G83" i="3"/>
  <c r="F83" i="3" l="1"/>
  <c r="I83" i="3"/>
  <c r="J83" i="3"/>
  <c r="M83" i="3"/>
  <c r="N83" i="3" s="1"/>
  <c r="V83" i="3"/>
  <c r="AE83" i="3"/>
  <c r="W83" i="3" l="1"/>
  <c r="L83" i="3"/>
  <c r="AG84" i="3" l="1"/>
  <c r="AH84" i="3"/>
  <c r="U83" i="3"/>
  <c r="D84" i="3" s="1"/>
  <c r="Y82" i="3"/>
  <c r="G84" i="3" l="1"/>
  <c r="E84" i="3"/>
  <c r="H84" i="3" s="1"/>
  <c r="K84" i="3" l="1"/>
  <c r="I84" i="3"/>
  <c r="J84" i="3"/>
  <c r="M84" i="3"/>
  <c r="N84" i="3" s="1"/>
  <c r="F84" i="3"/>
  <c r="L84" i="3" l="1"/>
  <c r="V84" i="3"/>
  <c r="W84" i="3" s="1"/>
  <c r="AE84" i="3"/>
  <c r="AH85" i="3" l="1"/>
  <c r="AG85" i="3"/>
  <c r="U84" i="3"/>
  <c r="D85" i="3" s="1"/>
  <c r="Y83" i="3"/>
  <c r="E85" i="3" l="1"/>
  <c r="H85" i="3" s="1"/>
  <c r="K85" i="3" s="1"/>
  <c r="G85" i="3"/>
  <c r="F85" i="3" l="1"/>
  <c r="I85" i="3"/>
  <c r="J85" i="3"/>
  <c r="M85" i="3"/>
  <c r="N85" i="3" s="1"/>
  <c r="V85" i="3"/>
  <c r="AE85" i="3"/>
  <c r="W85" i="3" l="1"/>
  <c r="L85" i="3"/>
  <c r="AH86" i="3" l="1"/>
  <c r="AG86" i="3"/>
  <c r="U85" i="3"/>
  <c r="E86" i="3" s="1"/>
  <c r="H86" i="3" s="1"/>
  <c r="Y84" i="3"/>
  <c r="D86" i="3" l="1"/>
  <c r="F86" i="3" s="1"/>
  <c r="K86" i="3"/>
  <c r="G86" i="3" l="1"/>
  <c r="M86" i="3" s="1"/>
  <c r="N86" i="3" s="1"/>
  <c r="V86" i="3"/>
  <c r="AE86" i="3"/>
  <c r="I86" i="3" l="1"/>
  <c r="W86" i="3" s="1"/>
  <c r="J86" i="3"/>
  <c r="L86" i="3" s="1"/>
  <c r="U86" i="3" l="1"/>
  <c r="E87" i="3" s="1"/>
  <c r="H87" i="3" s="1"/>
  <c r="AH87" i="3"/>
  <c r="AG87" i="3"/>
  <c r="Y85" i="3"/>
  <c r="D87" i="3" l="1"/>
  <c r="G87" i="3" s="1"/>
  <c r="K87" i="3"/>
  <c r="F87" i="3" l="1"/>
  <c r="V87" i="3"/>
  <c r="AE87" i="3"/>
  <c r="I87" i="3"/>
  <c r="J87" i="3"/>
  <c r="M87" i="3"/>
  <c r="N87" i="3" s="1"/>
  <c r="L87" i="3" l="1"/>
  <c r="W87" i="3"/>
  <c r="U87" i="3" l="1"/>
  <c r="E88" i="3" s="1"/>
  <c r="H88" i="3" s="1"/>
  <c r="AG88" i="3"/>
  <c r="AH88" i="3"/>
  <c r="Y86" i="3"/>
  <c r="D88" i="3" l="1"/>
  <c r="G88" i="3" s="1"/>
  <c r="K88" i="3"/>
  <c r="F88" i="3" l="1"/>
  <c r="I88" i="3"/>
  <c r="J88" i="3"/>
  <c r="M88" i="3"/>
  <c r="N88" i="3" s="1"/>
  <c r="V88" i="3"/>
  <c r="AE88" i="3"/>
  <c r="W88" i="3" l="1"/>
  <c r="L88" i="3"/>
  <c r="AH89" i="3" l="1"/>
  <c r="U88" i="3"/>
  <c r="E89" i="3" s="1"/>
  <c r="H89" i="3" s="1"/>
  <c r="AG89" i="3"/>
  <c r="Y87" i="3"/>
  <c r="K89" i="3" l="1"/>
  <c r="D89" i="3"/>
  <c r="V89" i="3" l="1"/>
  <c r="AE89" i="3"/>
  <c r="F89" i="3"/>
  <c r="G89" i="3"/>
  <c r="I89" i="3" l="1"/>
  <c r="W89" i="3" s="1"/>
  <c r="J89" i="3"/>
  <c r="M89" i="3"/>
  <c r="N89" i="3" s="1"/>
  <c r="L89" i="3" l="1"/>
  <c r="U89" i="3" l="1"/>
  <c r="D90" i="3" s="1"/>
  <c r="AH90" i="3"/>
  <c r="AG90" i="3"/>
  <c r="Y88" i="3"/>
  <c r="G90" i="3" l="1"/>
  <c r="E90" i="3"/>
  <c r="H90" i="3" s="1"/>
  <c r="F90" i="3" l="1"/>
  <c r="I90" i="3"/>
  <c r="J90" i="3"/>
  <c r="M90" i="3"/>
  <c r="N90" i="3" s="1"/>
  <c r="K90" i="3"/>
  <c r="V90" i="3" l="1"/>
  <c r="W90" i="3" s="1"/>
  <c r="AE90" i="3"/>
  <c r="L90" i="3"/>
  <c r="AG91" i="3" l="1"/>
  <c r="AH91" i="3"/>
  <c r="U90" i="3"/>
  <c r="D91" i="3" s="1"/>
  <c r="Y89" i="3"/>
  <c r="G91" i="3" l="1"/>
  <c r="E91" i="3"/>
  <c r="H91" i="3" s="1"/>
  <c r="F91" i="3" l="1"/>
  <c r="I91" i="3"/>
  <c r="J91" i="3"/>
  <c r="M91" i="3"/>
  <c r="N91" i="3" s="1"/>
  <c r="K91" i="3"/>
  <c r="V91" i="3" l="1"/>
  <c r="W91" i="3" s="1"/>
  <c r="AE91" i="3"/>
  <c r="L91" i="3"/>
  <c r="AH92" i="3" l="1"/>
  <c r="AG92" i="3"/>
  <c r="U91" i="3"/>
  <c r="D92" i="3" s="1"/>
  <c r="Y90" i="3"/>
  <c r="G92" i="3" l="1"/>
  <c r="E92" i="3"/>
  <c r="H92" i="3" s="1"/>
  <c r="F92" i="3" l="1"/>
  <c r="I92" i="3"/>
  <c r="J92" i="3"/>
  <c r="M92" i="3"/>
  <c r="N92" i="3" s="1"/>
  <c r="K92" i="3"/>
  <c r="V92" i="3" l="1"/>
  <c r="W92" i="3" s="1"/>
  <c r="AE92" i="3"/>
  <c r="L92" i="3"/>
  <c r="U92" i="3" l="1"/>
  <c r="D93" i="3" s="1"/>
  <c r="AH93" i="3"/>
  <c r="AG93" i="3"/>
  <c r="Y91" i="3"/>
  <c r="E93" i="3" l="1"/>
  <c r="H93" i="3" s="1"/>
  <c r="K93" i="3" s="1"/>
  <c r="G93" i="3"/>
  <c r="F93" i="3" l="1"/>
  <c r="I93" i="3"/>
  <c r="J93" i="3"/>
  <c r="M93" i="3"/>
  <c r="N93" i="3" s="1"/>
  <c r="V93" i="3"/>
  <c r="AE93" i="3"/>
  <c r="W93" i="3" l="1"/>
  <c r="L93" i="3"/>
  <c r="AG94" i="3" l="1"/>
  <c r="AH94" i="3"/>
  <c r="U93" i="3"/>
  <c r="D94" i="3" s="1"/>
  <c r="Y92" i="3"/>
  <c r="E94" i="3" l="1"/>
  <c r="H94" i="3" s="1"/>
  <c r="K94" i="3" s="1"/>
  <c r="G94" i="3"/>
  <c r="F94" i="3" l="1"/>
  <c r="I94" i="3"/>
  <c r="J94" i="3"/>
  <c r="M94" i="3"/>
  <c r="N94" i="3" s="1"/>
  <c r="V94" i="3"/>
  <c r="AE94" i="3"/>
  <c r="L94" i="3" l="1"/>
  <c r="W94" i="3"/>
  <c r="U94" i="3" l="1"/>
  <c r="D95" i="3" s="1"/>
  <c r="AG95" i="3"/>
  <c r="AH95" i="3"/>
  <c r="Y93" i="3"/>
  <c r="E95" i="3" l="1"/>
  <c r="H95" i="3" s="1"/>
  <c r="K95" i="3" s="1"/>
  <c r="G95" i="3"/>
  <c r="F95" i="3" l="1"/>
  <c r="I95" i="3"/>
  <c r="J95" i="3"/>
  <c r="M95" i="3"/>
  <c r="N95" i="3" s="1"/>
  <c r="V95" i="3"/>
  <c r="AE95" i="3"/>
  <c r="W95" i="3" l="1"/>
  <c r="L95" i="3"/>
  <c r="AG96" i="3" l="1"/>
  <c r="AH96" i="3"/>
  <c r="U95" i="3"/>
  <c r="D96" i="3" s="1"/>
  <c r="Y94" i="3"/>
  <c r="G96" i="3" l="1"/>
  <c r="E96" i="3"/>
  <c r="H96" i="3" s="1"/>
  <c r="F96" i="3" l="1"/>
  <c r="I96" i="3"/>
  <c r="J96" i="3"/>
  <c r="M96" i="3"/>
  <c r="N96" i="3" s="1"/>
  <c r="K96" i="3"/>
  <c r="L96" i="3" l="1"/>
  <c r="V96" i="3"/>
  <c r="W96" i="3" s="1"/>
  <c r="AE96" i="3"/>
  <c r="AG97" i="3" l="1"/>
  <c r="AH97" i="3"/>
  <c r="U96" i="3"/>
  <c r="E97" i="3" s="1"/>
  <c r="H97" i="3" s="1"/>
  <c r="Y95" i="3"/>
  <c r="K97" i="3" l="1"/>
  <c r="D97" i="3"/>
  <c r="V97" i="3" l="1"/>
  <c r="AE97" i="3"/>
  <c r="F97" i="3"/>
  <c r="G97" i="3"/>
  <c r="I97" i="3" l="1"/>
  <c r="W97" i="3" s="1"/>
  <c r="J97" i="3"/>
  <c r="M97" i="3"/>
  <c r="N97" i="3" s="1"/>
  <c r="L97" i="3" l="1"/>
  <c r="U97" i="3" l="1"/>
  <c r="D98" i="3" s="1"/>
  <c r="AH98" i="3"/>
  <c r="AG98" i="3"/>
  <c r="Y96" i="3"/>
  <c r="G98" i="3" l="1"/>
  <c r="E98" i="3"/>
  <c r="H98" i="3" s="1"/>
  <c r="I98" i="3" l="1"/>
  <c r="J98" i="3"/>
  <c r="M98" i="3"/>
  <c r="N98" i="3" s="1"/>
  <c r="F98" i="3"/>
  <c r="K98" i="3"/>
  <c r="L98" i="3" l="1"/>
  <c r="V98" i="3"/>
  <c r="W98" i="3" s="1"/>
  <c r="AE98" i="3"/>
  <c r="AG99" i="3" l="1"/>
  <c r="AH99" i="3"/>
  <c r="U98" i="3"/>
  <c r="D99" i="3" s="1"/>
  <c r="Y97" i="3"/>
  <c r="G99" i="3" l="1"/>
  <c r="E99" i="3"/>
  <c r="H99" i="3" s="1"/>
  <c r="F99" i="3" l="1"/>
  <c r="I99" i="3"/>
  <c r="J99" i="3"/>
  <c r="M99" i="3"/>
  <c r="N99" i="3" s="1"/>
  <c r="K99" i="3"/>
  <c r="V99" i="3" l="1"/>
  <c r="W99" i="3" s="1"/>
  <c r="AE99" i="3"/>
  <c r="L99" i="3"/>
  <c r="U99" i="3" l="1"/>
  <c r="D100" i="3" s="1"/>
  <c r="AH100" i="3"/>
  <c r="AG100" i="3"/>
  <c r="Y98" i="3"/>
  <c r="E100" i="3" l="1"/>
  <c r="H100" i="3" s="1"/>
  <c r="K100" i="3" s="1"/>
  <c r="G100" i="3"/>
  <c r="F100" i="3" l="1"/>
  <c r="V100" i="3"/>
  <c r="AE100" i="3"/>
  <c r="I100" i="3"/>
  <c r="J100" i="3"/>
  <c r="M100" i="3"/>
  <c r="N100" i="3" s="1"/>
  <c r="W100" i="3" l="1"/>
  <c r="L100" i="3"/>
  <c r="AH101" i="3" l="1"/>
  <c r="U100" i="3"/>
  <c r="E101" i="3" s="1"/>
  <c r="H101" i="3" s="1"/>
  <c r="AG101" i="3"/>
  <c r="Y99" i="3"/>
  <c r="K101" i="3" l="1"/>
  <c r="D101" i="3"/>
  <c r="V101" i="3" l="1"/>
  <c r="AE101" i="3"/>
  <c r="F101" i="3"/>
  <c r="G101" i="3"/>
  <c r="I101" i="3" l="1"/>
  <c r="W101" i="3" s="1"/>
  <c r="J101" i="3"/>
  <c r="M101" i="3"/>
  <c r="N101" i="3" s="1"/>
  <c r="L101" i="3" l="1"/>
  <c r="AH102" i="3" l="1"/>
  <c r="AG102" i="3"/>
  <c r="U101" i="3"/>
  <c r="E102" i="3" s="1"/>
  <c r="H102" i="3" s="1"/>
  <c r="Y100" i="3"/>
  <c r="K102" i="3" l="1"/>
  <c r="D102" i="3"/>
  <c r="V102" i="3" l="1"/>
  <c r="AE102" i="3"/>
  <c r="F102" i="3"/>
  <c r="G102" i="3"/>
  <c r="I102" i="3" l="1"/>
  <c r="W102" i="3" s="1"/>
  <c r="J102" i="3"/>
  <c r="M102" i="3"/>
  <c r="N102" i="3" s="1"/>
  <c r="L102" i="3" l="1"/>
  <c r="AG103" i="3" l="1"/>
  <c r="AH103" i="3"/>
  <c r="U102" i="3"/>
  <c r="E103" i="3" s="1"/>
  <c r="H103" i="3" s="1"/>
  <c r="Y101" i="3"/>
  <c r="K103" i="3" l="1"/>
  <c r="D103" i="3"/>
  <c r="V103" i="3" l="1"/>
  <c r="AE103" i="3"/>
  <c r="F103" i="3"/>
  <c r="G103" i="3"/>
  <c r="I103" i="3" l="1"/>
  <c r="W103" i="3" s="1"/>
  <c r="J103" i="3"/>
  <c r="M103" i="3"/>
  <c r="N103" i="3" s="1"/>
  <c r="L103" i="3" l="1"/>
  <c r="AG104" i="3" l="1"/>
  <c r="AH104" i="3"/>
  <c r="U103" i="3"/>
  <c r="E104" i="3" s="1"/>
  <c r="H104" i="3" s="1"/>
  <c r="Y102" i="3"/>
  <c r="K104" i="3" l="1"/>
  <c r="D104" i="3"/>
  <c r="V104" i="3" l="1"/>
  <c r="AE104" i="3"/>
  <c r="F104" i="3"/>
  <c r="G104" i="3"/>
  <c r="I104" i="3" l="1"/>
  <c r="W104" i="3" s="1"/>
  <c r="J104" i="3"/>
  <c r="M104" i="3"/>
  <c r="N104" i="3" s="1"/>
  <c r="L104" i="3" l="1"/>
  <c r="AD104" i="3"/>
  <c r="U104" i="3" l="1"/>
  <c r="E105" i="3" s="1"/>
  <c r="H105" i="3" s="1"/>
  <c r="AG105" i="3"/>
  <c r="AH105" i="3"/>
  <c r="Y103" i="3"/>
  <c r="D105" i="3" l="1"/>
  <c r="G105" i="3" s="1"/>
  <c r="K105" i="3"/>
  <c r="F105" i="3" l="1"/>
  <c r="V105" i="3"/>
  <c r="AE105" i="3"/>
  <c r="I105" i="3"/>
  <c r="J105" i="3"/>
  <c r="M105" i="3"/>
  <c r="N105" i="3" s="1"/>
  <c r="W105" i="3" l="1"/>
  <c r="L105" i="3"/>
  <c r="AH106" i="3" l="1"/>
  <c r="AG106" i="3"/>
  <c r="U105" i="3"/>
  <c r="D106" i="3" s="1"/>
  <c r="Y104" i="3"/>
  <c r="E106" i="3" l="1"/>
  <c r="H106" i="3" s="1"/>
  <c r="K106" i="3" s="1"/>
  <c r="G106" i="3"/>
  <c r="F106" i="3" l="1"/>
  <c r="V106" i="3"/>
  <c r="AE106" i="3"/>
  <c r="I106" i="3"/>
  <c r="J106" i="3"/>
  <c r="M106" i="3"/>
  <c r="N106" i="3" s="1"/>
  <c r="W106" i="3" l="1"/>
  <c r="L106" i="3"/>
  <c r="AG107" i="3" l="1"/>
  <c r="AH107" i="3"/>
  <c r="U106" i="3"/>
  <c r="E107" i="3" s="1"/>
  <c r="H107" i="3" s="1"/>
  <c r="Y105" i="3"/>
  <c r="K107" i="3" l="1"/>
  <c r="D107" i="3"/>
  <c r="V107" i="3" l="1"/>
  <c r="AE107" i="3"/>
  <c r="F107" i="3"/>
  <c r="G107" i="3"/>
  <c r="I107" i="3" l="1"/>
  <c r="W107" i="3" s="1"/>
  <c r="J107" i="3"/>
  <c r="M107" i="3"/>
  <c r="N107" i="3" s="1"/>
  <c r="L107" i="3" l="1"/>
  <c r="AH108" i="3" l="1"/>
  <c r="U107" i="3"/>
  <c r="E108" i="3" s="1"/>
  <c r="H108" i="3" s="1"/>
  <c r="AG108" i="3"/>
  <c r="Y106" i="3"/>
  <c r="D108" i="3" l="1"/>
  <c r="G108" i="3" s="1"/>
  <c r="K108" i="3"/>
  <c r="F108" i="3" l="1"/>
  <c r="I108" i="3"/>
  <c r="J108" i="3"/>
  <c r="M108" i="3"/>
  <c r="N108" i="3" s="1"/>
  <c r="V108" i="3"/>
  <c r="AE108" i="3"/>
  <c r="W108" i="3" l="1"/>
  <c r="L108" i="3"/>
  <c r="AG109" i="3" l="1"/>
  <c r="U108" i="3"/>
  <c r="D109" i="3" s="1"/>
  <c r="AH109" i="3"/>
  <c r="Y107" i="3"/>
  <c r="E109" i="3" l="1"/>
  <c r="H109" i="3" s="1"/>
  <c r="K109" i="3" s="1"/>
  <c r="G109" i="3"/>
  <c r="F109" i="3" l="1"/>
  <c r="V109" i="3"/>
  <c r="AE109" i="3"/>
  <c r="I109" i="3"/>
  <c r="J109" i="3"/>
  <c r="M109" i="3"/>
  <c r="N109" i="3" s="1"/>
  <c r="L109" i="3" l="1"/>
  <c r="W109" i="3"/>
  <c r="AH110" i="3" l="1"/>
  <c r="AG110" i="3"/>
  <c r="U109" i="3"/>
  <c r="D110" i="3" s="1"/>
  <c r="Y108" i="3"/>
  <c r="E110" i="3" l="1"/>
  <c r="H110" i="3" s="1"/>
  <c r="K110" i="3" s="1"/>
  <c r="G110" i="3"/>
  <c r="F110" i="3" l="1"/>
  <c r="I110" i="3"/>
  <c r="J110" i="3"/>
  <c r="M110" i="3"/>
  <c r="N110" i="3" s="1"/>
  <c r="V110" i="3"/>
  <c r="AE110" i="3"/>
  <c r="W110" i="3" l="1"/>
  <c r="L110" i="3"/>
  <c r="AH111" i="3" l="1"/>
  <c r="U110" i="3"/>
  <c r="E111" i="3" s="1"/>
  <c r="H111" i="3" s="1"/>
  <c r="AG111" i="3"/>
  <c r="Y109" i="3"/>
  <c r="D111" i="3" l="1"/>
  <c r="G111" i="3" s="1"/>
  <c r="K111" i="3"/>
  <c r="F111" i="3" l="1"/>
  <c r="I111" i="3"/>
  <c r="J111" i="3"/>
  <c r="M111" i="3"/>
  <c r="N111" i="3" s="1"/>
  <c r="V111" i="3"/>
  <c r="AE111" i="3"/>
  <c r="W111" i="3" l="1"/>
  <c r="L111" i="3"/>
  <c r="AH112" i="3" l="1"/>
  <c r="U111" i="3"/>
  <c r="D112" i="3" s="1"/>
  <c r="AG112" i="3"/>
  <c r="Y110" i="3"/>
  <c r="E112" i="3" l="1"/>
  <c r="H112" i="3" s="1"/>
  <c r="K112" i="3" s="1"/>
  <c r="G112" i="3"/>
  <c r="F112" i="3" l="1"/>
  <c r="V112" i="3"/>
  <c r="AE112" i="3"/>
  <c r="I112" i="3"/>
  <c r="J112" i="3"/>
  <c r="M112" i="3"/>
  <c r="N112" i="3" s="1"/>
  <c r="W112" i="3" l="1"/>
  <c r="L112" i="3"/>
  <c r="AG113" i="3" l="1"/>
  <c r="U112" i="3"/>
  <c r="E113" i="3" s="1"/>
  <c r="H113" i="3" s="1"/>
  <c r="AH113" i="3"/>
  <c r="Y111" i="3"/>
  <c r="D113" i="3" l="1"/>
  <c r="G113" i="3" s="1"/>
  <c r="K113" i="3"/>
  <c r="F113" i="3" l="1"/>
  <c r="V113" i="3"/>
  <c r="AE113" i="3"/>
  <c r="I113" i="3"/>
  <c r="J113" i="3"/>
  <c r="M113" i="3"/>
  <c r="N113" i="3" s="1"/>
  <c r="W113" i="3" l="1"/>
  <c r="L113" i="3"/>
  <c r="AH114" i="3" l="1"/>
  <c r="U113" i="3"/>
  <c r="D114" i="3" s="1"/>
  <c r="AG114" i="3"/>
  <c r="Y112" i="3"/>
  <c r="E114" i="3" l="1"/>
  <c r="H114" i="3" s="1"/>
  <c r="K114" i="3" s="1"/>
  <c r="G114" i="3"/>
  <c r="F114" i="3" l="1"/>
  <c r="I114" i="3"/>
  <c r="J114" i="3"/>
  <c r="M114" i="3"/>
  <c r="N114" i="3" s="1"/>
  <c r="V114" i="3"/>
  <c r="AE114" i="3"/>
  <c r="W114" i="3" l="1"/>
  <c r="L114" i="3"/>
  <c r="U114" i="3" l="1"/>
  <c r="D115" i="3" s="1"/>
  <c r="AH115" i="3"/>
  <c r="AG115" i="3"/>
  <c r="Y113" i="3"/>
  <c r="G115" i="3" l="1"/>
  <c r="E115" i="3"/>
  <c r="H115" i="3" s="1"/>
  <c r="F115" i="3" l="1"/>
  <c r="I115" i="3"/>
  <c r="J115" i="3"/>
  <c r="M115" i="3"/>
  <c r="N115" i="3" s="1"/>
  <c r="K115" i="3"/>
  <c r="V115" i="3" l="1"/>
  <c r="W115" i="3" s="1"/>
  <c r="AE115" i="3"/>
  <c r="L115" i="3"/>
  <c r="AH116" i="3" l="1"/>
  <c r="U115" i="3"/>
  <c r="E116" i="3" s="1"/>
  <c r="H116" i="3" s="1"/>
  <c r="AG116" i="3"/>
  <c r="Y114" i="3"/>
  <c r="K116" i="3" l="1"/>
  <c r="D116" i="3"/>
  <c r="V116" i="3" l="1"/>
  <c r="AE116" i="3"/>
  <c r="F116" i="3"/>
  <c r="G116" i="3"/>
  <c r="I116" i="3" l="1"/>
  <c r="W116" i="3" s="1"/>
  <c r="J116" i="3"/>
  <c r="M116" i="3"/>
  <c r="N116" i="3" s="1"/>
  <c r="L116" i="3" l="1"/>
  <c r="U116" i="3" l="1"/>
  <c r="D117" i="3" s="1"/>
  <c r="AH117" i="3"/>
  <c r="AG117" i="3"/>
  <c r="Y115" i="3"/>
  <c r="E117" i="3" l="1"/>
  <c r="H117" i="3" s="1"/>
  <c r="K117" i="3" s="1"/>
  <c r="G117" i="3"/>
  <c r="F117" i="3" l="1"/>
  <c r="I117" i="3"/>
  <c r="J117" i="3"/>
  <c r="M117" i="3"/>
  <c r="N117" i="3" s="1"/>
  <c r="V117" i="3"/>
  <c r="AE117" i="3"/>
  <c r="W117" i="3" l="1"/>
  <c r="L117" i="3"/>
  <c r="AG118" i="3" l="1"/>
  <c r="U117" i="3"/>
  <c r="D118" i="3" s="1"/>
  <c r="AH118" i="3"/>
  <c r="Y116" i="3"/>
  <c r="E118" i="3" l="1"/>
  <c r="H118" i="3" s="1"/>
  <c r="K118" i="3" s="1"/>
  <c r="G118" i="3"/>
  <c r="F118" i="3" l="1"/>
  <c r="I118" i="3"/>
  <c r="J118" i="3"/>
  <c r="M118" i="3"/>
  <c r="N118" i="3" s="1"/>
  <c r="V118" i="3"/>
  <c r="AE118" i="3"/>
  <c r="L118" i="3" l="1"/>
  <c r="W118" i="3"/>
  <c r="U118" i="3" l="1"/>
  <c r="E119" i="3" s="1"/>
  <c r="H119" i="3" s="1"/>
  <c r="AG119" i="3"/>
  <c r="AH119" i="3"/>
  <c r="Y117" i="3"/>
  <c r="D119" i="3" l="1"/>
  <c r="F119" i="3" s="1"/>
  <c r="K119" i="3"/>
  <c r="G119" i="3" l="1"/>
  <c r="M119" i="3" s="1"/>
  <c r="N119" i="3" s="1"/>
  <c r="V119" i="3"/>
  <c r="AE119" i="3"/>
  <c r="I119" i="3" l="1"/>
  <c r="W119" i="3" s="1"/>
  <c r="J119" i="3"/>
  <c r="L119" i="3" s="1"/>
  <c r="AH120" i="3" l="1"/>
  <c r="U119" i="3"/>
  <c r="D120" i="3" s="1"/>
  <c r="AG120" i="3"/>
  <c r="Y118" i="3"/>
  <c r="E120" i="3" l="1"/>
  <c r="H120" i="3" s="1"/>
  <c r="K120" i="3" s="1"/>
  <c r="G120" i="3"/>
  <c r="F120" i="3" l="1"/>
  <c r="I120" i="3"/>
  <c r="J120" i="3"/>
  <c r="M120" i="3"/>
  <c r="N120" i="3" s="1"/>
  <c r="V120" i="3"/>
  <c r="AE120" i="3"/>
  <c r="W120" i="3" l="1"/>
  <c r="L120" i="3"/>
  <c r="U120" i="3" l="1"/>
  <c r="E121" i="3" s="1"/>
  <c r="H121" i="3" s="1"/>
  <c r="AH121" i="3"/>
  <c r="AG121" i="3"/>
  <c r="Y119" i="3"/>
  <c r="D121" i="3" l="1"/>
  <c r="G121" i="3" s="1"/>
  <c r="K121" i="3"/>
  <c r="F121" i="3" l="1"/>
  <c r="I121" i="3"/>
  <c r="J121" i="3"/>
  <c r="M121" i="3"/>
  <c r="N121" i="3" s="1"/>
  <c r="V121" i="3"/>
  <c r="AE121" i="3"/>
  <c r="L121" i="3" l="1"/>
  <c r="W121" i="3"/>
  <c r="U121" i="3" l="1"/>
  <c r="D122" i="3" s="1"/>
  <c r="AG122" i="3"/>
  <c r="AH122" i="3"/>
  <c r="Y120" i="3"/>
  <c r="G122" i="3" l="1"/>
  <c r="E122" i="3"/>
  <c r="H122" i="3" s="1"/>
  <c r="F122" i="3" l="1"/>
  <c r="K122" i="3"/>
  <c r="I122" i="3"/>
  <c r="J122" i="3"/>
  <c r="M122" i="3"/>
  <c r="N122" i="3" s="1"/>
  <c r="L122" i="3" l="1"/>
  <c r="V122" i="3"/>
  <c r="W122" i="3" s="1"/>
  <c r="AE122" i="3"/>
  <c r="U122" i="3" l="1"/>
  <c r="D123" i="3" s="1"/>
  <c r="AH123" i="3"/>
  <c r="AG123" i="3"/>
  <c r="Y121" i="3"/>
  <c r="G123" i="3" l="1"/>
  <c r="E123" i="3"/>
  <c r="H123" i="3" s="1"/>
  <c r="I123" i="3" l="1"/>
  <c r="J123" i="3"/>
  <c r="M123" i="3"/>
  <c r="N123" i="3" s="1"/>
  <c r="K123" i="3"/>
  <c r="F123" i="3"/>
  <c r="V123" i="3" l="1"/>
  <c r="W123" i="3" s="1"/>
  <c r="AE123" i="3"/>
  <c r="L123" i="3"/>
  <c r="U123" i="3" l="1"/>
  <c r="D124" i="3" s="1"/>
  <c r="AH124" i="3"/>
  <c r="AG124" i="3"/>
  <c r="Y122" i="3"/>
  <c r="E124" i="3" l="1"/>
  <c r="H124" i="3" s="1"/>
  <c r="K124" i="3" s="1"/>
  <c r="G124" i="3"/>
  <c r="F124" i="3" l="1"/>
  <c r="I124" i="3"/>
  <c r="J124" i="3"/>
  <c r="M124" i="3"/>
  <c r="N124" i="3" s="1"/>
  <c r="V124" i="3"/>
  <c r="AE124" i="3"/>
  <c r="W124" i="3" l="1"/>
  <c r="L124" i="3"/>
  <c r="U124" i="3" l="1"/>
  <c r="E125" i="3" s="1"/>
  <c r="H125" i="3" s="1"/>
  <c r="AH125" i="3"/>
  <c r="AG125" i="3"/>
  <c r="Y123" i="3"/>
  <c r="K125" i="3" l="1"/>
  <c r="D125" i="3"/>
  <c r="V125" i="3" l="1"/>
  <c r="AE125" i="3"/>
  <c r="F125" i="3"/>
  <c r="G125" i="3"/>
  <c r="I125" i="3" l="1"/>
  <c r="W125" i="3" s="1"/>
  <c r="J125" i="3"/>
  <c r="M125" i="3"/>
  <c r="N125" i="3" s="1"/>
  <c r="L125" i="3" l="1"/>
  <c r="AG126" i="3" l="1"/>
  <c r="AH126" i="3"/>
  <c r="U125" i="3"/>
  <c r="D126" i="3" s="1"/>
  <c r="Y124" i="3"/>
  <c r="E126" i="3" l="1"/>
  <c r="H126" i="3" s="1"/>
  <c r="K126" i="3" s="1"/>
  <c r="G126" i="3"/>
  <c r="F126" i="3" l="1"/>
  <c r="I126" i="3"/>
  <c r="J126" i="3"/>
  <c r="M126" i="3"/>
  <c r="N126" i="3" s="1"/>
  <c r="V126" i="3"/>
  <c r="AE126" i="3"/>
  <c r="W126" i="3" l="1"/>
  <c r="L126" i="3"/>
  <c r="U126" i="3" l="1"/>
  <c r="E127" i="3" s="1"/>
  <c r="H127" i="3" s="1"/>
  <c r="AH127" i="3"/>
  <c r="AG127" i="3"/>
  <c r="Y125" i="3"/>
  <c r="D127" i="3" l="1"/>
  <c r="G127" i="3" s="1"/>
  <c r="K127" i="3"/>
  <c r="F127" i="3" l="1"/>
  <c r="I127" i="3"/>
  <c r="J127" i="3"/>
  <c r="M127" i="3"/>
  <c r="N127" i="3" s="1"/>
  <c r="V127" i="3"/>
  <c r="AE127" i="3"/>
  <c r="W127" i="3" l="1"/>
  <c r="L127" i="3"/>
  <c r="AH128" i="3" l="1"/>
  <c r="U127" i="3"/>
  <c r="E128" i="3" s="1"/>
  <c r="H128" i="3" s="1"/>
  <c r="AG128" i="3"/>
  <c r="Y126" i="3"/>
  <c r="D128" i="3" l="1"/>
  <c r="G128" i="3" s="1"/>
  <c r="K128" i="3"/>
  <c r="F128" i="3" l="1"/>
  <c r="I128" i="3"/>
  <c r="J128" i="3"/>
  <c r="M128" i="3"/>
  <c r="N128" i="3" s="1"/>
  <c r="V128" i="3"/>
  <c r="AE128" i="3"/>
  <c r="W128" i="3" l="1"/>
  <c r="L128" i="3"/>
  <c r="AH129" i="3" l="1"/>
  <c r="U128" i="3"/>
  <c r="D129" i="3" s="1"/>
  <c r="AG129" i="3"/>
  <c r="Y127" i="3"/>
  <c r="G129" i="3" l="1"/>
  <c r="E129" i="3"/>
  <c r="H129" i="3" s="1"/>
  <c r="F129" i="3" l="1"/>
  <c r="I129" i="3"/>
  <c r="J129" i="3"/>
  <c r="M129" i="3"/>
  <c r="N129" i="3" s="1"/>
  <c r="K129" i="3"/>
  <c r="V129" i="3" l="1"/>
  <c r="W129" i="3" s="1"/>
  <c r="AE129" i="3"/>
  <c r="L129" i="3"/>
  <c r="U129" i="3" l="1"/>
  <c r="E130" i="3" s="1"/>
  <c r="H130" i="3" s="1"/>
  <c r="AH130" i="3"/>
  <c r="AG130" i="3"/>
  <c r="Y128" i="3"/>
  <c r="D130" i="3" l="1"/>
  <c r="G130" i="3" s="1"/>
  <c r="K130" i="3"/>
  <c r="F130" i="3" l="1"/>
  <c r="V130" i="3"/>
  <c r="AE130" i="3"/>
  <c r="I130" i="3"/>
  <c r="J130" i="3"/>
  <c r="M130" i="3"/>
  <c r="N130" i="3" s="1"/>
  <c r="L130" i="3" l="1"/>
  <c r="W130" i="3"/>
  <c r="U130" i="3" l="1"/>
  <c r="E131" i="3" s="1"/>
  <c r="H131" i="3" s="1"/>
  <c r="AH131" i="3"/>
  <c r="AG131" i="3"/>
  <c r="Y129" i="3"/>
  <c r="D131" i="3" l="1"/>
  <c r="F131" i="3" s="1"/>
  <c r="K131" i="3"/>
  <c r="G131" i="3" l="1"/>
  <c r="M131" i="3" s="1"/>
  <c r="N131" i="3" s="1"/>
  <c r="V131" i="3"/>
  <c r="AE131" i="3"/>
  <c r="J131" i="3" l="1"/>
  <c r="L131" i="3" s="1"/>
  <c r="I131" i="3"/>
  <c r="W131" i="3" s="1"/>
  <c r="U131" i="3" l="1"/>
  <c r="E132" i="3" s="1"/>
  <c r="H132" i="3" s="1"/>
  <c r="AH132" i="3"/>
  <c r="AG132" i="3"/>
  <c r="Y130" i="3"/>
  <c r="K132" i="3" l="1"/>
  <c r="D132" i="3"/>
  <c r="V132" i="3" l="1"/>
  <c r="AE132" i="3"/>
  <c r="F132" i="3"/>
  <c r="G132" i="3"/>
  <c r="I132" i="3" l="1"/>
  <c r="W132" i="3" s="1"/>
  <c r="J132" i="3"/>
  <c r="M132" i="3"/>
  <c r="N132" i="3" s="1"/>
  <c r="L132" i="3" l="1"/>
  <c r="U132" i="3" l="1"/>
  <c r="D133" i="3" s="1"/>
  <c r="AH133" i="3"/>
  <c r="AG133" i="3"/>
  <c r="Y131" i="3"/>
  <c r="E133" i="3" l="1"/>
  <c r="H133" i="3" s="1"/>
  <c r="K133" i="3" s="1"/>
  <c r="G133" i="3"/>
  <c r="F133" i="3" l="1"/>
  <c r="V133" i="3"/>
  <c r="AE133" i="3"/>
  <c r="I133" i="3"/>
  <c r="J133" i="3"/>
  <c r="M133" i="3"/>
  <c r="N133" i="3" s="1"/>
  <c r="W133" i="3" l="1"/>
  <c r="L133" i="3"/>
  <c r="AG134" i="3" l="1"/>
  <c r="U133" i="3"/>
  <c r="D134" i="3" s="1"/>
  <c r="AH134" i="3"/>
  <c r="Y132" i="3"/>
  <c r="E134" i="3" l="1"/>
  <c r="H134" i="3" s="1"/>
  <c r="K134" i="3" s="1"/>
  <c r="G134" i="3"/>
  <c r="F134" i="3" l="1"/>
  <c r="I134" i="3"/>
  <c r="J134" i="3"/>
  <c r="AD134" i="3" s="1"/>
  <c r="M134" i="3"/>
  <c r="N134" i="3" s="1"/>
  <c r="V134" i="3"/>
  <c r="AE134" i="3"/>
  <c r="W134" i="3" l="1"/>
  <c r="L134" i="3"/>
  <c r="U134" i="3" l="1"/>
  <c r="E135" i="3" s="1"/>
  <c r="H135" i="3" s="1"/>
  <c r="AH135" i="3"/>
  <c r="AG135" i="3"/>
  <c r="Y133" i="3"/>
  <c r="K135" i="3" l="1"/>
  <c r="D135" i="3"/>
  <c r="V135" i="3" l="1"/>
  <c r="AE135" i="3"/>
  <c r="F135" i="3"/>
  <c r="G135" i="3"/>
  <c r="I135" i="3" l="1"/>
  <c r="W135" i="3" s="1"/>
  <c r="J135" i="3"/>
  <c r="M135" i="3"/>
  <c r="N135" i="3" s="1"/>
  <c r="L135" i="3" l="1"/>
  <c r="AH136" i="3" l="1"/>
  <c r="U135" i="3"/>
  <c r="D136" i="3" s="1"/>
  <c r="AG136" i="3"/>
  <c r="Y134" i="3"/>
  <c r="E136" i="3" l="1"/>
  <c r="H136" i="3" s="1"/>
  <c r="K136" i="3" s="1"/>
  <c r="G136" i="3"/>
  <c r="F136" i="3" l="1"/>
  <c r="I136" i="3"/>
  <c r="J136" i="3"/>
  <c r="M136" i="3"/>
  <c r="N136" i="3" s="1"/>
  <c r="V136" i="3"/>
  <c r="AE136" i="3"/>
  <c r="W136" i="3" l="1"/>
  <c r="L136" i="3"/>
  <c r="U136" i="3" l="1"/>
  <c r="D137" i="3" s="1"/>
  <c r="AH137" i="3"/>
  <c r="AG137" i="3"/>
  <c r="Y135" i="3"/>
  <c r="E137" i="3" l="1"/>
  <c r="H137" i="3" s="1"/>
  <c r="K137" i="3" s="1"/>
  <c r="G137" i="3"/>
  <c r="F137" i="3" l="1"/>
  <c r="I137" i="3"/>
  <c r="J137" i="3"/>
  <c r="M137" i="3"/>
  <c r="N137" i="3" s="1"/>
  <c r="V137" i="3"/>
  <c r="AE137" i="3"/>
  <c r="W137" i="3" l="1"/>
  <c r="L137" i="3"/>
  <c r="AH138" i="3" l="1"/>
  <c r="U137" i="3"/>
  <c r="E138" i="3" s="1"/>
  <c r="H138" i="3" s="1"/>
  <c r="AG138" i="3"/>
  <c r="Y136" i="3"/>
  <c r="D138" i="3" l="1"/>
  <c r="F138" i="3" s="1"/>
  <c r="K138" i="3"/>
  <c r="G138" i="3" l="1"/>
  <c r="M138" i="3" s="1"/>
  <c r="N138" i="3" s="1"/>
  <c r="V138" i="3"/>
  <c r="AE138" i="3"/>
  <c r="I138" i="3" l="1"/>
  <c r="W138" i="3" s="1"/>
  <c r="J138" i="3"/>
  <c r="L138" i="3" s="1"/>
  <c r="U138" i="3" l="1"/>
  <c r="E139" i="3" s="1"/>
  <c r="H139" i="3" s="1"/>
  <c r="AG139" i="3"/>
  <c r="AH139" i="3"/>
  <c r="Y137" i="3"/>
  <c r="D139" i="3" l="1"/>
  <c r="G139" i="3" s="1"/>
  <c r="K139" i="3"/>
  <c r="F139" i="3" l="1"/>
  <c r="V139" i="3"/>
  <c r="AE139" i="3"/>
  <c r="I139" i="3"/>
  <c r="J139" i="3"/>
  <c r="M139" i="3"/>
  <c r="N139" i="3" s="1"/>
  <c r="W139" i="3" l="1"/>
  <c r="L139" i="3"/>
  <c r="AG140" i="3" l="1"/>
  <c r="U139" i="3"/>
  <c r="E140" i="3" s="1"/>
  <c r="H140" i="3" s="1"/>
  <c r="AH140" i="3"/>
  <c r="Y138" i="3"/>
  <c r="D140" i="3" l="1"/>
  <c r="G140" i="3" s="1"/>
  <c r="K140" i="3"/>
  <c r="F140" i="3" l="1"/>
  <c r="V140" i="3"/>
  <c r="AE140" i="3"/>
  <c r="I140" i="3"/>
  <c r="J140" i="3"/>
  <c r="M140" i="3"/>
  <c r="N140" i="3" s="1"/>
  <c r="W140" i="3" l="1"/>
  <c r="L140" i="3"/>
  <c r="AG141" i="3" l="1"/>
  <c r="U140" i="3"/>
  <c r="D141" i="3" s="1"/>
  <c r="AH141" i="3"/>
  <c r="Y139" i="3"/>
  <c r="E141" i="3" l="1"/>
  <c r="H141" i="3" s="1"/>
  <c r="K141" i="3" s="1"/>
  <c r="G141" i="3"/>
  <c r="F141" i="3" l="1"/>
  <c r="I141" i="3"/>
  <c r="J141" i="3"/>
  <c r="M141" i="3"/>
  <c r="N141" i="3" s="1"/>
  <c r="V141" i="3"/>
  <c r="AE141" i="3"/>
  <c r="W141" i="3" l="1"/>
  <c r="L141" i="3"/>
  <c r="U141" i="3" l="1"/>
  <c r="D142" i="3" s="1"/>
  <c r="AH142" i="3"/>
  <c r="AG142" i="3"/>
  <c r="Y140" i="3"/>
  <c r="E142" i="3" l="1"/>
  <c r="H142" i="3" s="1"/>
  <c r="K142" i="3" s="1"/>
  <c r="G142" i="3"/>
  <c r="F142" i="3" l="1"/>
  <c r="V142" i="3"/>
  <c r="AE142" i="3"/>
  <c r="I142" i="3"/>
  <c r="J142" i="3"/>
  <c r="M142" i="3"/>
  <c r="N142" i="3" s="1"/>
  <c r="W142" i="3" l="1"/>
  <c r="L142" i="3"/>
  <c r="U142" i="3" l="1"/>
  <c r="E143" i="3" s="1"/>
  <c r="H143" i="3" s="1"/>
  <c r="AG143" i="3"/>
  <c r="AH143" i="3"/>
  <c r="Y141" i="3"/>
  <c r="D143" i="3" l="1"/>
  <c r="F143" i="3" s="1"/>
  <c r="K143" i="3"/>
  <c r="G143" i="3" l="1"/>
  <c r="M143" i="3" s="1"/>
  <c r="N143" i="3" s="1"/>
  <c r="V143" i="3"/>
  <c r="AE143" i="3"/>
  <c r="J143" i="3" l="1"/>
  <c r="L143" i="3" s="1"/>
  <c r="I143" i="3"/>
  <c r="W143" i="3" s="1"/>
  <c r="U143" i="3" l="1"/>
  <c r="D144" i="3" s="1"/>
  <c r="AG144" i="3"/>
  <c r="AH144" i="3"/>
  <c r="Y142" i="3"/>
  <c r="E144" i="3" l="1"/>
  <c r="H144" i="3" s="1"/>
  <c r="K144" i="3" s="1"/>
  <c r="G144" i="3"/>
  <c r="F144" i="3" l="1"/>
  <c r="V144" i="3"/>
  <c r="AE144" i="3"/>
  <c r="I144" i="3"/>
  <c r="J144" i="3"/>
  <c r="M144" i="3"/>
  <c r="N144" i="3" s="1"/>
  <c r="W144" i="3" l="1"/>
  <c r="L144" i="3"/>
  <c r="AH145" i="3" l="1"/>
  <c r="AG145" i="3"/>
  <c r="U144" i="3"/>
  <c r="D145" i="3" s="1"/>
  <c r="Y143" i="3"/>
  <c r="E145" i="3" l="1"/>
  <c r="H145" i="3" s="1"/>
  <c r="K145" i="3" s="1"/>
  <c r="G145" i="3"/>
  <c r="F145" i="3" l="1"/>
  <c r="I145" i="3"/>
  <c r="J145" i="3"/>
  <c r="M145" i="3"/>
  <c r="N145" i="3" s="1"/>
  <c r="V145" i="3"/>
  <c r="AE145" i="3"/>
  <c r="W145" i="3" l="1"/>
  <c r="L145" i="3"/>
  <c r="U145" i="3" l="1"/>
  <c r="D146" i="3" s="1"/>
  <c r="AH146" i="3"/>
  <c r="AG146" i="3"/>
  <c r="Y144" i="3"/>
  <c r="E146" i="3" l="1"/>
  <c r="H146" i="3" s="1"/>
  <c r="K146" i="3" s="1"/>
  <c r="G146" i="3"/>
  <c r="F146" i="3" l="1"/>
  <c r="I146" i="3"/>
  <c r="J146" i="3"/>
  <c r="M146" i="3"/>
  <c r="N146" i="3" s="1"/>
  <c r="V146" i="3"/>
  <c r="AE146" i="3"/>
  <c r="W146" i="3" l="1"/>
  <c r="L146" i="3"/>
  <c r="U146" i="3" l="1"/>
  <c r="D147" i="3" s="1"/>
  <c r="AG147" i="3"/>
  <c r="AH147" i="3"/>
  <c r="Y145" i="3"/>
  <c r="E147" i="3" l="1"/>
  <c r="H147" i="3" s="1"/>
  <c r="K147" i="3" s="1"/>
  <c r="G147" i="3"/>
  <c r="F147" i="3" l="1"/>
  <c r="V147" i="3"/>
  <c r="AE147" i="3"/>
  <c r="I147" i="3"/>
  <c r="J147" i="3"/>
  <c r="M147" i="3"/>
  <c r="N147" i="3" s="1"/>
  <c r="W147" i="3" l="1"/>
  <c r="L147" i="3"/>
  <c r="AG148" i="3" l="1"/>
  <c r="U147" i="3"/>
  <c r="E148" i="3" s="1"/>
  <c r="H148" i="3" s="1"/>
  <c r="AH148" i="3"/>
  <c r="Y146" i="3"/>
  <c r="K148" i="3" l="1"/>
  <c r="D148" i="3"/>
  <c r="V148" i="3" l="1"/>
  <c r="AE148" i="3"/>
  <c r="F148" i="3"/>
  <c r="G148" i="3"/>
  <c r="I148" i="3" l="1"/>
  <c r="W148" i="3" s="1"/>
  <c r="J148" i="3"/>
  <c r="M148" i="3"/>
  <c r="N148" i="3" s="1"/>
  <c r="L148" i="3" l="1"/>
  <c r="AG149" i="3" l="1"/>
  <c r="U148" i="3"/>
  <c r="D149" i="3" s="1"/>
  <c r="AH149" i="3"/>
  <c r="Y147" i="3"/>
  <c r="E149" i="3" l="1"/>
  <c r="H149" i="3" s="1"/>
  <c r="K149" i="3" s="1"/>
  <c r="G149" i="3"/>
  <c r="F149" i="3" l="1"/>
  <c r="I149" i="3"/>
  <c r="J149" i="3"/>
  <c r="M149" i="3"/>
  <c r="N149" i="3" s="1"/>
  <c r="V149" i="3"/>
  <c r="AE149" i="3"/>
  <c r="W149" i="3" l="1"/>
  <c r="L149" i="3"/>
  <c r="AH150" i="3" l="1"/>
  <c r="U149" i="3"/>
  <c r="D150" i="3" s="1"/>
  <c r="AG150" i="3"/>
  <c r="Y148" i="3"/>
  <c r="E150" i="3" l="1"/>
  <c r="H150" i="3" s="1"/>
  <c r="K150" i="3" s="1"/>
  <c r="G150" i="3"/>
  <c r="F150" i="3" l="1"/>
  <c r="I150" i="3"/>
  <c r="J150" i="3"/>
  <c r="M150" i="3"/>
  <c r="N150" i="3" s="1"/>
  <c r="V150" i="3"/>
  <c r="AE150" i="3"/>
  <c r="W150" i="3" l="1"/>
  <c r="L150" i="3"/>
  <c r="AH151" i="3" l="1"/>
  <c r="U150" i="3"/>
  <c r="E151" i="3" s="1"/>
  <c r="H151" i="3" s="1"/>
  <c r="AG151" i="3"/>
  <c r="Y149" i="3"/>
  <c r="D151" i="3" l="1"/>
  <c r="G151" i="3" s="1"/>
  <c r="K151" i="3"/>
  <c r="F151" i="3" l="1"/>
  <c r="I151" i="3"/>
  <c r="J151" i="3"/>
  <c r="M151" i="3"/>
  <c r="N151" i="3" s="1"/>
  <c r="V151" i="3"/>
  <c r="AE151" i="3"/>
  <c r="W151" i="3" l="1"/>
  <c r="L151" i="3"/>
  <c r="AH152" i="3" l="1"/>
  <c r="AG152" i="3"/>
  <c r="U151" i="3"/>
  <c r="E152" i="3" s="1"/>
  <c r="H152" i="3" s="1"/>
  <c r="Y150" i="3"/>
  <c r="D152" i="3" l="1"/>
  <c r="G152" i="3" s="1"/>
  <c r="K152" i="3"/>
  <c r="F152" i="3" l="1"/>
  <c r="V152" i="3"/>
  <c r="AE152" i="3"/>
  <c r="I152" i="3"/>
  <c r="J152" i="3"/>
  <c r="M152" i="3"/>
  <c r="N152" i="3" s="1"/>
  <c r="W152" i="3" l="1"/>
  <c r="L152" i="3"/>
  <c r="AH153" i="3" l="1"/>
  <c r="U152" i="3"/>
  <c r="D153" i="3" s="1"/>
  <c r="AG153" i="3"/>
  <c r="Y151" i="3"/>
  <c r="G153" i="3" l="1"/>
  <c r="E153" i="3"/>
  <c r="H153" i="3" s="1"/>
  <c r="K153" i="3" l="1"/>
  <c r="I153" i="3"/>
  <c r="J153" i="3"/>
  <c r="M153" i="3"/>
  <c r="N153" i="3" s="1"/>
  <c r="F153" i="3"/>
  <c r="V153" i="3" l="1"/>
  <c r="W153" i="3" s="1"/>
  <c r="AE153" i="3"/>
  <c r="L153" i="3"/>
  <c r="U153" i="3" l="1"/>
  <c r="D154" i="3" s="1"/>
  <c r="AG154" i="3"/>
  <c r="AH154" i="3"/>
  <c r="Y152" i="3"/>
  <c r="E154" i="3" l="1"/>
  <c r="H154" i="3" s="1"/>
  <c r="K154" i="3" s="1"/>
  <c r="G154" i="3"/>
  <c r="F154" i="3" l="1"/>
  <c r="I154" i="3"/>
  <c r="J154" i="3"/>
  <c r="M154" i="3"/>
  <c r="N154" i="3" s="1"/>
  <c r="V154" i="3"/>
  <c r="AE154" i="3"/>
  <c r="L154" i="3" l="1"/>
  <c r="W154" i="3"/>
  <c r="U154" i="3" l="1"/>
  <c r="E155" i="3" s="1"/>
  <c r="H155" i="3" s="1"/>
  <c r="AH155" i="3"/>
  <c r="AG155" i="3"/>
  <c r="Y153" i="3"/>
  <c r="D155" i="3" l="1"/>
  <c r="G155" i="3" s="1"/>
  <c r="K155" i="3"/>
  <c r="F155" i="3" l="1"/>
  <c r="V155" i="3"/>
  <c r="AE155" i="3"/>
  <c r="I155" i="3"/>
  <c r="J155" i="3"/>
  <c r="M155" i="3"/>
  <c r="N155" i="3" s="1"/>
  <c r="W155" i="3" l="1"/>
  <c r="L155" i="3"/>
  <c r="AG156" i="3" l="1"/>
  <c r="U155" i="3"/>
  <c r="D156" i="3" s="1"/>
  <c r="AH156" i="3"/>
  <c r="Y154" i="3"/>
  <c r="E156" i="3" l="1"/>
  <c r="H156" i="3" s="1"/>
  <c r="K156" i="3" s="1"/>
  <c r="G156" i="3"/>
  <c r="F156" i="3" l="1"/>
  <c r="V156" i="3"/>
  <c r="AE156" i="3"/>
  <c r="I156" i="3"/>
  <c r="J156" i="3"/>
  <c r="M156" i="3"/>
  <c r="N156" i="3" s="1"/>
  <c r="W156" i="3" l="1"/>
  <c r="L156" i="3"/>
  <c r="U156" i="3" l="1"/>
  <c r="E157" i="3" s="1"/>
  <c r="H157" i="3" s="1"/>
  <c r="AH157" i="3"/>
  <c r="AG157" i="3"/>
  <c r="Y155" i="3"/>
  <c r="D157" i="3" l="1"/>
  <c r="G157" i="3" s="1"/>
  <c r="K157" i="3"/>
  <c r="F157" i="3" l="1"/>
  <c r="I157" i="3"/>
  <c r="J157" i="3"/>
  <c r="M157" i="3"/>
  <c r="N157" i="3" s="1"/>
  <c r="V157" i="3"/>
  <c r="AE157" i="3"/>
  <c r="W157" i="3" l="1"/>
  <c r="L157" i="3"/>
  <c r="U157" i="3" l="1"/>
  <c r="E158" i="3" s="1"/>
  <c r="H158" i="3" s="1"/>
  <c r="AH158" i="3"/>
  <c r="AG158" i="3"/>
  <c r="Y156" i="3"/>
  <c r="D158" i="3" l="1"/>
  <c r="F158" i="3" s="1"/>
  <c r="K158" i="3"/>
  <c r="G158" i="3" l="1"/>
  <c r="I158" i="3" s="1"/>
  <c r="V158" i="3"/>
  <c r="AE158" i="3"/>
  <c r="M158" i="3" l="1"/>
  <c r="N158" i="3" s="1"/>
  <c r="J158" i="3"/>
  <c r="L158" i="3" s="1"/>
  <c r="W158" i="3"/>
  <c r="U158" i="3" l="1"/>
  <c r="E159" i="3" s="1"/>
  <c r="H159" i="3" s="1"/>
  <c r="AG159" i="3"/>
  <c r="AH159" i="3"/>
  <c r="Y157" i="3"/>
  <c r="D159" i="3" l="1"/>
  <c r="F159" i="3" s="1"/>
  <c r="K159" i="3"/>
  <c r="G159" i="3" l="1"/>
  <c r="M159" i="3" s="1"/>
  <c r="N159" i="3" s="1"/>
  <c r="V159" i="3"/>
  <c r="AE159" i="3"/>
  <c r="I159" i="3" l="1"/>
  <c r="W159" i="3" s="1"/>
  <c r="J159" i="3"/>
  <c r="L159" i="3" s="1"/>
  <c r="AH160" i="3" l="1"/>
  <c r="U159" i="3"/>
  <c r="E160" i="3" s="1"/>
  <c r="H160" i="3" s="1"/>
  <c r="AG160" i="3"/>
  <c r="Y158" i="3"/>
  <c r="D160" i="3" l="1"/>
  <c r="G160" i="3" s="1"/>
  <c r="K160" i="3"/>
  <c r="F160" i="3" l="1"/>
  <c r="I160" i="3"/>
  <c r="J160" i="3"/>
  <c r="M160" i="3"/>
  <c r="N160" i="3" s="1"/>
  <c r="V160" i="3"/>
  <c r="AE160" i="3"/>
  <c r="W160" i="3" l="1"/>
  <c r="L160" i="3"/>
  <c r="AG161" i="3" l="1"/>
  <c r="AH161" i="3"/>
  <c r="U160" i="3"/>
  <c r="E161" i="3" s="1"/>
  <c r="H161" i="3" s="1"/>
  <c r="Y159" i="3"/>
  <c r="D161" i="3" l="1"/>
  <c r="G161" i="3" s="1"/>
  <c r="K161" i="3"/>
  <c r="F161" i="3" l="1"/>
  <c r="I161" i="3"/>
  <c r="J161" i="3"/>
  <c r="M161" i="3"/>
  <c r="N161" i="3" s="1"/>
  <c r="V161" i="3"/>
  <c r="AE161" i="3"/>
  <c r="W161" i="3" l="1"/>
  <c r="L161" i="3"/>
  <c r="U161" i="3" l="1"/>
  <c r="D162" i="3" s="1"/>
  <c r="AG162" i="3"/>
  <c r="AH162" i="3"/>
  <c r="Y160" i="3"/>
  <c r="G162" i="3" l="1"/>
  <c r="E162" i="3"/>
  <c r="H162" i="3" s="1"/>
  <c r="F162" i="3" l="1"/>
  <c r="I162" i="3"/>
  <c r="J162" i="3"/>
  <c r="M162" i="3"/>
  <c r="N162" i="3" s="1"/>
  <c r="K162" i="3"/>
  <c r="V162" i="3" l="1"/>
  <c r="W162" i="3" s="1"/>
  <c r="AE162" i="3"/>
  <c r="L162" i="3"/>
  <c r="U162" i="3" l="1"/>
  <c r="D163" i="3" s="1"/>
  <c r="AH163" i="3"/>
  <c r="AG163" i="3"/>
  <c r="Y161" i="3"/>
  <c r="E163" i="3" l="1"/>
  <c r="H163" i="3" s="1"/>
  <c r="K163" i="3" s="1"/>
  <c r="G163" i="3"/>
  <c r="F163" i="3" l="1"/>
  <c r="V163" i="3"/>
  <c r="AE163" i="3"/>
  <c r="I163" i="3"/>
  <c r="J163" i="3"/>
  <c r="M163" i="3"/>
  <c r="N163" i="3" s="1"/>
  <c r="W163" i="3" l="1"/>
  <c r="L163" i="3"/>
  <c r="AH164" i="3" l="1"/>
  <c r="U163" i="3"/>
  <c r="D164" i="3" s="1"/>
  <c r="AG164" i="3"/>
  <c r="Y162" i="3"/>
  <c r="E164" i="3" l="1"/>
  <c r="H164" i="3" s="1"/>
  <c r="K164" i="3" s="1"/>
  <c r="G164" i="3"/>
  <c r="F164" i="3" l="1"/>
  <c r="I164" i="3"/>
  <c r="J164" i="3"/>
  <c r="M164" i="3"/>
  <c r="N164" i="3" s="1"/>
  <c r="V164" i="3"/>
  <c r="AE164" i="3"/>
  <c r="W164" i="3" l="1"/>
  <c r="L164" i="3"/>
  <c r="U164" i="3" l="1"/>
  <c r="D165" i="3" s="1"/>
  <c r="AG165" i="3"/>
  <c r="AH165" i="3"/>
  <c r="Y163" i="3"/>
  <c r="E165" i="3" l="1"/>
  <c r="H165" i="3" s="1"/>
  <c r="K165" i="3" s="1"/>
  <c r="G165" i="3"/>
  <c r="F165" i="3" l="1"/>
  <c r="V165" i="3"/>
  <c r="AE165" i="3"/>
  <c r="I165" i="3"/>
  <c r="J165" i="3"/>
  <c r="M165" i="3"/>
  <c r="N165" i="3" s="1"/>
  <c r="L165" i="3" l="1"/>
  <c r="W165" i="3"/>
  <c r="AH166" i="3" l="1"/>
  <c r="U165" i="3"/>
  <c r="E166" i="3" s="1"/>
  <c r="H166" i="3" s="1"/>
  <c r="AG166" i="3"/>
  <c r="Y164" i="3"/>
  <c r="D166" i="3" l="1"/>
  <c r="G166" i="3" s="1"/>
  <c r="K166" i="3"/>
  <c r="F166" i="3" l="1"/>
  <c r="I166" i="3"/>
  <c r="J166" i="3"/>
  <c r="M166" i="3"/>
  <c r="N166" i="3" s="1"/>
  <c r="V166" i="3"/>
  <c r="AE166" i="3"/>
  <c r="W166" i="3" l="1"/>
  <c r="L166" i="3"/>
  <c r="AH167" i="3" l="1"/>
  <c r="AG167" i="3"/>
  <c r="U166" i="3"/>
  <c r="E167" i="3" s="1"/>
  <c r="H167" i="3" s="1"/>
  <c r="Y165" i="3"/>
  <c r="K167" i="3" l="1"/>
  <c r="D167" i="3"/>
  <c r="V167" i="3" l="1"/>
  <c r="AE167" i="3"/>
  <c r="F167" i="3"/>
  <c r="G167" i="3"/>
  <c r="I167" i="3" l="1"/>
  <c r="W167" i="3" s="1"/>
  <c r="J167" i="3"/>
  <c r="M167" i="3"/>
  <c r="N167" i="3" s="1"/>
  <c r="L167" i="3" l="1"/>
  <c r="AH168" i="3" l="1"/>
  <c r="U167" i="3"/>
  <c r="E168" i="3" s="1"/>
  <c r="H168" i="3" s="1"/>
  <c r="AG168" i="3"/>
  <c r="Y166" i="3"/>
  <c r="D168" i="3" l="1"/>
  <c r="F168" i="3" s="1"/>
  <c r="K168" i="3"/>
  <c r="G168" i="3" l="1"/>
  <c r="I168" i="3" s="1"/>
  <c r="V168" i="3"/>
  <c r="AE168" i="3"/>
  <c r="M168" i="3" l="1"/>
  <c r="N168" i="3" s="1"/>
  <c r="J168" i="3"/>
  <c r="L168" i="3" s="1"/>
  <c r="W168" i="3"/>
  <c r="U168" i="3" l="1"/>
  <c r="E169" i="3" s="1"/>
  <c r="H169" i="3" s="1"/>
  <c r="AH169" i="3"/>
  <c r="AG169" i="3"/>
  <c r="Y167" i="3"/>
  <c r="D169" i="3" l="1"/>
  <c r="F169" i="3" s="1"/>
  <c r="K169" i="3"/>
  <c r="G169" i="3" l="1"/>
  <c r="I169" i="3" s="1"/>
  <c r="V169" i="3"/>
  <c r="AE169" i="3"/>
  <c r="M169" i="3" l="1"/>
  <c r="N169" i="3" s="1"/>
  <c r="J169" i="3"/>
  <c r="L169" i="3" s="1"/>
  <c r="W169" i="3"/>
  <c r="AH170" i="3" l="1"/>
  <c r="U169" i="3"/>
  <c r="E170" i="3" s="1"/>
  <c r="H170" i="3" s="1"/>
  <c r="AG170" i="3"/>
  <c r="Y168" i="3"/>
  <c r="D170" i="3" l="1"/>
  <c r="G170" i="3" s="1"/>
  <c r="K170" i="3"/>
  <c r="F170" i="3" l="1"/>
  <c r="I170" i="3"/>
  <c r="J170" i="3"/>
  <c r="M170" i="3"/>
  <c r="N170" i="3" s="1"/>
  <c r="V170" i="3"/>
  <c r="AE170" i="3"/>
  <c r="W170" i="3" l="1"/>
  <c r="L170" i="3"/>
  <c r="AG171" i="3" l="1"/>
  <c r="U170" i="3"/>
  <c r="E171" i="3" s="1"/>
  <c r="H171" i="3" s="1"/>
  <c r="AH171" i="3"/>
  <c r="Y169" i="3"/>
  <c r="K171" i="3" l="1"/>
  <c r="D171" i="3"/>
  <c r="F171" i="3" l="1"/>
  <c r="G171" i="3"/>
  <c r="V171" i="3"/>
  <c r="AE171" i="3"/>
  <c r="I171" i="3" l="1"/>
  <c r="W171" i="3" s="1"/>
  <c r="J171" i="3"/>
  <c r="M171" i="3"/>
  <c r="N171" i="3" s="1"/>
  <c r="L171" i="3" l="1"/>
  <c r="U171" i="3" l="1"/>
  <c r="E172" i="3" s="1"/>
  <c r="H172" i="3" s="1"/>
  <c r="AH172" i="3"/>
  <c r="AG172" i="3"/>
  <c r="Y170" i="3"/>
  <c r="K172" i="3" l="1"/>
  <c r="D172" i="3"/>
  <c r="V172" i="3" l="1"/>
  <c r="AE172" i="3"/>
  <c r="F172" i="3"/>
  <c r="G172" i="3"/>
  <c r="I172" i="3" l="1"/>
  <c r="W172" i="3" s="1"/>
  <c r="J172" i="3"/>
  <c r="M172" i="3"/>
  <c r="N172" i="3" s="1"/>
  <c r="L172" i="3" l="1"/>
  <c r="U172" i="3" l="1"/>
  <c r="E173" i="3" s="1"/>
  <c r="H173" i="3" s="1"/>
  <c r="AH173" i="3"/>
  <c r="AG173" i="3"/>
  <c r="Y171" i="3"/>
  <c r="D173" i="3" l="1"/>
  <c r="G173" i="3" s="1"/>
  <c r="K173" i="3"/>
  <c r="F173" i="3" l="1"/>
  <c r="I173" i="3"/>
  <c r="J173" i="3"/>
  <c r="M173" i="3"/>
  <c r="N173" i="3" s="1"/>
  <c r="V173" i="3"/>
  <c r="AE173" i="3"/>
  <c r="L173" i="3" l="1"/>
  <c r="W173" i="3"/>
  <c r="U173" i="3" l="1"/>
  <c r="E174" i="3" s="1"/>
  <c r="H174" i="3" s="1"/>
  <c r="AG174" i="3"/>
  <c r="AH174" i="3"/>
  <c r="Y172" i="3"/>
  <c r="D174" i="3" l="1"/>
  <c r="G174" i="3" s="1"/>
  <c r="K174" i="3"/>
  <c r="F174" i="3" l="1"/>
  <c r="V174" i="3"/>
  <c r="AE174" i="3"/>
  <c r="I174" i="3"/>
  <c r="J174" i="3"/>
  <c r="M174" i="3"/>
  <c r="N174" i="3" s="1"/>
  <c r="W174" i="3" l="1"/>
  <c r="L174" i="3"/>
  <c r="U174" i="3" l="1"/>
  <c r="D175" i="3" s="1"/>
  <c r="AG175" i="3"/>
  <c r="AH175" i="3"/>
  <c r="Y173" i="3"/>
  <c r="E175" i="3" l="1"/>
  <c r="H175" i="3" s="1"/>
  <c r="K175" i="3" s="1"/>
  <c r="G175" i="3"/>
  <c r="F175" i="3" l="1"/>
  <c r="I175" i="3"/>
  <c r="J175" i="3"/>
  <c r="M175" i="3"/>
  <c r="N175" i="3" s="1"/>
  <c r="V175" i="3"/>
  <c r="AE175" i="3"/>
  <c r="W175" i="3" l="1"/>
  <c r="L175" i="3"/>
  <c r="U175" i="3" l="1"/>
  <c r="E176" i="3" s="1"/>
  <c r="H176" i="3" s="1"/>
  <c r="AG176" i="3"/>
  <c r="AH176" i="3"/>
  <c r="Y174" i="3"/>
  <c r="D176" i="3" l="1"/>
  <c r="G176" i="3" s="1"/>
  <c r="K176" i="3"/>
  <c r="F176" i="3" l="1"/>
  <c r="I176" i="3"/>
  <c r="J176" i="3"/>
  <c r="M176" i="3"/>
  <c r="N176" i="3" s="1"/>
  <c r="V176" i="3"/>
  <c r="AE176" i="3"/>
  <c r="W176" i="3" l="1"/>
  <c r="L176" i="3"/>
  <c r="AH177" i="3" l="1"/>
  <c r="U176" i="3"/>
  <c r="D177" i="3" s="1"/>
  <c r="AG177" i="3"/>
  <c r="Y175" i="3"/>
  <c r="G177" i="3" l="1"/>
  <c r="E177" i="3"/>
  <c r="H177" i="3" s="1"/>
  <c r="F177" i="3" l="1"/>
  <c r="I177" i="3"/>
  <c r="J177" i="3"/>
  <c r="M177" i="3"/>
  <c r="N177" i="3" s="1"/>
  <c r="K177" i="3"/>
  <c r="V177" i="3" l="1"/>
  <c r="W177" i="3" s="1"/>
  <c r="AE177" i="3"/>
  <c r="L177" i="3"/>
  <c r="AH178" i="3" l="1"/>
  <c r="U177" i="3"/>
  <c r="E178" i="3" s="1"/>
  <c r="H178" i="3" s="1"/>
  <c r="AG178" i="3"/>
  <c r="Y176" i="3"/>
  <c r="D178" i="3" l="1"/>
  <c r="G178" i="3" s="1"/>
  <c r="K178" i="3"/>
  <c r="F178" i="3" l="1"/>
  <c r="I178" i="3"/>
  <c r="J178" i="3"/>
  <c r="M178" i="3"/>
  <c r="N178" i="3" s="1"/>
  <c r="V178" i="3"/>
  <c r="AE178" i="3"/>
  <c r="W178" i="3" l="1"/>
  <c r="L178" i="3"/>
  <c r="U178" i="3" l="1"/>
  <c r="E179" i="3" s="1"/>
  <c r="H179" i="3" s="1"/>
  <c r="AG179" i="3"/>
  <c r="AH179" i="3"/>
  <c r="Y177" i="3"/>
  <c r="D179" i="3" l="1"/>
  <c r="G179" i="3" s="1"/>
  <c r="K179" i="3"/>
  <c r="F179" i="3" l="1"/>
  <c r="V179" i="3"/>
  <c r="AE179" i="3"/>
  <c r="I179" i="3"/>
  <c r="J179" i="3"/>
  <c r="M179" i="3"/>
  <c r="N179" i="3" s="1"/>
  <c r="W179" i="3" l="1"/>
  <c r="L179" i="3"/>
  <c r="AG180" i="3" l="1"/>
  <c r="U179" i="3"/>
  <c r="D180" i="3" s="1"/>
  <c r="AH180" i="3"/>
  <c r="Y178" i="3"/>
  <c r="E180" i="3" l="1"/>
  <c r="H180" i="3" s="1"/>
  <c r="K180" i="3" s="1"/>
  <c r="G180" i="3"/>
  <c r="F180" i="3" l="1"/>
  <c r="I180" i="3"/>
  <c r="J180" i="3"/>
  <c r="M180" i="3"/>
  <c r="N180" i="3" s="1"/>
  <c r="V180" i="3"/>
  <c r="AE180" i="3"/>
  <c r="L180" i="3" l="1"/>
  <c r="W180" i="3"/>
  <c r="U180" i="3" l="1"/>
  <c r="E181" i="3" s="1"/>
  <c r="H181" i="3" s="1"/>
  <c r="AH181" i="3"/>
  <c r="AG181" i="3"/>
  <c r="Y179" i="3"/>
  <c r="D181" i="3" l="1"/>
  <c r="G181" i="3" s="1"/>
  <c r="K181" i="3"/>
  <c r="F181" i="3" l="1"/>
  <c r="I181" i="3"/>
  <c r="J181" i="3"/>
  <c r="M181" i="3"/>
  <c r="N181" i="3" s="1"/>
  <c r="V181" i="3"/>
  <c r="AE181" i="3"/>
  <c r="W181" i="3" l="1"/>
  <c r="L181" i="3"/>
  <c r="AH182" i="3" l="1"/>
  <c r="U181" i="3"/>
  <c r="E182" i="3" s="1"/>
  <c r="H182" i="3" s="1"/>
  <c r="AG182" i="3"/>
  <c r="Y180" i="3"/>
  <c r="K182" i="3" l="1"/>
  <c r="D182" i="3"/>
  <c r="V182" i="3" l="1"/>
  <c r="AE182" i="3"/>
  <c r="F182" i="3"/>
  <c r="G182" i="3"/>
  <c r="I182" i="3" l="1"/>
  <c r="W182" i="3" s="1"/>
  <c r="J182" i="3"/>
  <c r="M182" i="3"/>
  <c r="N182" i="3" s="1"/>
  <c r="L182" i="3" l="1"/>
  <c r="U182" i="3" l="1"/>
  <c r="E183" i="3" s="1"/>
  <c r="H183" i="3" s="1"/>
  <c r="AH183" i="3"/>
  <c r="AG183" i="3"/>
  <c r="Y181" i="3"/>
  <c r="D183" i="3" l="1"/>
  <c r="G183" i="3" s="1"/>
  <c r="K183" i="3"/>
  <c r="F183" i="3" l="1"/>
  <c r="I183" i="3"/>
  <c r="J183" i="3"/>
  <c r="M183" i="3"/>
  <c r="N183" i="3" s="1"/>
  <c r="V183" i="3"/>
  <c r="AE183" i="3"/>
  <c r="W183" i="3" l="1"/>
  <c r="L183" i="3"/>
  <c r="U183" i="3" l="1"/>
  <c r="D184" i="3" s="1"/>
  <c r="AG184" i="3"/>
  <c r="AH184" i="3"/>
  <c r="Y182" i="3"/>
  <c r="G184" i="3" l="1"/>
  <c r="E184" i="3"/>
  <c r="H184" i="3" s="1"/>
  <c r="K184" i="3" l="1"/>
  <c r="I184" i="3"/>
  <c r="J184" i="3"/>
  <c r="M184" i="3"/>
  <c r="N184" i="3" s="1"/>
  <c r="F184" i="3"/>
  <c r="V184" i="3" l="1"/>
  <c r="W184" i="3" s="1"/>
  <c r="AE184" i="3"/>
  <c r="L184" i="3"/>
  <c r="AH185" i="3" l="1"/>
  <c r="AG185" i="3"/>
  <c r="U184" i="3"/>
  <c r="D185" i="3" s="1"/>
  <c r="Y183" i="3"/>
  <c r="E185" i="3" l="1"/>
  <c r="H185" i="3" s="1"/>
  <c r="K185" i="3" s="1"/>
  <c r="G185" i="3"/>
  <c r="F185" i="3" l="1"/>
  <c r="I185" i="3"/>
  <c r="J185" i="3"/>
  <c r="M185" i="3"/>
  <c r="N185" i="3" s="1"/>
  <c r="V185" i="3"/>
  <c r="AE185" i="3"/>
  <c r="W185" i="3" l="1"/>
  <c r="L185" i="3"/>
  <c r="U185" i="3" l="1"/>
  <c r="E186" i="3" s="1"/>
  <c r="H186" i="3" s="1"/>
  <c r="AH186" i="3"/>
  <c r="AG186" i="3"/>
  <c r="Y184" i="3"/>
  <c r="D186" i="3" l="1"/>
  <c r="G186" i="3" s="1"/>
  <c r="K186" i="3"/>
  <c r="F186" i="3" l="1"/>
  <c r="V186" i="3"/>
  <c r="AE186" i="3"/>
  <c r="I186" i="3"/>
  <c r="J186" i="3"/>
  <c r="M186" i="3"/>
  <c r="N186" i="3" s="1"/>
  <c r="L186" i="3" l="1"/>
  <c r="W186" i="3"/>
  <c r="AG187" i="3" l="1"/>
  <c r="AH187" i="3"/>
  <c r="U186" i="3"/>
  <c r="D187" i="3" s="1"/>
  <c r="Y185" i="3"/>
  <c r="G187" i="3" l="1"/>
  <c r="E187" i="3"/>
  <c r="H187" i="3" s="1"/>
  <c r="I187" i="3" l="1"/>
  <c r="J187" i="3"/>
  <c r="M187" i="3"/>
  <c r="N187" i="3" s="1"/>
  <c r="F187" i="3"/>
  <c r="K187" i="3"/>
  <c r="L187" i="3" l="1"/>
  <c r="V187" i="3"/>
  <c r="W187" i="3" s="1"/>
  <c r="AE187" i="3"/>
  <c r="AG188" i="3" l="1"/>
  <c r="U187" i="3"/>
  <c r="E188" i="3" s="1"/>
  <c r="H188" i="3" s="1"/>
  <c r="AH188" i="3"/>
  <c r="Y186" i="3"/>
  <c r="D188" i="3" l="1"/>
  <c r="G188" i="3" s="1"/>
  <c r="K188" i="3"/>
  <c r="F188" i="3" l="1"/>
  <c r="I188" i="3"/>
  <c r="J188" i="3"/>
  <c r="M188" i="3"/>
  <c r="N188" i="3" s="1"/>
  <c r="V188" i="3"/>
  <c r="AE188" i="3"/>
  <c r="W188" i="3" l="1"/>
  <c r="L188" i="3"/>
  <c r="U188" i="3" l="1"/>
  <c r="E189" i="3" s="1"/>
  <c r="H189" i="3" s="1"/>
  <c r="AH189" i="3"/>
  <c r="AG189" i="3"/>
  <c r="Y187" i="3"/>
  <c r="D189" i="3" l="1"/>
  <c r="G189" i="3" s="1"/>
  <c r="K189" i="3"/>
  <c r="F189" i="3" l="1"/>
  <c r="I189" i="3"/>
  <c r="J189" i="3"/>
  <c r="M189" i="3"/>
  <c r="N189" i="3" s="1"/>
  <c r="V189" i="3"/>
  <c r="AE189" i="3"/>
  <c r="W189" i="3" l="1"/>
  <c r="L189" i="3"/>
  <c r="AH190" i="3" l="1"/>
  <c r="U189" i="3"/>
  <c r="D190" i="3" s="1"/>
  <c r="AG190" i="3"/>
  <c r="Y188" i="3"/>
  <c r="G190" i="3" l="1"/>
  <c r="E190" i="3"/>
  <c r="H190" i="3" s="1"/>
  <c r="K190" i="3" l="1"/>
  <c r="I190" i="3"/>
  <c r="J190" i="3"/>
  <c r="M190" i="3"/>
  <c r="N190" i="3" s="1"/>
  <c r="F190" i="3"/>
  <c r="L190" i="3" l="1"/>
  <c r="V190" i="3"/>
  <c r="W190" i="3" s="1"/>
  <c r="AE190" i="3"/>
  <c r="AG191" i="3" l="1"/>
  <c r="U190" i="3"/>
  <c r="E191" i="3" s="1"/>
  <c r="H191" i="3" s="1"/>
  <c r="AH191" i="3"/>
  <c r="Y189" i="3"/>
  <c r="K191" i="3" l="1"/>
  <c r="D191" i="3"/>
  <c r="V191" i="3" l="1"/>
  <c r="AE191" i="3"/>
  <c r="F191" i="3"/>
  <c r="G191" i="3"/>
  <c r="I191" i="3" l="1"/>
  <c r="W191" i="3" s="1"/>
  <c r="J191" i="3"/>
  <c r="M191" i="3"/>
  <c r="N191" i="3" s="1"/>
  <c r="L191" i="3" l="1"/>
  <c r="AG192" i="3" l="1"/>
  <c r="U191" i="3"/>
  <c r="E192" i="3" s="1"/>
  <c r="H192" i="3" s="1"/>
  <c r="AH192" i="3"/>
  <c r="Y190" i="3"/>
  <c r="D192" i="3" l="1"/>
  <c r="G192" i="3" s="1"/>
  <c r="K192" i="3"/>
  <c r="F192" i="3" l="1"/>
  <c r="I192" i="3"/>
  <c r="J192" i="3"/>
  <c r="M192" i="3"/>
  <c r="N192" i="3" s="1"/>
  <c r="V192" i="3"/>
  <c r="AE192" i="3"/>
  <c r="W192" i="3" l="1"/>
  <c r="L192" i="3"/>
  <c r="U192" i="3" l="1"/>
  <c r="D193" i="3" s="1"/>
  <c r="AG193" i="3"/>
  <c r="AH193" i="3"/>
  <c r="Y191" i="3"/>
  <c r="G193" i="3" l="1"/>
  <c r="E193" i="3"/>
  <c r="H193" i="3" s="1"/>
  <c r="K193" i="3" l="1"/>
  <c r="I193" i="3"/>
  <c r="J193" i="3"/>
  <c r="M193" i="3"/>
  <c r="N193" i="3" s="1"/>
  <c r="F193" i="3"/>
  <c r="L193" i="3" l="1"/>
  <c r="V193" i="3"/>
  <c r="W193" i="3" s="1"/>
  <c r="AE193" i="3"/>
  <c r="AH194" i="3" l="1"/>
  <c r="AG194" i="3"/>
  <c r="U193" i="3"/>
  <c r="D194" i="3" s="1"/>
  <c r="Y192" i="3"/>
  <c r="E194" i="3" l="1"/>
  <c r="H194" i="3" s="1"/>
  <c r="K194" i="3" s="1"/>
  <c r="G194" i="3"/>
  <c r="F194" i="3" l="1"/>
  <c r="V194" i="3"/>
  <c r="AE194" i="3"/>
  <c r="I194" i="3"/>
  <c r="J194" i="3"/>
  <c r="M194" i="3"/>
  <c r="N194" i="3" s="1"/>
  <c r="W194" i="3" l="1"/>
  <c r="L194" i="3"/>
  <c r="U194" i="3" l="1"/>
  <c r="D195" i="3" s="1"/>
  <c r="AH195" i="3"/>
  <c r="AG195" i="3"/>
  <c r="Y193" i="3"/>
  <c r="E195" i="3" l="1"/>
  <c r="H195" i="3" s="1"/>
  <c r="K195" i="3" s="1"/>
  <c r="G195" i="3"/>
  <c r="F195" i="3" l="1"/>
  <c r="V195" i="3"/>
  <c r="AE195" i="3"/>
  <c r="I195" i="3"/>
  <c r="J195" i="3"/>
  <c r="M195" i="3"/>
  <c r="N195" i="3" s="1"/>
  <c r="W195" i="3" l="1"/>
  <c r="L195" i="3"/>
  <c r="AH196" i="3" l="1"/>
  <c r="U195" i="3"/>
  <c r="D196" i="3" s="1"/>
  <c r="AG196" i="3"/>
  <c r="Y194" i="3"/>
  <c r="E196" i="3" l="1"/>
  <c r="H196" i="3" s="1"/>
  <c r="K196" i="3" s="1"/>
  <c r="G196" i="3"/>
  <c r="F196" i="3" l="1"/>
  <c r="I196" i="3"/>
  <c r="J196" i="3"/>
  <c r="M196" i="3"/>
  <c r="N196" i="3" s="1"/>
  <c r="V196" i="3"/>
  <c r="AE196" i="3"/>
  <c r="L196" i="3" l="1"/>
  <c r="W196" i="3"/>
  <c r="U196" i="3" l="1"/>
  <c r="E197" i="3" s="1"/>
  <c r="H197" i="3" s="1"/>
  <c r="AG197" i="3"/>
  <c r="AH197" i="3"/>
  <c r="Y195" i="3"/>
  <c r="D197" i="3" l="1"/>
  <c r="G197" i="3" s="1"/>
  <c r="K197" i="3"/>
  <c r="F197" i="3" l="1"/>
  <c r="I197" i="3"/>
  <c r="J197" i="3"/>
  <c r="M197" i="3"/>
  <c r="N197" i="3" s="1"/>
  <c r="V197" i="3"/>
  <c r="AE197" i="3"/>
  <c r="W197" i="3" l="1"/>
  <c r="L197" i="3"/>
  <c r="AG198" i="3" l="1"/>
  <c r="AH198" i="3"/>
  <c r="U197" i="3"/>
  <c r="E198" i="3" s="1"/>
  <c r="H198" i="3" s="1"/>
  <c r="Y196" i="3"/>
  <c r="K198" i="3" l="1"/>
  <c r="D198" i="3"/>
  <c r="V198" i="3" l="1"/>
  <c r="AE198" i="3"/>
  <c r="F198" i="3"/>
  <c r="G198" i="3"/>
  <c r="I198" i="3" l="1"/>
  <c r="W198" i="3" s="1"/>
  <c r="J198" i="3"/>
  <c r="M198" i="3"/>
  <c r="N198" i="3" s="1"/>
  <c r="L198" i="3" l="1"/>
  <c r="AG199" i="3" l="1"/>
  <c r="U198" i="3"/>
  <c r="E199" i="3" s="1"/>
  <c r="H199" i="3" s="1"/>
  <c r="AH199" i="3"/>
  <c r="Y197" i="3"/>
  <c r="K199" i="3" l="1"/>
  <c r="D199" i="3"/>
  <c r="V199" i="3" l="1"/>
  <c r="AE199" i="3"/>
  <c r="F199" i="3"/>
  <c r="G199" i="3"/>
  <c r="I199" i="3" l="1"/>
  <c r="W199" i="3" s="1"/>
  <c r="J199" i="3"/>
  <c r="M199" i="3"/>
  <c r="N199" i="3" s="1"/>
  <c r="L199" i="3" l="1"/>
  <c r="AH200" i="3" l="1"/>
  <c r="AG200" i="3"/>
  <c r="U199" i="3"/>
  <c r="E200" i="3" s="1"/>
  <c r="H200" i="3" s="1"/>
  <c r="Y198" i="3"/>
  <c r="K200" i="3" l="1"/>
  <c r="D200" i="3"/>
  <c r="V200" i="3" l="1"/>
  <c r="AE200" i="3"/>
  <c r="F200" i="3"/>
  <c r="G200" i="3"/>
  <c r="I200" i="3" l="1"/>
  <c r="W200" i="3" s="1"/>
  <c r="J200" i="3"/>
  <c r="M200" i="3"/>
  <c r="N200" i="3" s="1"/>
  <c r="L200" i="3" l="1"/>
  <c r="AG201" i="3" l="1"/>
  <c r="U200" i="3"/>
  <c r="E201" i="3" s="1"/>
  <c r="H201" i="3" s="1"/>
  <c r="AH201" i="3"/>
  <c r="Y199" i="3"/>
  <c r="D201" i="3" l="1"/>
  <c r="G201" i="3" s="1"/>
  <c r="K201" i="3"/>
  <c r="F201" i="3" l="1"/>
  <c r="I201" i="3"/>
  <c r="J201" i="3"/>
  <c r="M201" i="3"/>
  <c r="N201" i="3" s="1"/>
  <c r="V201" i="3"/>
  <c r="AE201" i="3"/>
  <c r="W201" i="3" l="1"/>
  <c r="L201" i="3"/>
  <c r="U201" i="3" l="1"/>
  <c r="E202" i="3" s="1"/>
  <c r="H202" i="3" s="1"/>
  <c r="AG202" i="3"/>
  <c r="AH202" i="3"/>
  <c r="Y200" i="3"/>
  <c r="D202" i="3" l="1"/>
  <c r="G202" i="3" s="1"/>
  <c r="K202" i="3"/>
  <c r="F202" i="3" l="1"/>
  <c r="V202" i="3"/>
  <c r="AE202" i="3"/>
  <c r="I202" i="3"/>
  <c r="J202" i="3"/>
  <c r="M202" i="3"/>
  <c r="N202" i="3" s="1"/>
  <c r="W202" i="3" l="1"/>
  <c r="L202" i="3"/>
  <c r="U202" i="3" l="1"/>
  <c r="E203" i="3" s="1"/>
  <c r="H203" i="3" s="1"/>
  <c r="AH203" i="3"/>
  <c r="AG203" i="3"/>
  <c r="Y201" i="3"/>
  <c r="D203" i="3" l="1"/>
  <c r="G203" i="3" s="1"/>
  <c r="K203" i="3"/>
  <c r="F203" i="3" l="1"/>
  <c r="I203" i="3"/>
  <c r="J203" i="3"/>
  <c r="M203" i="3"/>
  <c r="N203" i="3" s="1"/>
  <c r="V203" i="3"/>
  <c r="AE203" i="3"/>
  <c r="W203" i="3" l="1"/>
  <c r="L203" i="3"/>
  <c r="U203" i="3" l="1"/>
  <c r="E204" i="3" s="1"/>
  <c r="H204" i="3" s="1"/>
  <c r="AH204" i="3"/>
  <c r="AG204" i="3"/>
  <c r="Y202" i="3"/>
  <c r="D204" i="3" l="1"/>
  <c r="G204" i="3" s="1"/>
  <c r="K204" i="3"/>
  <c r="F204" i="3" l="1"/>
  <c r="I204" i="3"/>
  <c r="J204" i="3"/>
  <c r="M204" i="3"/>
  <c r="N204" i="3" s="1"/>
  <c r="V204" i="3"/>
  <c r="A205" i="3"/>
  <c r="B205" i="3" s="1"/>
  <c r="AE204" i="3"/>
  <c r="W204" i="3" l="1"/>
  <c r="L204" i="3"/>
  <c r="AD204" i="3"/>
  <c r="AC205" i="3"/>
  <c r="P205" i="3"/>
  <c r="Q205" i="3" s="1"/>
  <c r="R205" i="3" s="1"/>
  <c r="S205" i="3" s="1"/>
  <c r="Z205" i="3"/>
  <c r="AA205" i="3"/>
  <c r="AD205" i="3"/>
  <c r="U204" i="3" l="1"/>
  <c r="Y203" i="3"/>
  <c r="T205" i="3"/>
  <c r="AH205" i="3" s="1"/>
  <c r="E205" i="3" l="1"/>
  <c r="H205" i="3" s="1"/>
  <c r="D205" i="3"/>
  <c r="AG205" i="3"/>
  <c r="K205" i="3" l="1"/>
  <c r="F205" i="3"/>
  <c r="G205" i="3"/>
  <c r="V205" i="3" l="1"/>
  <c r="A206" i="3"/>
  <c r="B206" i="3" s="1"/>
  <c r="AE205" i="3"/>
  <c r="I205" i="3"/>
  <c r="J205" i="3"/>
  <c r="M205" i="3"/>
  <c r="N205" i="3" s="1"/>
  <c r="W205" i="3" l="1"/>
  <c r="L205" i="3"/>
  <c r="AC206" i="3"/>
  <c r="P206" i="3"/>
  <c r="Q206" i="3" s="1"/>
  <c r="R206" i="3" s="1"/>
  <c r="S206" i="3" s="1"/>
  <c r="Z206" i="3"/>
  <c r="AA206" i="3"/>
  <c r="AD206" i="3"/>
  <c r="T206" i="3" l="1"/>
  <c r="AH206" i="3" s="1"/>
  <c r="U205" i="3"/>
  <c r="Y204" i="3"/>
  <c r="AG206" i="3" l="1"/>
  <c r="D206" i="3"/>
  <c r="E206" i="3"/>
  <c r="H206" i="3" s="1"/>
  <c r="F206" i="3" l="1"/>
  <c r="G206" i="3"/>
  <c r="K206" i="3"/>
  <c r="I206" i="3" l="1"/>
  <c r="J206" i="3"/>
  <c r="M206" i="3"/>
  <c r="N206" i="3" s="1"/>
  <c r="V206" i="3"/>
  <c r="A207" i="3"/>
  <c r="B207" i="3" s="1"/>
  <c r="AE206" i="3"/>
  <c r="W206" i="3" l="1"/>
  <c r="L206" i="3"/>
  <c r="P207" i="3"/>
  <c r="Q207" i="3" s="1"/>
  <c r="R207" i="3" s="1"/>
  <c r="S207" i="3" s="1"/>
  <c r="AC207" i="3"/>
  <c r="Z207" i="3"/>
  <c r="AA207" i="3"/>
  <c r="T207" i="3" l="1"/>
  <c r="U206" i="3"/>
  <c r="Y205" i="3"/>
  <c r="D207" i="3" l="1"/>
  <c r="G207" i="3" s="1"/>
  <c r="AH207" i="3"/>
  <c r="E207" i="3"/>
  <c r="H207" i="3" s="1"/>
  <c r="AG207" i="3"/>
  <c r="F207" i="3" l="1"/>
  <c r="I207" i="3"/>
  <c r="J207" i="3"/>
  <c r="AD207" i="3" s="1"/>
  <c r="M207" i="3"/>
  <c r="N207" i="3" s="1"/>
  <c r="K207" i="3"/>
  <c r="V207" i="3" l="1"/>
  <c r="W207" i="3" s="1"/>
  <c r="AE207" i="3"/>
  <c r="A208" i="3"/>
  <c r="B208" i="3" s="1"/>
  <c r="L207" i="3"/>
  <c r="Z208" i="3" l="1"/>
  <c r="AC208" i="3"/>
  <c r="AA208" i="3"/>
  <c r="P208" i="3"/>
  <c r="Q208" i="3" s="1"/>
  <c r="R208" i="3" s="1"/>
  <c r="S208" i="3" s="1"/>
  <c r="AD208" i="3"/>
  <c r="U207" i="3"/>
  <c r="Y206" i="3"/>
  <c r="T208" i="3" l="1"/>
  <c r="AG208" i="3" s="1"/>
  <c r="AH208" i="3" l="1"/>
  <c r="D208" i="3"/>
  <c r="G208" i="3" s="1"/>
  <c r="E208" i="3"/>
  <c r="H208" i="3" s="1"/>
  <c r="K208" i="3" s="1"/>
  <c r="F208" i="3" l="1"/>
  <c r="I208" i="3"/>
  <c r="J208" i="3"/>
  <c r="M208" i="3"/>
  <c r="N208" i="3" s="1"/>
  <c r="V208" i="3"/>
  <c r="A209" i="3"/>
  <c r="B209" i="3" s="1"/>
  <c r="AE208" i="3"/>
  <c r="W208" i="3" l="1"/>
  <c r="L208" i="3"/>
  <c r="P209" i="3"/>
  <c r="Q209" i="3" s="1"/>
  <c r="R209" i="3" s="1"/>
  <c r="S209" i="3" s="1"/>
  <c r="AC209" i="3"/>
  <c r="AD209" i="3"/>
  <c r="AA209" i="3"/>
  <c r="Z209" i="3"/>
  <c r="U208" i="3" l="1"/>
  <c r="Y207" i="3"/>
  <c r="T209" i="3"/>
  <c r="AH209" i="3" s="1"/>
  <c r="AG209" i="3" l="1"/>
  <c r="D209" i="3"/>
  <c r="G209" i="3" s="1"/>
  <c r="E209" i="3"/>
  <c r="H209" i="3" s="1"/>
  <c r="F209" i="3" l="1"/>
  <c r="K209" i="3"/>
  <c r="I209" i="3"/>
  <c r="J209" i="3"/>
  <c r="M209" i="3"/>
  <c r="N209" i="3" s="1"/>
  <c r="L209" i="3" l="1"/>
  <c r="V209" i="3"/>
  <c r="W209" i="3" s="1"/>
  <c r="A210" i="3"/>
  <c r="B210" i="3" s="1"/>
  <c r="AE209" i="3"/>
  <c r="AC210" i="3" l="1"/>
  <c r="Z210" i="3"/>
  <c r="P210" i="3"/>
  <c r="Q210" i="3" s="1"/>
  <c r="R210" i="3" s="1"/>
  <c r="S210" i="3" s="1"/>
  <c r="AA210" i="3"/>
  <c r="AD210" i="3"/>
  <c r="U209" i="3"/>
  <c r="Y208" i="3"/>
  <c r="T210" i="3" l="1"/>
  <c r="AG210" i="3" s="1"/>
  <c r="AH210" i="3" l="1"/>
  <c r="D210" i="3"/>
  <c r="E210" i="3"/>
  <c r="H210" i="3" s="1"/>
  <c r="F210" i="3" l="1"/>
  <c r="G210" i="3"/>
  <c r="K210" i="3"/>
  <c r="V210" i="3" l="1"/>
  <c r="AE210" i="3"/>
  <c r="A211" i="3"/>
  <c r="B211" i="3" s="1"/>
  <c r="I210" i="3"/>
  <c r="J210" i="3"/>
  <c r="M210" i="3"/>
  <c r="N210" i="3" s="1"/>
  <c r="W210" i="3" l="1"/>
  <c r="AC211" i="3"/>
  <c r="Z211" i="3"/>
  <c r="P211" i="3"/>
  <c r="Q211" i="3" s="1"/>
  <c r="R211" i="3" s="1"/>
  <c r="S211" i="3" s="1"/>
  <c r="AA211" i="3"/>
  <c r="AD211" i="3"/>
  <c r="L210" i="3"/>
  <c r="T211" i="3" l="1"/>
  <c r="AG211" i="3" s="1"/>
  <c r="U210" i="3"/>
  <c r="Y209" i="3"/>
  <c r="E211" i="3" l="1"/>
  <c r="H211" i="3" s="1"/>
  <c r="D211" i="3"/>
  <c r="AH211" i="3"/>
  <c r="K211" i="3" l="1"/>
  <c r="F211" i="3"/>
  <c r="G211" i="3"/>
  <c r="I211" i="3" l="1"/>
  <c r="J211" i="3"/>
  <c r="M211" i="3"/>
  <c r="N211" i="3" s="1"/>
  <c r="V211" i="3"/>
  <c r="AE211" i="3"/>
  <c r="A212" i="3"/>
  <c r="B212" i="3" s="1"/>
  <c r="W211" i="3" l="1"/>
  <c r="AA212" i="3"/>
  <c r="Z212" i="3"/>
  <c r="P212" i="3"/>
  <c r="Q212" i="3" s="1"/>
  <c r="R212" i="3" s="1"/>
  <c r="S212" i="3" s="1"/>
  <c r="AC212" i="3"/>
  <c r="AD212" i="3"/>
  <c r="L211" i="3"/>
  <c r="U211" i="3" l="1"/>
  <c r="Y210" i="3"/>
  <c r="T212" i="3"/>
  <c r="E212" i="3" l="1"/>
  <c r="H212" i="3" s="1"/>
  <c r="K212" i="3" s="1"/>
  <c r="AH212" i="3"/>
  <c r="AG212" i="3"/>
  <c r="D212" i="3"/>
  <c r="F212" i="3" l="1"/>
  <c r="G212" i="3"/>
  <c r="V212" i="3"/>
  <c r="A213" i="3"/>
  <c r="B213" i="3" s="1"/>
  <c r="AE212" i="3"/>
  <c r="AD213" i="3" l="1"/>
  <c r="AC213" i="3"/>
  <c r="P213" i="3"/>
  <c r="Q213" i="3" s="1"/>
  <c r="R213" i="3" s="1"/>
  <c r="S213" i="3" s="1"/>
  <c r="AA213" i="3"/>
  <c r="Z213" i="3"/>
  <c r="I212" i="3"/>
  <c r="W212" i="3" s="1"/>
  <c r="J212" i="3"/>
  <c r="M212" i="3"/>
  <c r="N212" i="3" s="1"/>
  <c r="T213" i="3" l="1"/>
  <c r="L212" i="3"/>
  <c r="U212" i="3" l="1"/>
  <c r="E213" i="3" s="1"/>
  <c r="H213" i="3" s="1"/>
  <c r="AH213" i="3"/>
  <c r="AG213" i="3"/>
  <c r="Y211" i="3"/>
  <c r="D213" i="3" l="1"/>
  <c r="G213" i="3" s="1"/>
  <c r="K213" i="3"/>
  <c r="F213" i="3" l="1"/>
  <c r="I213" i="3"/>
  <c r="J213" i="3"/>
  <c r="M213" i="3"/>
  <c r="N213" i="3" s="1"/>
  <c r="V213" i="3"/>
  <c r="A214" i="3"/>
  <c r="B214" i="3" s="1"/>
  <c r="AE213" i="3"/>
  <c r="W213" i="3" l="1"/>
  <c r="L213" i="3"/>
  <c r="P214" i="3"/>
  <c r="Q214" i="3" s="1"/>
  <c r="R214" i="3" s="1"/>
  <c r="S214" i="3" s="1"/>
  <c r="AC214" i="3"/>
  <c r="AA214" i="3"/>
  <c r="Z214" i="3"/>
  <c r="U213" i="3" l="1"/>
  <c r="Y212" i="3"/>
  <c r="T214" i="3"/>
  <c r="D214" i="3" l="1"/>
  <c r="G214" i="3" s="1"/>
  <c r="E214" i="3"/>
  <c r="H214" i="3" s="1"/>
  <c r="AG214" i="3"/>
  <c r="AH214" i="3"/>
  <c r="F214" i="3" l="1"/>
  <c r="I214" i="3"/>
  <c r="J214" i="3"/>
  <c r="M214" i="3"/>
  <c r="N214" i="3" s="1"/>
  <c r="K214" i="3"/>
  <c r="AE214" i="3" s="1"/>
  <c r="V214" i="3" l="1"/>
  <c r="W214" i="3" s="1"/>
  <c r="A215" i="3"/>
  <c r="B215" i="3" s="1"/>
  <c r="L214" i="3"/>
  <c r="AD214" i="3"/>
  <c r="U214" i="3" l="1"/>
  <c r="Y213" i="3"/>
  <c r="AC215" i="3"/>
  <c r="AD215" i="3"/>
  <c r="Z215" i="3"/>
  <c r="P215" i="3"/>
  <c r="Q215" i="3" s="1"/>
  <c r="R215" i="3" s="1"/>
  <c r="S215" i="3" s="1"/>
  <c r="AA215" i="3"/>
  <c r="T215" i="3" l="1"/>
  <c r="AH215" i="3" s="1"/>
  <c r="D215" i="3" l="1"/>
  <c r="G215" i="3" s="1"/>
  <c r="E215" i="3"/>
  <c r="H215" i="3" s="1"/>
  <c r="K215" i="3" s="1"/>
  <c r="AE215" i="3" s="1"/>
  <c r="AG215" i="3"/>
  <c r="F215" i="3" l="1"/>
  <c r="V215" i="3"/>
  <c r="A216" i="3"/>
  <c r="B216" i="3" s="1"/>
  <c r="I215" i="3"/>
  <c r="J215" i="3"/>
  <c r="M215" i="3"/>
  <c r="N215" i="3" s="1"/>
  <c r="W215" i="3" l="1"/>
  <c r="L215" i="3"/>
  <c r="P216" i="3"/>
  <c r="Q216" i="3" s="1"/>
  <c r="R216" i="3" s="1"/>
  <c r="S216" i="3" s="1"/>
  <c r="Z216" i="3"/>
  <c r="AC216" i="3"/>
  <c r="AD216" i="3"/>
  <c r="AA216" i="3"/>
  <c r="U215" i="3" l="1"/>
  <c r="Y214" i="3"/>
  <c r="T216" i="3"/>
  <c r="AH216" i="3" s="1"/>
  <c r="D216" i="3" l="1"/>
  <c r="G216" i="3" s="1"/>
  <c r="AG216" i="3"/>
  <c r="E216" i="3"/>
  <c r="H216" i="3" s="1"/>
  <c r="K216" i="3" l="1"/>
  <c r="AE216" i="3" s="1"/>
  <c r="I216" i="3"/>
  <c r="J216" i="3"/>
  <c r="M216" i="3"/>
  <c r="N216" i="3" s="1"/>
  <c r="F216" i="3"/>
  <c r="V216" i="3" l="1"/>
  <c r="W216" i="3" s="1"/>
  <c r="A217" i="3"/>
  <c r="B217" i="3" s="1"/>
  <c r="L216" i="3"/>
  <c r="U216" i="3" l="1"/>
  <c r="Y215" i="3"/>
  <c r="P217" i="3"/>
  <c r="Q217" i="3" s="1"/>
  <c r="R217" i="3" s="1"/>
  <c r="S217" i="3" s="1"/>
  <c r="AC217" i="3"/>
  <c r="AA217" i="3"/>
  <c r="Z217" i="3"/>
  <c r="T217" i="3" l="1"/>
  <c r="D217" i="3" s="1"/>
  <c r="G217" i="3" l="1"/>
  <c r="AG217" i="3"/>
  <c r="AH217" i="3"/>
  <c r="E217" i="3"/>
  <c r="H217" i="3" s="1"/>
  <c r="I217" i="3" l="1"/>
  <c r="J217" i="3"/>
  <c r="AD217" i="3" s="1"/>
  <c r="M217" i="3"/>
  <c r="N217" i="3" s="1"/>
  <c r="K217" i="3"/>
  <c r="AE217" i="3" s="1"/>
  <c r="F217" i="3"/>
  <c r="V217" i="3" l="1"/>
  <c r="W217" i="3" s="1"/>
  <c r="A218" i="3"/>
  <c r="B218" i="3" s="1"/>
  <c r="L217" i="3"/>
  <c r="U217" i="3" l="1"/>
  <c r="Y216" i="3"/>
  <c r="AC218" i="3"/>
  <c r="AA218" i="3"/>
  <c r="Z218" i="3"/>
  <c r="P218" i="3"/>
  <c r="Q218" i="3" s="1"/>
  <c r="R218" i="3" s="1"/>
  <c r="S218" i="3" s="1"/>
  <c r="AD218" i="3"/>
  <c r="T218" i="3" l="1"/>
  <c r="AG218" i="3" s="1"/>
  <c r="AH218" i="3" l="1"/>
  <c r="E218" i="3"/>
  <c r="H218" i="3" s="1"/>
  <c r="K218" i="3" s="1"/>
  <c r="AE218" i="3" s="1"/>
  <c r="D218" i="3"/>
  <c r="G218" i="3" s="1"/>
  <c r="F218" i="3" l="1"/>
  <c r="I218" i="3"/>
  <c r="J218" i="3"/>
  <c r="M218" i="3"/>
  <c r="N218" i="3" s="1"/>
  <c r="V218" i="3"/>
  <c r="A219" i="3"/>
  <c r="B219" i="3" s="1"/>
  <c r="W218" i="3" l="1"/>
  <c r="L218" i="3"/>
  <c r="P219" i="3"/>
  <c r="Q219" i="3" s="1"/>
  <c r="R219" i="3" s="1"/>
  <c r="S219" i="3" s="1"/>
  <c r="AD219" i="3"/>
  <c r="AC219" i="3"/>
  <c r="AA219" i="3"/>
  <c r="Z219" i="3"/>
  <c r="U218" i="3" l="1"/>
  <c r="Y217" i="3"/>
  <c r="T219" i="3"/>
  <c r="AG219" i="3" s="1"/>
  <c r="D219" i="3" l="1"/>
  <c r="E219" i="3"/>
  <c r="H219" i="3" s="1"/>
  <c r="AH219" i="3"/>
  <c r="F219" i="3" l="1"/>
  <c r="G219" i="3"/>
  <c r="K219" i="3"/>
  <c r="AE219" i="3" s="1"/>
  <c r="I219" i="3" l="1"/>
  <c r="J219" i="3"/>
  <c r="M219" i="3"/>
  <c r="N219" i="3" s="1"/>
  <c r="V219" i="3"/>
  <c r="A220" i="3"/>
  <c r="B220" i="3" s="1"/>
  <c r="W219" i="3" l="1"/>
  <c r="L219" i="3"/>
  <c r="AC220" i="3"/>
  <c r="AD220" i="3"/>
  <c r="Z220" i="3"/>
  <c r="P220" i="3"/>
  <c r="Q220" i="3" s="1"/>
  <c r="R220" i="3" s="1"/>
  <c r="S220" i="3" s="1"/>
  <c r="AA220" i="3"/>
  <c r="U219" i="3" l="1"/>
  <c r="Y218" i="3"/>
  <c r="T220" i="3"/>
  <c r="E220" i="3" l="1"/>
  <c r="H220" i="3" s="1"/>
  <c r="K220" i="3" s="1"/>
  <c r="AE220" i="3" s="1"/>
  <c r="D220" i="3"/>
  <c r="G220" i="3" s="1"/>
  <c r="AG220" i="3"/>
  <c r="AH220" i="3"/>
  <c r="F220" i="3" l="1"/>
  <c r="I220" i="3"/>
  <c r="J220" i="3"/>
  <c r="M220" i="3"/>
  <c r="N220" i="3" s="1"/>
  <c r="V220" i="3"/>
  <c r="A221" i="3"/>
  <c r="B221" i="3" s="1"/>
  <c r="W220" i="3" l="1"/>
  <c r="L220" i="3"/>
  <c r="AA221" i="3"/>
  <c r="AC221" i="3"/>
  <c r="AD221" i="3"/>
  <c r="P221" i="3"/>
  <c r="Q221" i="3" s="1"/>
  <c r="R221" i="3" s="1"/>
  <c r="S221" i="3" s="1"/>
  <c r="Z221" i="3"/>
  <c r="T221" i="3" l="1"/>
  <c r="U220" i="3"/>
  <c r="Y219" i="3"/>
  <c r="D221" i="3" l="1"/>
  <c r="G221" i="3" s="1"/>
  <c r="AH221" i="3"/>
  <c r="AG221" i="3"/>
  <c r="E221" i="3"/>
  <c r="H221" i="3" s="1"/>
  <c r="K221" i="3" l="1"/>
  <c r="AE221" i="3" s="1"/>
  <c r="I221" i="3"/>
  <c r="J221" i="3"/>
  <c r="M221" i="3"/>
  <c r="N221" i="3" s="1"/>
  <c r="F221" i="3"/>
  <c r="L221" i="3" l="1"/>
  <c r="V221" i="3"/>
  <c r="W221" i="3" s="1"/>
  <c r="A222" i="3"/>
  <c r="B222" i="3" s="1"/>
  <c r="P222" i="3" l="1"/>
  <c r="Q222" i="3" s="1"/>
  <c r="R222" i="3" s="1"/>
  <c r="S222" i="3" s="1"/>
  <c r="AC222" i="3"/>
  <c r="Z222" i="3"/>
  <c r="AA222" i="3"/>
  <c r="AD222" i="3"/>
  <c r="U221" i="3"/>
  <c r="Y220" i="3"/>
  <c r="T222" i="3" l="1"/>
  <c r="AH222" i="3" s="1"/>
  <c r="E222" i="3" l="1"/>
  <c r="H222" i="3" s="1"/>
  <c r="AG222" i="3"/>
  <c r="D222" i="3"/>
  <c r="F222" i="3" l="1"/>
  <c r="G222" i="3"/>
  <c r="K222" i="3"/>
  <c r="AE222" i="3" s="1"/>
  <c r="I222" i="3" l="1"/>
  <c r="J222" i="3"/>
  <c r="M222" i="3"/>
  <c r="N222" i="3" s="1"/>
  <c r="V222" i="3"/>
  <c r="A223" i="3"/>
  <c r="B223" i="3" s="1"/>
  <c r="W222" i="3" l="1"/>
  <c r="L222" i="3"/>
  <c r="P223" i="3"/>
  <c r="Q223" i="3" s="1"/>
  <c r="R223" i="3" s="1"/>
  <c r="S223" i="3" s="1"/>
  <c r="Z223" i="3"/>
  <c r="AC223" i="3"/>
  <c r="AD223" i="3"/>
  <c r="AA223" i="3"/>
  <c r="U222" i="3" l="1"/>
  <c r="Y221" i="3"/>
  <c r="T223" i="3"/>
  <c r="D223" i="3" l="1"/>
  <c r="G223" i="3" s="1"/>
  <c r="AG223" i="3"/>
  <c r="AH223" i="3"/>
  <c r="E223" i="3"/>
  <c r="H223" i="3" s="1"/>
  <c r="K223" i="3" s="1"/>
  <c r="AE223" i="3" s="1"/>
  <c r="F223" i="3" l="1"/>
  <c r="I223" i="3"/>
  <c r="J223" i="3"/>
  <c r="M223" i="3"/>
  <c r="N223" i="3" s="1"/>
  <c r="V223" i="3"/>
  <c r="A224" i="3"/>
  <c r="B224" i="3" s="1"/>
  <c r="W223" i="3" l="1"/>
  <c r="L223" i="3"/>
  <c r="Z224" i="3"/>
  <c r="P224" i="3"/>
  <c r="Q224" i="3" s="1"/>
  <c r="R224" i="3" s="1"/>
  <c r="S224" i="3" s="1"/>
  <c r="AC224" i="3"/>
  <c r="AA224" i="3"/>
  <c r="U223" i="3" l="1"/>
  <c r="Y222" i="3"/>
  <c r="T224" i="3"/>
  <c r="D224" i="3" l="1"/>
  <c r="G224" i="3" s="1"/>
  <c r="AG224" i="3"/>
  <c r="AH224" i="3"/>
  <c r="E224" i="3"/>
  <c r="H224" i="3" s="1"/>
  <c r="K224" i="3" s="1"/>
  <c r="AE224" i="3" s="1"/>
  <c r="F224" i="3" l="1"/>
  <c r="I224" i="3"/>
  <c r="J224" i="3"/>
  <c r="M224" i="3"/>
  <c r="N224" i="3" s="1"/>
  <c r="V224" i="3"/>
  <c r="A225" i="3"/>
  <c r="B225" i="3" s="1"/>
  <c r="W224" i="3" l="1"/>
  <c r="L224" i="3"/>
  <c r="AD224" i="3"/>
  <c r="AC225" i="3"/>
  <c r="P225" i="3"/>
  <c r="Q225" i="3" s="1"/>
  <c r="R225" i="3" s="1"/>
  <c r="S225" i="3" s="1"/>
  <c r="AA225" i="3"/>
  <c r="AD225" i="3"/>
  <c r="Z225" i="3"/>
  <c r="U224" i="3" l="1"/>
  <c r="Y223" i="3"/>
  <c r="T225" i="3"/>
  <c r="AG225" i="3" s="1"/>
  <c r="AH225" i="3" l="1"/>
  <c r="E225" i="3"/>
  <c r="H225" i="3" s="1"/>
  <c r="D225" i="3"/>
  <c r="K225" i="3" l="1"/>
  <c r="AE225" i="3" s="1"/>
  <c r="F225" i="3"/>
  <c r="G225" i="3"/>
  <c r="I225" i="3" l="1"/>
  <c r="J225" i="3"/>
  <c r="M225" i="3"/>
  <c r="N225" i="3" s="1"/>
  <c r="V225" i="3"/>
  <c r="A226" i="3"/>
  <c r="B226" i="3" s="1"/>
  <c r="W225" i="3" l="1"/>
  <c r="L225" i="3"/>
  <c r="AD226" i="3"/>
  <c r="Z226" i="3"/>
  <c r="AA226" i="3"/>
  <c r="P226" i="3"/>
  <c r="Q226" i="3" s="1"/>
  <c r="R226" i="3" s="1"/>
  <c r="S226" i="3" s="1"/>
  <c r="AC226" i="3"/>
  <c r="U225" i="3" l="1"/>
  <c r="Y224" i="3"/>
  <c r="T226" i="3"/>
  <c r="D226" i="3" l="1"/>
  <c r="G226" i="3" s="1"/>
  <c r="AH226" i="3"/>
  <c r="AG226" i="3"/>
  <c r="E226" i="3"/>
  <c r="H226" i="3" s="1"/>
  <c r="F226" i="3" l="1"/>
  <c r="I226" i="3"/>
  <c r="J226" i="3"/>
  <c r="M226" i="3"/>
  <c r="N226" i="3" s="1"/>
  <c r="K226" i="3"/>
  <c r="AE226" i="3" s="1"/>
  <c r="V226" i="3" l="1"/>
  <c r="W226" i="3" s="1"/>
  <c r="A227" i="3"/>
  <c r="B227" i="3" s="1"/>
  <c r="L226" i="3"/>
  <c r="U226" i="3" l="1"/>
  <c r="Y225" i="3"/>
  <c r="P227" i="3"/>
  <c r="Q227" i="3" s="1"/>
  <c r="R227" i="3" s="1"/>
  <c r="S227" i="3" s="1"/>
  <c r="AA227" i="3"/>
  <c r="Z227" i="3"/>
  <c r="AC227" i="3"/>
  <c r="T227" i="3" l="1"/>
  <c r="D227" i="3" s="1"/>
  <c r="E227" i="3" l="1"/>
  <c r="H227" i="3" s="1"/>
  <c r="K227" i="3" s="1"/>
  <c r="AE227" i="3" s="1"/>
  <c r="AH227" i="3"/>
  <c r="AG227" i="3"/>
  <c r="G227" i="3"/>
  <c r="F227" i="3" l="1"/>
  <c r="V227" i="3"/>
  <c r="A228" i="3"/>
  <c r="B228" i="3" s="1"/>
  <c r="I227" i="3"/>
  <c r="J227" i="3"/>
  <c r="AD227" i="3" s="1"/>
  <c r="M227" i="3"/>
  <c r="N227" i="3" s="1"/>
  <c r="L227" i="3" l="1"/>
  <c r="W227" i="3"/>
  <c r="AD228" i="3"/>
  <c r="AA228" i="3"/>
  <c r="Z228" i="3"/>
  <c r="P228" i="3"/>
  <c r="Q228" i="3" s="1"/>
  <c r="R228" i="3" s="1"/>
  <c r="S228" i="3" s="1"/>
  <c r="AC228" i="3"/>
  <c r="T228" i="3" l="1"/>
  <c r="AG228" i="3" s="1"/>
  <c r="U227" i="3"/>
  <c r="Y226" i="3"/>
  <c r="AH228" i="3" l="1"/>
  <c r="E228" i="3"/>
  <c r="H228" i="3" s="1"/>
  <c r="D228" i="3"/>
  <c r="K228" i="3" l="1"/>
  <c r="AE228" i="3" s="1"/>
  <c r="F228" i="3"/>
  <c r="G228" i="3"/>
  <c r="V228" i="3" l="1"/>
  <c r="A229" i="3"/>
  <c r="B229" i="3" s="1"/>
  <c r="I228" i="3"/>
  <c r="J228" i="3"/>
  <c r="M228" i="3"/>
  <c r="N228" i="3" s="1"/>
  <c r="W228" i="3" l="1"/>
  <c r="L228" i="3"/>
  <c r="AA229" i="3"/>
  <c r="AD229" i="3"/>
  <c r="AC229" i="3"/>
  <c r="P229" i="3"/>
  <c r="Q229" i="3" s="1"/>
  <c r="R229" i="3" s="1"/>
  <c r="S229" i="3" s="1"/>
  <c r="Z229" i="3"/>
  <c r="U228" i="3" l="1"/>
  <c r="Y227" i="3"/>
  <c r="T229" i="3"/>
  <c r="AH229" i="3" s="1"/>
  <c r="D229" i="3" l="1"/>
  <c r="E229" i="3"/>
  <c r="H229" i="3" s="1"/>
  <c r="AG229" i="3"/>
  <c r="K229" i="3" l="1"/>
  <c r="AE229" i="3" s="1"/>
  <c r="F229" i="3"/>
  <c r="G229" i="3"/>
  <c r="V229" i="3" l="1"/>
  <c r="A230" i="3"/>
  <c r="B230" i="3" s="1"/>
  <c r="I229" i="3"/>
  <c r="J229" i="3"/>
  <c r="M229" i="3"/>
  <c r="N229" i="3" s="1"/>
  <c r="L229" i="3" l="1"/>
  <c r="W229" i="3"/>
  <c r="P230" i="3"/>
  <c r="Q230" i="3" s="1"/>
  <c r="R230" i="3" s="1"/>
  <c r="S230" i="3" s="1"/>
  <c r="AA230" i="3"/>
  <c r="AC230" i="3"/>
  <c r="AD230" i="3"/>
  <c r="Z230" i="3"/>
  <c r="U229" i="3" l="1"/>
  <c r="Y228" i="3"/>
  <c r="T230" i="3"/>
  <c r="AH230" i="3" s="1"/>
  <c r="AG230" i="3" l="1"/>
  <c r="D230" i="3"/>
  <c r="E230" i="3"/>
  <c r="H230" i="3" s="1"/>
  <c r="K230" i="3" l="1"/>
  <c r="AE230" i="3" s="1"/>
  <c r="F230" i="3"/>
  <c r="G230" i="3"/>
  <c r="I230" i="3" l="1"/>
  <c r="J230" i="3"/>
  <c r="M230" i="3"/>
  <c r="N230" i="3" s="1"/>
  <c r="V230" i="3"/>
  <c r="A231" i="3"/>
  <c r="B231" i="3" s="1"/>
  <c r="W230" i="3" l="1"/>
  <c r="L230" i="3"/>
  <c r="AD231" i="3"/>
  <c r="P231" i="3"/>
  <c r="Q231" i="3" s="1"/>
  <c r="R231" i="3" s="1"/>
  <c r="S231" i="3" s="1"/>
  <c r="AA231" i="3"/>
  <c r="Z231" i="3"/>
  <c r="AC231" i="3"/>
  <c r="T231" i="3" l="1"/>
  <c r="U230" i="3"/>
  <c r="Y229" i="3"/>
  <c r="D231" i="3" l="1"/>
  <c r="G231" i="3" s="1"/>
  <c r="E231" i="3"/>
  <c r="H231" i="3" s="1"/>
  <c r="K231" i="3" s="1"/>
  <c r="AE231" i="3" s="1"/>
  <c r="AG231" i="3"/>
  <c r="AH231" i="3"/>
  <c r="F231" i="3" l="1"/>
  <c r="V231" i="3"/>
  <c r="A232" i="3"/>
  <c r="B232" i="3" s="1"/>
  <c r="I231" i="3"/>
  <c r="J231" i="3"/>
  <c r="M231" i="3"/>
  <c r="N231" i="3" s="1"/>
  <c r="L231" i="3" l="1"/>
  <c r="W231" i="3"/>
  <c r="P232" i="3"/>
  <c r="Q232" i="3" s="1"/>
  <c r="R232" i="3" s="1"/>
  <c r="S232" i="3" s="1"/>
  <c r="AD232" i="3"/>
  <c r="Z232" i="3"/>
  <c r="AA232" i="3"/>
  <c r="AC232" i="3"/>
  <c r="U231" i="3" l="1"/>
  <c r="Y230" i="3"/>
  <c r="T232" i="3"/>
  <c r="D232" i="3" l="1"/>
  <c r="G232" i="3" s="1"/>
  <c r="AG232" i="3"/>
  <c r="E232" i="3"/>
  <c r="H232" i="3" s="1"/>
  <c r="AH232" i="3"/>
  <c r="F232" i="3" l="1"/>
  <c r="I232" i="3"/>
  <c r="J232" i="3"/>
  <c r="M232" i="3"/>
  <c r="N232" i="3" s="1"/>
  <c r="K232" i="3"/>
  <c r="AE232" i="3" s="1"/>
  <c r="V232" i="3" l="1"/>
  <c r="W232" i="3" s="1"/>
  <c r="A233" i="3"/>
  <c r="B233" i="3" s="1"/>
  <c r="L232" i="3"/>
  <c r="U232" i="3" l="1"/>
  <c r="Y231" i="3"/>
  <c r="AA233" i="3"/>
  <c r="AD233" i="3"/>
  <c r="AC233" i="3"/>
  <c r="P233" i="3"/>
  <c r="Q233" i="3" s="1"/>
  <c r="R233" i="3" s="1"/>
  <c r="S233" i="3" s="1"/>
  <c r="Z233" i="3"/>
  <c r="T233" i="3" l="1"/>
  <c r="D233" i="3" s="1"/>
  <c r="AG233" i="3" l="1"/>
  <c r="AH233" i="3"/>
  <c r="E233" i="3"/>
  <c r="H233" i="3" s="1"/>
  <c r="K233" i="3" s="1"/>
  <c r="AE233" i="3" s="1"/>
  <c r="G233" i="3"/>
  <c r="F233" i="3" l="1"/>
  <c r="I233" i="3"/>
  <c r="J233" i="3"/>
  <c r="M233" i="3"/>
  <c r="N233" i="3" s="1"/>
  <c r="V233" i="3"/>
  <c r="A234" i="3"/>
  <c r="B234" i="3" s="1"/>
  <c r="W233" i="3" l="1"/>
  <c r="L233" i="3"/>
  <c r="Z234" i="3"/>
  <c r="P234" i="3"/>
  <c r="Q234" i="3" s="1"/>
  <c r="R234" i="3" s="1"/>
  <c r="S234" i="3" s="1"/>
  <c r="AC234" i="3"/>
  <c r="AA234" i="3"/>
  <c r="U233" i="3" l="1"/>
  <c r="Y232" i="3"/>
  <c r="T234" i="3"/>
  <c r="E234" i="3" l="1"/>
  <c r="H234" i="3" s="1"/>
  <c r="K234" i="3" s="1"/>
  <c r="AE234" i="3" s="1"/>
  <c r="AG234" i="3"/>
  <c r="AH234" i="3"/>
  <c r="D234" i="3"/>
  <c r="G234" i="3" s="1"/>
  <c r="F234" i="3" l="1"/>
  <c r="I234" i="3"/>
  <c r="J234" i="3"/>
  <c r="M234" i="3"/>
  <c r="N234" i="3" s="1"/>
  <c r="V234" i="3"/>
  <c r="A235" i="3"/>
  <c r="B235" i="3" s="1"/>
  <c r="L234" i="3" l="1"/>
  <c r="AD234" i="3"/>
  <c r="W234" i="3"/>
  <c r="AC235" i="3"/>
  <c r="AA235" i="3"/>
  <c r="Z235" i="3"/>
  <c r="P235" i="3"/>
  <c r="Q235" i="3" s="1"/>
  <c r="R235" i="3" s="1"/>
  <c r="S235" i="3" s="1"/>
  <c r="AD235" i="3"/>
  <c r="U234" i="3" l="1"/>
  <c r="Y233" i="3"/>
  <c r="T235" i="3"/>
  <c r="E235" i="3" l="1"/>
  <c r="H235" i="3" s="1"/>
  <c r="K235" i="3" s="1"/>
  <c r="AE235" i="3" s="1"/>
  <c r="AG235" i="3"/>
  <c r="D235" i="3"/>
  <c r="AH235" i="3"/>
  <c r="F235" i="3" l="1"/>
  <c r="G235" i="3"/>
  <c r="V235" i="3"/>
  <c r="A236" i="3"/>
  <c r="B236" i="3" s="1"/>
  <c r="AD236" i="3" l="1"/>
  <c r="P236" i="3"/>
  <c r="Q236" i="3" s="1"/>
  <c r="R236" i="3" s="1"/>
  <c r="S236" i="3" s="1"/>
  <c r="AA236" i="3"/>
  <c r="Z236" i="3"/>
  <c r="AC236" i="3"/>
  <c r="I235" i="3"/>
  <c r="W235" i="3" s="1"/>
  <c r="J235" i="3"/>
  <c r="M235" i="3"/>
  <c r="N235" i="3" s="1"/>
  <c r="T236" i="3" l="1"/>
  <c r="L235" i="3"/>
  <c r="U235" i="3" l="1"/>
  <c r="D236" i="3" s="1"/>
  <c r="AH236" i="3"/>
  <c r="AG236" i="3"/>
  <c r="Y234" i="3"/>
  <c r="E236" i="3" l="1"/>
  <c r="H236" i="3" s="1"/>
  <c r="K236" i="3" s="1"/>
  <c r="AE236" i="3" s="1"/>
  <c r="G236" i="3"/>
  <c r="F236" i="3" l="1"/>
  <c r="I236" i="3"/>
  <c r="J236" i="3"/>
  <c r="M236" i="3"/>
  <c r="N236" i="3" s="1"/>
  <c r="V236" i="3"/>
  <c r="A237" i="3"/>
  <c r="B237" i="3" s="1"/>
  <c r="W236" i="3" l="1"/>
  <c r="L236" i="3"/>
  <c r="P237" i="3"/>
  <c r="Q237" i="3" s="1"/>
  <c r="R237" i="3" s="1"/>
  <c r="S237" i="3" s="1"/>
  <c r="AA237" i="3"/>
  <c r="Z237" i="3"/>
  <c r="AC237" i="3"/>
  <c r="U236" i="3" l="1"/>
  <c r="Y235" i="3"/>
  <c r="T237" i="3"/>
  <c r="AH237" i="3" s="1"/>
  <c r="E237" i="3" l="1"/>
  <c r="H237" i="3" s="1"/>
  <c r="K237" i="3" s="1"/>
  <c r="AE237" i="3" s="1"/>
  <c r="AG237" i="3"/>
  <c r="D237" i="3"/>
  <c r="F237" i="3" l="1"/>
  <c r="G237" i="3"/>
  <c r="M237" i="3" s="1"/>
  <c r="N237" i="3" s="1"/>
  <c r="V237" i="3"/>
  <c r="A238" i="3"/>
  <c r="B238" i="3" s="1"/>
  <c r="I237" i="3" l="1"/>
  <c r="W237" i="3" s="1"/>
  <c r="J237" i="3"/>
  <c r="P238" i="3"/>
  <c r="Q238" i="3" s="1"/>
  <c r="R238" i="3" s="1"/>
  <c r="S238" i="3" s="1"/>
  <c r="Z238" i="3"/>
  <c r="AC238" i="3"/>
  <c r="AA238" i="3"/>
  <c r="AD238" i="3"/>
  <c r="L237" i="3" l="1"/>
  <c r="AD237" i="3"/>
  <c r="T238" i="3"/>
  <c r="AG238" i="3" s="1"/>
  <c r="U237" i="3"/>
  <c r="Y236" i="3"/>
  <c r="AH238" i="3" l="1"/>
  <c r="E238" i="3"/>
  <c r="H238" i="3" s="1"/>
  <c r="K238" i="3" s="1"/>
  <c r="AE238" i="3" s="1"/>
  <c r="D238" i="3"/>
  <c r="F238" i="3" l="1"/>
  <c r="G238" i="3"/>
  <c r="M238" i="3" s="1"/>
  <c r="N238" i="3" s="1"/>
  <c r="V238" i="3"/>
  <c r="A239" i="3"/>
  <c r="B239" i="3" s="1"/>
  <c r="I238" i="3" l="1"/>
  <c r="W238" i="3" s="1"/>
  <c r="J238" i="3"/>
  <c r="L238" i="3" s="1"/>
  <c r="AD239" i="3"/>
  <c r="P239" i="3"/>
  <c r="Q239" i="3" s="1"/>
  <c r="R239" i="3" s="1"/>
  <c r="S239" i="3" s="1"/>
  <c r="AC239" i="3"/>
  <c r="Z239" i="3"/>
  <c r="AA239" i="3"/>
  <c r="T239" i="3" l="1"/>
  <c r="U238" i="3"/>
  <c r="Y237" i="3"/>
  <c r="D239" i="3" l="1"/>
  <c r="G239" i="3" s="1"/>
  <c r="E239" i="3"/>
  <c r="H239" i="3" s="1"/>
  <c r="K239" i="3" s="1"/>
  <c r="AE239" i="3" s="1"/>
  <c r="AG239" i="3"/>
  <c r="AH239" i="3"/>
  <c r="F239" i="3" l="1"/>
  <c r="I239" i="3"/>
  <c r="J239" i="3"/>
  <c r="M239" i="3"/>
  <c r="N239" i="3" s="1"/>
  <c r="V239" i="3"/>
  <c r="A240" i="3"/>
  <c r="B240" i="3" s="1"/>
  <c r="W239" i="3" l="1"/>
  <c r="L239" i="3"/>
  <c r="Z240" i="3"/>
  <c r="P240" i="3"/>
  <c r="Q240" i="3" s="1"/>
  <c r="R240" i="3" s="1"/>
  <c r="S240" i="3" s="1"/>
  <c r="AD240" i="3"/>
  <c r="AA240" i="3"/>
  <c r="AC240" i="3"/>
  <c r="U239" i="3" l="1"/>
  <c r="Y238" i="3"/>
  <c r="T240" i="3"/>
  <c r="E240" i="3" l="1"/>
  <c r="H240" i="3" s="1"/>
  <c r="K240" i="3" s="1"/>
  <c r="AE240" i="3" s="1"/>
  <c r="D240" i="3"/>
  <c r="AG240" i="3"/>
  <c r="AH240" i="3"/>
  <c r="V240" i="3" l="1"/>
  <c r="A241" i="3"/>
  <c r="B241" i="3" s="1"/>
  <c r="F240" i="3"/>
  <c r="G240" i="3"/>
  <c r="I240" i="3" l="1"/>
  <c r="W240" i="3" s="1"/>
  <c r="J240" i="3"/>
  <c r="M240" i="3"/>
  <c r="N240" i="3" s="1"/>
  <c r="Z241" i="3"/>
  <c r="AD241" i="3"/>
  <c r="AC241" i="3"/>
  <c r="P241" i="3"/>
  <c r="Q241" i="3" s="1"/>
  <c r="R241" i="3" s="1"/>
  <c r="S241" i="3" s="1"/>
  <c r="AA241" i="3"/>
  <c r="T241" i="3" l="1"/>
  <c r="L240" i="3"/>
  <c r="AG241" i="3" l="1"/>
  <c r="AH241" i="3"/>
  <c r="U240" i="3"/>
  <c r="D241" i="3" s="1"/>
  <c r="Y239" i="3"/>
  <c r="G241" i="3" l="1"/>
  <c r="E241" i="3"/>
  <c r="H241" i="3" s="1"/>
  <c r="F241" i="3" l="1"/>
  <c r="I241" i="3"/>
  <c r="J241" i="3"/>
  <c r="M241" i="3"/>
  <c r="N241" i="3" s="1"/>
  <c r="K241" i="3"/>
  <c r="AE241" i="3" s="1"/>
  <c r="V241" i="3" l="1"/>
  <c r="W241" i="3" s="1"/>
  <c r="A242" i="3"/>
  <c r="B242" i="3" s="1"/>
  <c r="L241" i="3"/>
  <c r="U241" i="3" l="1"/>
  <c r="Y240" i="3"/>
  <c r="Z242" i="3"/>
  <c r="AA242" i="3"/>
  <c r="P242" i="3"/>
  <c r="Q242" i="3" s="1"/>
  <c r="R242" i="3" s="1"/>
  <c r="S242" i="3" s="1"/>
  <c r="AD242" i="3"/>
  <c r="AC242" i="3"/>
  <c r="T242" i="3" l="1"/>
  <c r="D242" i="3" s="1"/>
  <c r="E242" i="3" l="1"/>
  <c r="H242" i="3" s="1"/>
  <c r="K242" i="3" s="1"/>
  <c r="AE242" i="3" s="1"/>
  <c r="G242" i="3"/>
  <c r="AH242" i="3"/>
  <c r="AG242" i="3"/>
  <c r="F242" i="3" l="1"/>
  <c r="I242" i="3"/>
  <c r="J242" i="3"/>
  <c r="M242" i="3"/>
  <c r="N242" i="3" s="1"/>
  <c r="V242" i="3"/>
  <c r="A243" i="3"/>
  <c r="B243" i="3" s="1"/>
  <c r="W242" i="3" l="1"/>
  <c r="L242" i="3"/>
  <c r="AA243" i="3"/>
  <c r="AC243" i="3"/>
  <c r="Z243" i="3"/>
  <c r="P243" i="3"/>
  <c r="Q243" i="3" s="1"/>
  <c r="R243" i="3" s="1"/>
  <c r="S243" i="3" s="1"/>
  <c r="AD243" i="3"/>
  <c r="U242" i="3" l="1"/>
  <c r="Y241" i="3"/>
  <c r="T243" i="3"/>
  <c r="AH243" i="3" s="1"/>
  <c r="D243" i="3" l="1"/>
  <c r="G243" i="3" s="1"/>
  <c r="E243" i="3"/>
  <c r="H243" i="3" s="1"/>
  <c r="K243" i="3" s="1"/>
  <c r="AE243" i="3" s="1"/>
  <c r="AG243" i="3"/>
  <c r="F243" i="3" l="1"/>
  <c r="I243" i="3"/>
  <c r="J243" i="3"/>
  <c r="M243" i="3"/>
  <c r="N243" i="3" s="1"/>
  <c r="V243" i="3"/>
  <c r="A244" i="3"/>
  <c r="B244" i="3" s="1"/>
  <c r="W243" i="3" l="1"/>
  <c r="L243" i="3"/>
  <c r="AA244" i="3"/>
  <c r="P244" i="3"/>
  <c r="Q244" i="3" s="1"/>
  <c r="R244" i="3" s="1"/>
  <c r="S244" i="3" s="1"/>
  <c r="Z244" i="3"/>
  <c r="AC244" i="3"/>
  <c r="U243" i="3" l="1"/>
  <c r="Y242" i="3"/>
  <c r="T244" i="3"/>
  <c r="D244" i="3" l="1"/>
  <c r="G244" i="3" s="1"/>
  <c r="E244" i="3"/>
  <c r="H244" i="3" s="1"/>
  <c r="AG244" i="3"/>
  <c r="AH244" i="3"/>
  <c r="I244" i="3" l="1"/>
  <c r="J244" i="3"/>
  <c r="M244" i="3"/>
  <c r="N244" i="3" s="1"/>
  <c r="F244" i="3"/>
  <c r="K244" i="3"/>
  <c r="AE244" i="3" s="1"/>
  <c r="L244" i="3" l="1"/>
  <c r="AD244" i="3"/>
  <c r="V244" i="3"/>
  <c r="W244" i="3" s="1"/>
  <c r="A245" i="3"/>
  <c r="B245" i="3" s="1"/>
  <c r="U244" i="3" l="1"/>
  <c r="Y243" i="3"/>
  <c r="Z245" i="3"/>
  <c r="AD245" i="3"/>
  <c r="AA245" i="3"/>
  <c r="P245" i="3"/>
  <c r="Q245" i="3" s="1"/>
  <c r="R245" i="3" s="1"/>
  <c r="S245" i="3" s="1"/>
  <c r="AC245" i="3"/>
  <c r="T245" i="3" l="1"/>
  <c r="AG245" i="3" s="1"/>
  <c r="D245" i="3" l="1"/>
  <c r="G245" i="3" s="1"/>
  <c r="AH245" i="3"/>
  <c r="E245" i="3"/>
  <c r="H245" i="3" s="1"/>
  <c r="F245" i="3" l="1"/>
  <c r="I245" i="3"/>
  <c r="J245" i="3"/>
  <c r="M245" i="3"/>
  <c r="N245" i="3" s="1"/>
  <c r="K245" i="3"/>
  <c r="AE245" i="3" s="1"/>
  <c r="V245" i="3" l="1"/>
  <c r="W245" i="3" s="1"/>
  <c r="A246" i="3"/>
  <c r="B246" i="3" s="1"/>
  <c r="L245" i="3"/>
  <c r="U245" i="3" l="1"/>
  <c r="Y244" i="3"/>
  <c r="P246" i="3"/>
  <c r="Q246" i="3" s="1"/>
  <c r="R246" i="3" s="1"/>
  <c r="S246" i="3" s="1"/>
  <c r="AC246" i="3"/>
  <c r="Z246" i="3"/>
  <c r="AD246" i="3"/>
  <c r="AA246" i="3"/>
  <c r="T246" i="3" l="1"/>
  <c r="D246" i="3" s="1"/>
  <c r="E246" i="3" l="1"/>
  <c r="H246" i="3" s="1"/>
  <c r="K246" i="3" s="1"/>
  <c r="AE246" i="3" s="1"/>
  <c r="AG246" i="3"/>
  <c r="AH246" i="3"/>
  <c r="G246" i="3"/>
  <c r="F246" i="3" l="1"/>
  <c r="I246" i="3"/>
  <c r="J246" i="3"/>
  <c r="M246" i="3"/>
  <c r="N246" i="3" s="1"/>
  <c r="V246" i="3"/>
  <c r="A247" i="3"/>
  <c r="B247" i="3" s="1"/>
  <c r="W246" i="3" l="1"/>
  <c r="L246" i="3"/>
  <c r="P247" i="3"/>
  <c r="Q247" i="3" s="1"/>
  <c r="R247" i="3" s="1"/>
  <c r="S247" i="3" s="1"/>
  <c r="AA247" i="3"/>
  <c r="AC247" i="3"/>
  <c r="Z247" i="3"/>
  <c r="U246" i="3" l="1"/>
  <c r="Y245" i="3"/>
  <c r="T247" i="3"/>
  <c r="AG247" i="3" s="1"/>
  <c r="AH247" i="3" l="1"/>
  <c r="D247" i="3"/>
  <c r="E247" i="3"/>
  <c r="H247" i="3" s="1"/>
  <c r="K247" i="3" s="1"/>
  <c r="AE247" i="3" s="1"/>
  <c r="F247" i="3" l="1"/>
  <c r="G247" i="3"/>
  <c r="M247" i="3" s="1"/>
  <c r="N247" i="3" s="1"/>
  <c r="V247" i="3"/>
  <c r="A248" i="3"/>
  <c r="B248" i="3" s="1"/>
  <c r="I247" i="3" l="1"/>
  <c r="W247" i="3" s="1"/>
  <c r="J247" i="3"/>
  <c r="Z248" i="3"/>
  <c r="P248" i="3"/>
  <c r="Q248" i="3" s="1"/>
  <c r="R248" i="3" s="1"/>
  <c r="S248" i="3" s="1"/>
  <c r="AA248" i="3"/>
  <c r="AC248" i="3"/>
  <c r="AD248" i="3"/>
  <c r="L247" i="3" l="1"/>
  <c r="Y246" i="3" s="1"/>
  <c r="AD247" i="3"/>
  <c r="T248" i="3"/>
  <c r="AG248" i="3" l="1"/>
  <c r="U247" i="3"/>
  <c r="E248" i="3" s="1"/>
  <c r="H248" i="3" s="1"/>
  <c r="K248" i="3" s="1"/>
  <c r="AE248" i="3" s="1"/>
  <c r="AH248" i="3"/>
  <c r="D248" i="3" l="1"/>
  <c r="G248" i="3" s="1"/>
  <c r="J248" i="3" s="1"/>
  <c r="V248" i="3"/>
  <c r="A249" i="3"/>
  <c r="B249" i="3" s="1"/>
  <c r="M248" i="3" l="1"/>
  <c r="N248" i="3" s="1"/>
  <c r="I248" i="3"/>
  <c r="F248" i="3"/>
  <c r="W248" i="3"/>
  <c r="L248" i="3"/>
  <c r="AC249" i="3"/>
  <c r="P249" i="3"/>
  <c r="Q249" i="3" s="1"/>
  <c r="R249" i="3" s="1"/>
  <c r="S249" i="3" s="1"/>
  <c r="Z249" i="3"/>
  <c r="AD249" i="3"/>
  <c r="AA249" i="3"/>
  <c r="U248" i="3" l="1"/>
  <c r="Y247" i="3"/>
  <c r="T249" i="3"/>
  <c r="AG249" i="3" s="1"/>
  <c r="D249" i="3" l="1"/>
  <c r="G249" i="3" s="1"/>
  <c r="AH249" i="3"/>
  <c r="E249" i="3"/>
  <c r="H249" i="3" s="1"/>
  <c r="K249" i="3" s="1"/>
  <c r="AE249" i="3" s="1"/>
  <c r="F249" i="3" l="1"/>
  <c r="I249" i="3"/>
  <c r="J249" i="3"/>
  <c r="M249" i="3"/>
  <c r="N249" i="3" s="1"/>
  <c r="V249" i="3"/>
  <c r="A250" i="3"/>
  <c r="B250" i="3" s="1"/>
  <c r="W249" i="3" l="1"/>
  <c r="L249" i="3"/>
  <c r="AC250" i="3"/>
  <c r="AA250" i="3"/>
  <c r="P250" i="3"/>
  <c r="Q250" i="3" s="1"/>
  <c r="R250" i="3" s="1"/>
  <c r="S250" i="3" s="1"/>
  <c r="AD250" i="3"/>
  <c r="Z250" i="3"/>
  <c r="T250" i="3" l="1"/>
  <c r="AG250" i="3" s="1"/>
  <c r="U249" i="3"/>
  <c r="Y248" i="3"/>
  <c r="D250" i="3" l="1"/>
  <c r="E250" i="3"/>
  <c r="H250" i="3" s="1"/>
  <c r="AH250" i="3"/>
  <c r="F250" i="3" l="1"/>
  <c r="G250" i="3"/>
  <c r="K250" i="3"/>
  <c r="AE250" i="3" s="1"/>
  <c r="V250" i="3" l="1"/>
  <c r="A251" i="3"/>
  <c r="B251" i="3" s="1"/>
  <c r="I250" i="3"/>
  <c r="J250" i="3"/>
  <c r="M250" i="3"/>
  <c r="N250" i="3" s="1"/>
  <c r="W250" i="3" l="1"/>
  <c r="L250" i="3"/>
  <c r="P251" i="3"/>
  <c r="Q251" i="3" s="1"/>
  <c r="R251" i="3" s="1"/>
  <c r="S251" i="3" s="1"/>
  <c r="AC251" i="3"/>
  <c r="AA251" i="3"/>
  <c r="Z251" i="3"/>
  <c r="AD251" i="3"/>
  <c r="U250" i="3" l="1"/>
  <c r="Y249" i="3"/>
  <c r="T251" i="3"/>
  <c r="D251" i="3" l="1"/>
  <c r="G251" i="3" s="1"/>
  <c r="AG251" i="3"/>
  <c r="AH251" i="3"/>
  <c r="E251" i="3"/>
  <c r="H251" i="3" s="1"/>
  <c r="I251" i="3" l="1"/>
  <c r="J251" i="3"/>
  <c r="M251" i="3"/>
  <c r="N251" i="3" s="1"/>
  <c r="K251" i="3"/>
  <c r="AE251" i="3" s="1"/>
  <c r="F251" i="3"/>
  <c r="V251" i="3" l="1"/>
  <c r="W251" i="3" s="1"/>
  <c r="A252" i="3"/>
  <c r="B252" i="3" s="1"/>
  <c r="L251" i="3"/>
  <c r="U251" i="3" l="1"/>
  <c r="Y250" i="3"/>
  <c r="AD252" i="3"/>
  <c r="Z252" i="3"/>
  <c r="AA252" i="3"/>
  <c r="P252" i="3"/>
  <c r="Q252" i="3" s="1"/>
  <c r="R252" i="3" s="1"/>
  <c r="S252" i="3" s="1"/>
  <c r="AC252" i="3"/>
  <c r="T252" i="3" l="1"/>
  <c r="AH252" i="3" s="1"/>
  <c r="E252" i="3" l="1"/>
  <c r="H252" i="3" s="1"/>
  <c r="K252" i="3" s="1"/>
  <c r="AE252" i="3" s="1"/>
  <c r="AG252" i="3"/>
  <c r="D252" i="3"/>
  <c r="F252" i="3" l="1"/>
  <c r="G252" i="3"/>
  <c r="V252" i="3"/>
  <c r="A253" i="3"/>
  <c r="B253" i="3" s="1"/>
  <c r="AC253" i="3" l="1"/>
  <c r="AA253" i="3"/>
  <c r="AD253" i="3"/>
  <c r="P253" i="3"/>
  <c r="Q253" i="3" s="1"/>
  <c r="R253" i="3" s="1"/>
  <c r="S253" i="3" s="1"/>
  <c r="Z253" i="3"/>
  <c r="I252" i="3"/>
  <c r="W252" i="3" s="1"/>
  <c r="J252" i="3"/>
  <c r="M252" i="3"/>
  <c r="N252" i="3" s="1"/>
  <c r="L252" i="3" l="1"/>
  <c r="T253" i="3"/>
  <c r="AH253" i="3" l="1"/>
  <c r="U252" i="3"/>
  <c r="E253" i="3" s="1"/>
  <c r="H253" i="3" s="1"/>
  <c r="AG253" i="3"/>
  <c r="Y251" i="3"/>
  <c r="D253" i="3" l="1"/>
  <c r="F253" i="3" s="1"/>
  <c r="K253" i="3"/>
  <c r="AE253" i="3" s="1"/>
  <c r="G253" i="3" l="1"/>
  <c r="J253" i="3" s="1"/>
  <c r="V253" i="3"/>
  <c r="A254" i="3"/>
  <c r="B254" i="3" s="1"/>
  <c r="M253" i="3" l="1"/>
  <c r="N253" i="3" s="1"/>
  <c r="I253" i="3"/>
  <c r="W253" i="3" s="1"/>
  <c r="L253" i="3"/>
  <c r="AA254" i="3"/>
  <c r="AC254" i="3"/>
  <c r="P254" i="3"/>
  <c r="Q254" i="3" s="1"/>
  <c r="R254" i="3" s="1"/>
  <c r="S254" i="3" s="1"/>
  <c r="Z254" i="3"/>
  <c r="U253" i="3" l="1"/>
  <c r="Y252" i="3"/>
  <c r="T254" i="3"/>
  <c r="AH254" i="3" s="1"/>
  <c r="D254" i="3" l="1"/>
  <c r="G254" i="3" s="1"/>
  <c r="E254" i="3"/>
  <c r="H254" i="3" s="1"/>
  <c r="K254" i="3" s="1"/>
  <c r="AE254" i="3" s="1"/>
  <c r="AG254" i="3"/>
  <c r="F254" i="3" l="1"/>
  <c r="I254" i="3"/>
  <c r="J254" i="3"/>
  <c r="M254" i="3"/>
  <c r="N254" i="3" s="1"/>
  <c r="V254" i="3"/>
  <c r="A255" i="3"/>
  <c r="B255" i="3" s="1"/>
  <c r="W254" i="3" l="1"/>
  <c r="L254" i="3"/>
  <c r="AD254" i="3"/>
  <c r="AA255" i="3"/>
  <c r="AC255" i="3"/>
  <c r="AD255" i="3"/>
  <c r="Z255" i="3"/>
  <c r="P255" i="3"/>
  <c r="Q255" i="3" s="1"/>
  <c r="R255" i="3" s="1"/>
  <c r="S255" i="3" s="1"/>
  <c r="U254" i="3" l="1"/>
  <c r="Y253" i="3"/>
  <c r="T255" i="3"/>
  <c r="D255" i="3" l="1"/>
  <c r="G255" i="3" s="1"/>
  <c r="AG255" i="3"/>
  <c r="AH255" i="3"/>
  <c r="E255" i="3"/>
  <c r="H255" i="3" s="1"/>
  <c r="K255" i="3" s="1"/>
  <c r="AE255" i="3" s="1"/>
  <c r="F255" i="3" l="1"/>
  <c r="I255" i="3"/>
  <c r="J255" i="3"/>
  <c r="M255" i="3"/>
  <c r="N255" i="3" s="1"/>
  <c r="V255" i="3"/>
  <c r="A256" i="3"/>
  <c r="B256" i="3" s="1"/>
  <c r="W255" i="3" l="1"/>
  <c r="L255" i="3"/>
  <c r="AA256" i="3"/>
  <c r="AD256" i="3"/>
  <c r="P256" i="3"/>
  <c r="Q256" i="3" s="1"/>
  <c r="R256" i="3" s="1"/>
  <c r="S256" i="3" s="1"/>
  <c r="Z256" i="3"/>
  <c r="AC256" i="3"/>
  <c r="U255" i="3" l="1"/>
  <c r="Y254" i="3"/>
  <c r="T256" i="3"/>
  <c r="D256" i="3" l="1"/>
  <c r="G256" i="3" s="1"/>
  <c r="E256" i="3"/>
  <c r="H256" i="3" s="1"/>
  <c r="AH256" i="3"/>
  <c r="AG256" i="3"/>
  <c r="F256" i="3" l="1"/>
  <c r="I256" i="3"/>
  <c r="J256" i="3"/>
  <c r="M256" i="3"/>
  <c r="N256" i="3" s="1"/>
  <c r="K256" i="3"/>
  <c r="AE256" i="3" s="1"/>
  <c r="L256" i="3" l="1"/>
  <c r="V256" i="3"/>
  <c r="W256" i="3" s="1"/>
  <c r="A257" i="3"/>
  <c r="B257" i="3" s="1"/>
  <c r="U256" i="3" l="1"/>
  <c r="Y255" i="3"/>
  <c r="AC257" i="3"/>
  <c r="Z257" i="3"/>
  <c r="P257" i="3"/>
  <c r="Q257" i="3" s="1"/>
  <c r="R257" i="3" s="1"/>
  <c r="S257" i="3" s="1"/>
  <c r="AA257" i="3"/>
  <c r="T257" i="3" l="1"/>
  <c r="D257" i="3" s="1"/>
  <c r="E257" i="3" l="1"/>
  <c r="H257" i="3" s="1"/>
  <c r="K257" i="3" s="1"/>
  <c r="AE257" i="3" s="1"/>
  <c r="AG257" i="3"/>
  <c r="AH257" i="3"/>
  <c r="G257" i="3"/>
  <c r="F257" i="3" l="1"/>
  <c r="V257" i="3"/>
  <c r="A258" i="3"/>
  <c r="B258" i="3" s="1"/>
  <c r="I257" i="3"/>
  <c r="J257" i="3"/>
  <c r="AD257" i="3" s="1"/>
  <c r="M257" i="3"/>
  <c r="N257" i="3" s="1"/>
  <c r="W257" i="3" l="1"/>
  <c r="L257" i="3"/>
  <c r="AC258" i="3"/>
  <c r="AD258" i="3"/>
  <c r="Z258" i="3"/>
  <c r="P258" i="3"/>
  <c r="Q258" i="3" s="1"/>
  <c r="R258" i="3" s="1"/>
  <c r="S258" i="3" s="1"/>
  <c r="AA258" i="3"/>
  <c r="U257" i="3" l="1"/>
  <c r="Y256" i="3"/>
  <c r="T258" i="3"/>
  <c r="AG258" i="3" s="1"/>
  <c r="E258" i="3" l="1"/>
  <c r="H258" i="3" s="1"/>
  <c r="D258" i="3"/>
  <c r="AH258" i="3"/>
  <c r="F258" i="3" l="1"/>
  <c r="G258" i="3"/>
  <c r="K258" i="3"/>
  <c r="AE258" i="3" s="1"/>
  <c r="V258" i="3" l="1"/>
  <c r="A259" i="3"/>
  <c r="B259" i="3" s="1"/>
  <c r="I258" i="3"/>
  <c r="J258" i="3"/>
  <c r="M258" i="3"/>
  <c r="N258" i="3" s="1"/>
  <c r="L258" i="3" l="1"/>
  <c r="AC259" i="3"/>
  <c r="P259" i="3"/>
  <c r="Q259" i="3" s="1"/>
  <c r="R259" i="3" s="1"/>
  <c r="S259" i="3" s="1"/>
  <c r="Z259" i="3"/>
  <c r="AD259" i="3"/>
  <c r="AA259" i="3"/>
  <c r="W258" i="3"/>
  <c r="U258" i="3" l="1"/>
  <c r="Y257" i="3"/>
  <c r="T259" i="3"/>
  <c r="AH259" i="3" s="1"/>
  <c r="D259" i="3" l="1"/>
  <c r="G259" i="3" s="1"/>
  <c r="AG259" i="3"/>
  <c r="E259" i="3"/>
  <c r="H259" i="3" s="1"/>
  <c r="K259" i="3" s="1"/>
  <c r="AE259" i="3" s="1"/>
  <c r="F259" i="3" l="1"/>
  <c r="I259" i="3"/>
  <c r="J259" i="3"/>
  <c r="M259" i="3"/>
  <c r="N259" i="3" s="1"/>
  <c r="V259" i="3"/>
  <c r="A260" i="3"/>
  <c r="B260" i="3" s="1"/>
  <c r="W259" i="3" l="1"/>
  <c r="L259" i="3"/>
  <c r="AA260" i="3"/>
  <c r="P260" i="3"/>
  <c r="Q260" i="3" s="1"/>
  <c r="R260" i="3" s="1"/>
  <c r="S260" i="3" s="1"/>
  <c r="AD260" i="3"/>
  <c r="Z260" i="3"/>
  <c r="AC260" i="3"/>
  <c r="U259" i="3" l="1"/>
  <c r="Y258" i="3"/>
  <c r="T260" i="3"/>
  <c r="AH260" i="3" s="1"/>
  <c r="AG260" i="3" l="1"/>
  <c r="D260" i="3"/>
  <c r="E260" i="3"/>
  <c r="H260" i="3" s="1"/>
  <c r="K260" i="3" l="1"/>
  <c r="AE260" i="3" s="1"/>
  <c r="F260" i="3"/>
  <c r="G260" i="3"/>
  <c r="I260" i="3" l="1"/>
  <c r="J260" i="3"/>
  <c r="M260" i="3"/>
  <c r="N260" i="3" s="1"/>
  <c r="V260" i="3"/>
  <c r="A261" i="3"/>
  <c r="B261" i="3" s="1"/>
  <c r="W260" i="3" l="1"/>
  <c r="L260" i="3"/>
  <c r="Z261" i="3"/>
  <c r="AA261" i="3"/>
  <c r="AD261" i="3"/>
  <c r="P261" i="3"/>
  <c r="Q261" i="3" s="1"/>
  <c r="R261" i="3" s="1"/>
  <c r="S261" i="3" s="1"/>
  <c r="AC261" i="3"/>
  <c r="U260" i="3" l="1"/>
  <c r="Y259" i="3"/>
  <c r="T261" i="3"/>
  <c r="AH261" i="3" s="1"/>
  <c r="E261" i="3" l="1"/>
  <c r="H261" i="3" s="1"/>
  <c r="D261" i="3"/>
  <c r="AG261" i="3"/>
  <c r="K261" i="3" l="1"/>
  <c r="AE261" i="3" s="1"/>
  <c r="F261" i="3"/>
  <c r="G261" i="3"/>
  <c r="I261" i="3" l="1"/>
  <c r="J261" i="3"/>
  <c r="M261" i="3"/>
  <c r="N261" i="3" s="1"/>
  <c r="V261" i="3"/>
  <c r="A262" i="3"/>
  <c r="B262" i="3" s="1"/>
  <c r="W261" i="3" l="1"/>
  <c r="L261" i="3"/>
  <c r="AA262" i="3"/>
  <c r="Z262" i="3"/>
  <c r="P262" i="3"/>
  <c r="Q262" i="3" s="1"/>
  <c r="R262" i="3" s="1"/>
  <c r="S262" i="3" s="1"/>
  <c r="AC262" i="3"/>
  <c r="AD262" i="3"/>
  <c r="T262" i="3" l="1"/>
  <c r="AG262" i="3" s="1"/>
  <c r="U261" i="3"/>
  <c r="Y260" i="3"/>
  <c r="E262" i="3" l="1"/>
  <c r="H262" i="3" s="1"/>
  <c r="K262" i="3" s="1"/>
  <c r="AE262" i="3" s="1"/>
  <c r="AH262" i="3"/>
  <c r="D262" i="3"/>
  <c r="F262" i="3" l="1"/>
  <c r="G262" i="3"/>
  <c r="V262" i="3"/>
  <c r="A263" i="3"/>
  <c r="B263" i="3" s="1"/>
  <c r="P263" i="3" l="1"/>
  <c r="Q263" i="3" s="1"/>
  <c r="R263" i="3" s="1"/>
  <c r="S263" i="3" s="1"/>
  <c r="AA263" i="3"/>
  <c r="Z263" i="3"/>
  <c r="AD263" i="3"/>
  <c r="AC263" i="3"/>
  <c r="I262" i="3"/>
  <c r="W262" i="3" s="1"/>
  <c r="J262" i="3"/>
  <c r="M262" i="3"/>
  <c r="N262" i="3" s="1"/>
  <c r="L262" i="3" l="1"/>
  <c r="T263" i="3"/>
  <c r="U262" i="3" l="1"/>
  <c r="E263" i="3" s="1"/>
  <c r="H263" i="3" s="1"/>
  <c r="AH263" i="3"/>
  <c r="AG263" i="3"/>
  <c r="Y261" i="3"/>
  <c r="D263" i="3" l="1"/>
  <c r="G263" i="3" s="1"/>
  <c r="K263" i="3"/>
  <c r="AE263" i="3" s="1"/>
  <c r="F263" i="3" l="1"/>
  <c r="V263" i="3"/>
  <c r="A264" i="3"/>
  <c r="B264" i="3" s="1"/>
  <c r="I263" i="3"/>
  <c r="J263" i="3"/>
  <c r="M263" i="3"/>
  <c r="N263" i="3" s="1"/>
  <c r="W263" i="3" l="1"/>
  <c r="L263" i="3"/>
  <c r="P264" i="3"/>
  <c r="Q264" i="3" s="1"/>
  <c r="R264" i="3" s="1"/>
  <c r="S264" i="3" s="1"/>
  <c r="AA264" i="3"/>
  <c r="AC264" i="3"/>
  <c r="Z264" i="3"/>
  <c r="U263" i="3" l="1"/>
  <c r="Y262" i="3"/>
  <c r="T264" i="3"/>
  <c r="AH264" i="3" s="1"/>
  <c r="AG264" i="3" l="1"/>
  <c r="D264" i="3"/>
  <c r="G264" i="3" s="1"/>
  <c r="E264" i="3"/>
  <c r="H264" i="3" s="1"/>
  <c r="K264" i="3" l="1"/>
  <c r="AE264" i="3" s="1"/>
  <c r="I264" i="3"/>
  <c r="J264" i="3"/>
  <c r="AD264" i="3" s="1"/>
  <c r="M264" i="3"/>
  <c r="N264" i="3" s="1"/>
  <c r="F264" i="3"/>
  <c r="L264" i="3" l="1"/>
  <c r="V264" i="3"/>
  <c r="W264" i="3" s="1"/>
  <c r="A265" i="3"/>
  <c r="B265" i="3" s="1"/>
  <c r="U264" i="3" l="1"/>
  <c r="Y263" i="3"/>
  <c r="P265" i="3"/>
  <c r="Q265" i="3" s="1"/>
  <c r="R265" i="3" s="1"/>
  <c r="S265" i="3" s="1"/>
  <c r="AA265" i="3"/>
  <c r="AD265" i="3"/>
  <c r="Z265" i="3"/>
  <c r="AC265" i="3"/>
  <c r="T265" i="3" l="1"/>
  <c r="AG265" i="3" l="1"/>
  <c r="AH265" i="3"/>
  <c r="D265" i="3"/>
  <c r="E265" i="3"/>
  <c r="H265" i="3" s="1"/>
  <c r="F265" i="3" l="1"/>
  <c r="G265" i="3"/>
  <c r="K265" i="3"/>
  <c r="AE265" i="3" s="1"/>
  <c r="I265" i="3" l="1"/>
  <c r="J265" i="3"/>
  <c r="M265" i="3"/>
  <c r="N265" i="3" s="1"/>
  <c r="V265" i="3"/>
  <c r="A266" i="3"/>
  <c r="B266" i="3" s="1"/>
  <c r="L265" i="3" l="1"/>
  <c r="W265" i="3"/>
  <c r="P266" i="3"/>
  <c r="Q266" i="3" s="1"/>
  <c r="R266" i="3" s="1"/>
  <c r="S266" i="3" s="1"/>
  <c r="AC266" i="3"/>
  <c r="Z266" i="3"/>
  <c r="AA266" i="3"/>
  <c r="AD266" i="3"/>
  <c r="T266" i="3" l="1"/>
  <c r="U265" i="3"/>
  <c r="Y264" i="3"/>
  <c r="E266" i="3" l="1"/>
  <c r="H266" i="3" s="1"/>
  <c r="K266" i="3" s="1"/>
  <c r="AE266" i="3" s="1"/>
  <c r="AH266" i="3"/>
  <c r="AG266" i="3"/>
  <c r="D266" i="3"/>
  <c r="V266" i="3" l="1"/>
  <c r="A267" i="3"/>
  <c r="B267" i="3" s="1"/>
  <c r="F266" i="3"/>
  <c r="G266" i="3"/>
  <c r="I266" i="3" l="1"/>
  <c r="W266" i="3" s="1"/>
  <c r="J266" i="3"/>
  <c r="M266" i="3"/>
  <c r="N266" i="3" s="1"/>
  <c r="AC267" i="3"/>
  <c r="P267" i="3"/>
  <c r="Q267" i="3" s="1"/>
  <c r="R267" i="3" s="1"/>
  <c r="S267" i="3" s="1"/>
  <c r="AA267" i="3"/>
  <c r="Z267" i="3"/>
  <c r="T267" i="3" l="1"/>
  <c r="L266" i="3"/>
  <c r="AH267" i="3" l="1"/>
  <c r="AG267" i="3"/>
  <c r="U266" i="3"/>
  <c r="E267" i="3" s="1"/>
  <c r="H267" i="3" s="1"/>
  <c r="Y265" i="3"/>
  <c r="K267" i="3" l="1"/>
  <c r="AE267" i="3" s="1"/>
  <c r="D267" i="3"/>
  <c r="V267" i="3" l="1"/>
  <c r="A268" i="3"/>
  <c r="B268" i="3" s="1"/>
  <c r="F267" i="3"/>
  <c r="G267" i="3"/>
  <c r="I267" i="3" l="1"/>
  <c r="W267" i="3" s="1"/>
  <c r="J267" i="3"/>
  <c r="AD267" i="3" s="1"/>
  <c r="M267" i="3"/>
  <c r="N267" i="3" s="1"/>
  <c r="AC268" i="3"/>
  <c r="P268" i="3"/>
  <c r="Q268" i="3" s="1"/>
  <c r="R268" i="3" s="1"/>
  <c r="S268" i="3" s="1"/>
  <c r="Z268" i="3"/>
  <c r="AA268" i="3"/>
  <c r="AD268" i="3"/>
  <c r="T268" i="3" l="1"/>
  <c r="L267" i="3"/>
  <c r="U267" i="3" l="1"/>
  <c r="E268" i="3" s="1"/>
  <c r="H268" i="3" s="1"/>
  <c r="AH268" i="3"/>
  <c r="AG268" i="3"/>
  <c r="Y266" i="3"/>
  <c r="K268" i="3" l="1"/>
  <c r="AE268" i="3" s="1"/>
  <c r="D268" i="3"/>
  <c r="V268" i="3" l="1"/>
  <c r="A269" i="3"/>
  <c r="B269" i="3" s="1"/>
  <c r="F268" i="3"/>
  <c r="G268" i="3"/>
  <c r="I268" i="3" l="1"/>
  <c r="W268" i="3" s="1"/>
  <c r="J268" i="3"/>
  <c r="M268" i="3"/>
  <c r="N268" i="3" s="1"/>
  <c r="AD269" i="3"/>
  <c r="P269" i="3"/>
  <c r="Q269" i="3" s="1"/>
  <c r="R269" i="3" s="1"/>
  <c r="S269" i="3" s="1"/>
  <c r="AA269" i="3"/>
  <c r="Z269" i="3"/>
  <c r="AC269" i="3"/>
  <c r="T269" i="3" l="1"/>
  <c r="L268" i="3"/>
  <c r="U268" i="3" l="1"/>
  <c r="D269" i="3" s="1"/>
  <c r="AH269" i="3"/>
  <c r="AG269" i="3"/>
  <c r="Y267" i="3"/>
  <c r="G269" i="3" l="1"/>
  <c r="E269" i="3"/>
  <c r="H269" i="3" s="1"/>
  <c r="F269" i="3" l="1"/>
  <c r="I269" i="3"/>
  <c r="J269" i="3"/>
  <c r="M269" i="3"/>
  <c r="N269" i="3" s="1"/>
  <c r="K269" i="3"/>
  <c r="AE269" i="3" s="1"/>
  <c r="V269" i="3" l="1"/>
  <c r="W269" i="3" s="1"/>
  <c r="A270" i="3"/>
  <c r="B270" i="3" s="1"/>
  <c r="L269" i="3"/>
  <c r="U269" i="3" l="1"/>
  <c r="Y268" i="3"/>
  <c r="AA270" i="3"/>
  <c r="Z270" i="3"/>
  <c r="P270" i="3"/>
  <c r="Q270" i="3" s="1"/>
  <c r="R270" i="3" s="1"/>
  <c r="S270" i="3" s="1"/>
  <c r="AC270" i="3"/>
  <c r="AD270" i="3"/>
  <c r="T270" i="3" l="1"/>
  <c r="AG270" i="3" s="1"/>
  <c r="AH270" i="3" l="1"/>
  <c r="E270" i="3"/>
  <c r="H270" i="3" s="1"/>
  <c r="K270" i="3" s="1"/>
  <c r="AE270" i="3" s="1"/>
  <c r="D270" i="3"/>
  <c r="G270" i="3" s="1"/>
  <c r="F270" i="3" l="1"/>
  <c r="V270" i="3"/>
  <c r="A271" i="3"/>
  <c r="B271" i="3" s="1"/>
  <c r="I270" i="3"/>
  <c r="J270" i="3"/>
  <c r="M270" i="3"/>
  <c r="N270" i="3" s="1"/>
  <c r="L270" i="3" l="1"/>
  <c r="Z271" i="3"/>
  <c r="AA271" i="3"/>
  <c r="P271" i="3"/>
  <c r="Q271" i="3" s="1"/>
  <c r="R271" i="3" s="1"/>
  <c r="S271" i="3" s="1"/>
  <c r="AC271" i="3"/>
  <c r="AD271" i="3"/>
  <c r="W270" i="3"/>
  <c r="U270" i="3" l="1"/>
  <c r="Y269" i="3"/>
  <c r="T271" i="3"/>
  <c r="AH271" i="3" s="1"/>
  <c r="AG271" i="3" l="1"/>
  <c r="D271" i="3"/>
  <c r="E271" i="3"/>
  <c r="H271" i="3" s="1"/>
  <c r="K271" i="3" l="1"/>
  <c r="AE271" i="3" s="1"/>
  <c r="F271" i="3"/>
  <c r="G271" i="3"/>
  <c r="I271" i="3" l="1"/>
  <c r="J271" i="3"/>
  <c r="M271" i="3"/>
  <c r="N271" i="3" s="1"/>
  <c r="V271" i="3"/>
  <c r="A272" i="3"/>
  <c r="B272" i="3" s="1"/>
  <c r="W271" i="3" l="1"/>
  <c r="L271" i="3"/>
  <c r="AD272" i="3"/>
  <c r="Z272" i="3"/>
  <c r="AA272" i="3"/>
  <c r="P272" i="3"/>
  <c r="Q272" i="3" s="1"/>
  <c r="R272" i="3" s="1"/>
  <c r="S272" i="3" s="1"/>
  <c r="AC272" i="3"/>
  <c r="T272" i="3" l="1"/>
  <c r="U271" i="3"/>
  <c r="Y270" i="3"/>
  <c r="D272" i="3" l="1"/>
  <c r="G272" i="3" s="1"/>
  <c r="E272" i="3"/>
  <c r="H272" i="3" s="1"/>
  <c r="K272" i="3" s="1"/>
  <c r="AE272" i="3" s="1"/>
  <c r="AG272" i="3"/>
  <c r="AH272" i="3"/>
  <c r="F272" i="3" l="1"/>
  <c r="I272" i="3"/>
  <c r="J272" i="3"/>
  <c r="M272" i="3"/>
  <c r="N272" i="3" s="1"/>
  <c r="V272" i="3"/>
  <c r="A273" i="3"/>
  <c r="B273" i="3" s="1"/>
  <c r="W272" i="3" l="1"/>
  <c r="L272" i="3"/>
  <c r="AA273" i="3"/>
  <c r="P273" i="3"/>
  <c r="Q273" i="3" s="1"/>
  <c r="R273" i="3" s="1"/>
  <c r="S273" i="3" s="1"/>
  <c r="Z273" i="3"/>
  <c r="AC273" i="3"/>
  <c r="AD273" i="3"/>
  <c r="T273" i="3" l="1"/>
  <c r="AG273" i="3" s="1"/>
  <c r="U272" i="3"/>
  <c r="Y271" i="3"/>
  <c r="D273" i="3" l="1"/>
  <c r="G273" i="3" s="1"/>
  <c r="AH273" i="3"/>
  <c r="E273" i="3"/>
  <c r="H273" i="3" s="1"/>
  <c r="F273" i="3" l="1"/>
  <c r="I273" i="3"/>
  <c r="J273" i="3"/>
  <c r="M273" i="3"/>
  <c r="N273" i="3" s="1"/>
  <c r="K273" i="3"/>
  <c r="AE273" i="3" s="1"/>
  <c r="L273" i="3" l="1"/>
  <c r="V273" i="3"/>
  <c r="W273" i="3" s="1"/>
  <c r="A274" i="3"/>
  <c r="B274" i="3" s="1"/>
  <c r="P274" i="3" l="1"/>
  <c r="Q274" i="3" s="1"/>
  <c r="R274" i="3" s="1"/>
  <c r="S274" i="3" s="1"/>
  <c r="AC274" i="3"/>
  <c r="Z274" i="3"/>
  <c r="AA274" i="3"/>
  <c r="U273" i="3"/>
  <c r="Y272" i="3"/>
  <c r="T274" i="3" l="1"/>
  <c r="AG274" i="3" s="1"/>
  <c r="D274" i="3" l="1"/>
  <c r="G274" i="3" s="1"/>
  <c r="AH274" i="3"/>
  <c r="E274" i="3"/>
  <c r="H274" i="3" s="1"/>
  <c r="I274" i="3" l="1"/>
  <c r="J274" i="3"/>
  <c r="AD274" i="3" s="1"/>
  <c r="M274" i="3"/>
  <c r="N274" i="3" s="1"/>
  <c r="K274" i="3"/>
  <c r="AE274" i="3" s="1"/>
  <c r="F274" i="3"/>
  <c r="L274" i="3" l="1"/>
  <c r="V274" i="3"/>
  <c r="W274" i="3" s="1"/>
  <c r="A275" i="3"/>
  <c r="B275" i="3" s="1"/>
  <c r="U274" i="3" l="1"/>
  <c r="Y273" i="3"/>
  <c r="AA275" i="3"/>
  <c r="P275" i="3"/>
  <c r="Q275" i="3" s="1"/>
  <c r="R275" i="3" s="1"/>
  <c r="S275" i="3" s="1"/>
  <c r="AD275" i="3"/>
  <c r="Z275" i="3"/>
  <c r="AC275" i="3"/>
  <c r="T275" i="3" l="1"/>
  <c r="AH275" i="3" s="1"/>
  <c r="E275" i="3" l="1"/>
  <c r="H275" i="3" s="1"/>
  <c r="AG275" i="3"/>
  <c r="D275" i="3"/>
  <c r="F275" i="3" l="1"/>
  <c r="G275" i="3"/>
  <c r="K275" i="3"/>
  <c r="AE275" i="3" s="1"/>
  <c r="I275" i="3" l="1"/>
  <c r="J275" i="3"/>
  <c r="M275" i="3"/>
  <c r="N275" i="3" s="1"/>
  <c r="V275" i="3"/>
  <c r="A276" i="3"/>
  <c r="B276" i="3" s="1"/>
  <c r="W275" i="3" l="1"/>
  <c r="L275" i="3"/>
  <c r="AA276" i="3"/>
  <c r="Z276" i="3"/>
  <c r="P276" i="3"/>
  <c r="Q276" i="3" s="1"/>
  <c r="R276" i="3" s="1"/>
  <c r="S276" i="3" s="1"/>
  <c r="AC276" i="3"/>
  <c r="AD276" i="3"/>
  <c r="U275" i="3" l="1"/>
  <c r="Y274" i="3"/>
  <c r="T276" i="3"/>
  <c r="AH276" i="3" s="1"/>
  <c r="D276" i="3" l="1"/>
  <c r="AG276" i="3"/>
  <c r="E276" i="3"/>
  <c r="H276" i="3" s="1"/>
  <c r="F276" i="3" l="1"/>
  <c r="G276" i="3"/>
  <c r="K276" i="3"/>
  <c r="AE276" i="3" s="1"/>
  <c r="I276" i="3" l="1"/>
  <c r="J276" i="3"/>
  <c r="M276" i="3"/>
  <c r="N276" i="3" s="1"/>
  <c r="V276" i="3"/>
  <c r="A277" i="3"/>
  <c r="B277" i="3" s="1"/>
  <c r="W276" i="3" l="1"/>
  <c r="L276" i="3"/>
  <c r="P277" i="3"/>
  <c r="Q277" i="3" s="1"/>
  <c r="R277" i="3" s="1"/>
  <c r="S277" i="3" s="1"/>
  <c r="AC277" i="3"/>
  <c r="Z277" i="3"/>
  <c r="AA277" i="3"/>
  <c r="U276" i="3" l="1"/>
  <c r="Y275" i="3"/>
  <c r="T277" i="3"/>
  <c r="AG277" i="3" s="1"/>
  <c r="D277" i="3" l="1"/>
  <c r="G277" i="3" s="1"/>
  <c r="E277" i="3"/>
  <c r="H277" i="3" s="1"/>
  <c r="K277" i="3" s="1"/>
  <c r="AE277" i="3" s="1"/>
  <c r="AH277" i="3"/>
  <c r="F277" i="3" l="1"/>
  <c r="V277" i="3"/>
  <c r="A278" i="3"/>
  <c r="B278" i="3" s="1"/>
  <c r="I277" i="3"/>
  <c r="J277" i="3"/>
  <c r="AD277" i="3" s="1"/>
  <c r="M277" i="3"/>
  <c r="N277" i="3" s="1"/>
  <c r="W277" i="3" l="1"/>
  <c r="L277" i="3"/>
  <c r="AD278" i="3"/>
  <c r="AC278" i="3"/>
  <c r="Z278" i="3"/>
  <c r="P278" i="3"/>
  <c r="Q278" i="3" s="1"/>
  <c r="R278" i="3" s="1"/>
  <c r="S278" i="3" s="1"/>
  <c r="AA278" i="3"/>
  <c r="T278" i="3" l="1"/>
  <c r="U277" i="3"/>
  <c r="Y276" i="3"/>
  <c r="E278" i="3" l="1"/>
  <c r="H278" i="3" s="1"/>
  <c r="K278" i="3" s="1"/>
  <c r="AE278" i="3" s="1"/>
  <c r="D278" i="3"/>
  <c r="AH278" i="3"/>
  <c r="AG278" i="3"/>
  <c r="V278" i="3" l="1"/>
  <c r="A279" i="3"/>
  <c r="B279" i="3" s="1"/>
  <c r="F278" i="3"/>
  <c r="G278" i="3"/>
  <c r="I278" i="3" l="1"/>
  <c r="W278" i="3" s="1"/>
  <c r="J278" i="3"/>
  <c r="M278" i="3"/>
  <c r="N278" i="3" s="1"/>
  <c r="P279" i="3"/>
  <c r="Q279" i="3" s="1"/>
  <c r="R279" i="3" s="1"/>
  <c r="S279" i="3" s="1"/>
  <c r="AA279" i="3"/>
  <c r="AD279" i="3"/>
  <c r="Z279" i="3"/>
  <c r="AC279" i="3"/>
  <c r="T279" i="3" l="1"/>
  <c r="L278" i="3"/>
  <c r="U278" i="3" l="1"/>
  <c r="D279" i="3" s="1"/>
  <c r="AG279" i="3"/>
  <c r="AH279" i="3"/>
  <c r="Y277" i="3"/>
  <c r="G279" i="3" l="1"/>
  <c r="E279" i="3"/>
  <c r="H279" i="3" s="1"/>
  <c r="I279" i="3" l="1"/>
  <c r="J279" i="3"/>
  <c r="M279" i="3"/>
  <c r="N279" i="3" s="1"/>
  <c r="F279" i="3"/>
  <c r="K279" i="3"/>
  <c r="AE279" i="3" s="1"/>
  <c r="V279" i="3" l="1"/>
  <c r="W279" i="3" s="1"/>
  <c r="A280" i="3"/>
  <c r="B280" i="3" s="1"/>
  <c r="L279" i="3"/>
  <c r="U279" i="3" l="1"/>
  <c r="Y278" i="3"/>
  <c r="AA280" i="3"/>
  <c r="P280" i="3"/>
  <c r="Q280" i="3" s="1"/>
  <c r="R280" i="3" s="1"/>
  <c r="S280" i="3" s="1"/>
  <c r="AD280" i="3"/>
  <c r="AC280" i="3"/>
  <c r="Z280" i="3"/>
  <c r="T280" i="3" l="1"/>
  <c r="AH280" i="3" s="1"/>
  <c r="D280" i="3" l="1"/>
  <c r="G280" i="3" s="1"/>
  <c r="E280" i="3"/>
  <c r="H280" i="3" s="1"/>
  <c r="K280" i="3" s="1"/>
  <c r="AE280" i="3" s="1"/>
  <c r="AG280" i="3"/>
  <c r="F280" i="3" l="1"/>
  <c r="I280" i="3"/>
  <c r="J280" i="3"/>
  <c r="M280" i="3"/>
  <c r="N280" i="3" s="1"/>
  <c r="V280" i="3"/>
  <c r="A281" i="3"/>
  <c r="B281" i="3" s="1"/>
  <c r="L280" i="3" l="1"/>
  <c r="W280" i="3"/>
  <c r="AC281" i="3"/>
  <c r="AA281" i="3"/>
  <c r="P281" i="3"/>
  <c r="Q281" i="3" s="1"/>
  <c r="R281" i="3" s="1"/>
  <c r="S281" i="3" s="1"/>
  <c r="AD281" i="3"/>
  <c r="Z281" i="3"/>
  <c r="T281" i="3" l="1"/>
  <c r="AG281" i="3" s="1"/>
  <c r="U280" i="3"/>
  <c r="Y279" i="3"/>
  <c r="D281" i="3" l="1"/>
  <c r="E281" i="3"/>
  <c r="H281" i="3" s="1"/>
  <c r="AH281" i="3"/>
  <c r="F281" i="3" l="1"/>
  <c r="G281" i="3"/>
  <c r="K281" i="3"/>
  <c r="AE281" i="3" s="1"/>
  <c r="I281" i="3" l="1"/>
  <c r="J281" i="3"/>
  <c r="M281" i="3"/>
  <c r="N281" i="3" s="1"/>
  <c r="V281" i="3"/>
  <c r="A282" i="3"/>
  <c r="B282" i="3" s="1"/>
  <c r="W281" i="3" l="1"/>
  <c r="L281" i="3"/>
  <c r="AC282" i="3"/>
  <c r="Z282" i="3"/>
  <c r="AD282" i="3"/>
  <c r="P282" i="3"/>
  <c r="Q282" i="3" s="1"/>
  <c r="R282" i="3" s="1"/>
  <c r="S282" i="3" s="1"/>
  <c r="AA282" i="3"/>
  <c r="U281" i="3" l="1"/>
  <c r="Y280" i="3"/>
  <c r="T282" i="3"/>
  <c r="D282" i="3" l="1"/>
  <c r="G282" i="3" s="1"/>
  <c r="E282" i="3"/>
  <c r="H282" i="3" s="1"/>
  <c r="AH282" i="3"/>
  <c r="AG282" i="3"/>
  <c r="F282" i="3" l="1"/>
  <c r="I282" i="3"/>
  <c r="J282" i="3"/>
  <c r="M282" i="3"/>
  <c r="N282" i="3" s="1"/>
  <c r="K282" i="3"/>
  <c r="AE282" i="3" s="1"/>
  <c r="V282" i="3" l="1"/>
  <c r="W282" i="3" s="1"/>
  <c r="A283" i="3"/>
  <c r="B283" i="3" s="1"/>
  <c r="L282" i="3"/>
  <c r="U282" i="3" l="1"/>
  <c r="Y281" i="3"/>
  <c r="Z283" i="3"/>
  <c r="AC283" i="3"/>
  <c r="AD283" i="3"/>
  <c r="P283" i="3"/>
  <c r="Q283" i="3" s="1"/>
  <c r="R283" i="3" s="1"/>
  <c r="S283" i="3" s="1"/>
  <c r="AA283" i="3"/>
  <c r="T283" i="3" l="1"/>
  <c r="AH283" i="3" s="1"/>
  <c r="AG283" i="3" l="1"/>
  <c r="E283" i="3"/>
  <c r="H283" i="3" s="1"/>
  <c r="K283" i="3" s="1"/>
  <c r="AE283" i="3" s="1"/>
  <c r="D283" i="3"/>
  <c r="F283" i="3" l="1"/>
  <c r="G283" i="3"/>
  <c r="J283" i="3" s="1"/>
  <c r="V283" i="3"/>
  <c r="A284" i="3"/>
  <c r="B284" i="3" s="1"/>
  <c r="M283" i="3" l="1"/>
  <c r="N283" i="3" s="1"/>
  <c r="I283" i="3"/>
  <c r="W283" i="3" s="1"/>
  <c r="L283" i="3"/>
  <c r="AC284" i="3"/>
  <c r="AA284" i="3"/>
  <c r="P284" i="3"/>
  <c r="Q284" i="3" s="1"/>
  <c r="R284" i="3" s="1"/>
  <c r="S284" i="3" s="1"/>
  <c r="Z284" i="3"/>
  <c r="T284" i="3" l="1"/>
  <c r="AH284" i="3" s="1"/>
  <c r="U283" i="3"/>
  <c r="Y282" i="3"/>
  <c r="AG284" i="3" l="1"/>
  <c r="D284" i="3"/>
  <c r="E284" i="3"/>
  <c r="H284" i="3" s="1"/>
  <c r="F284" i="3" l="1"/>
  <c r="G284" i="3"/>
  <c r="K284" i="3"/>
  <c r="AE284" i="3" s="1"/>
  <c r="V284" i="3" l="1"/>
  <c r="A285" i="3"/>
  <c r="B285" i="3" s="1"/>
  <c r="I284" i="3"/>
  <c r="J284" i="3"/>
  <c r="AD284" i="3" s="1"/>
  <c r="M284" i="3"/>
  <c r="N284" i="3" s="1"/>
  <c r="W284" i="3" l="1"/>
  <c r="L284" i="3"/>
  <c r="AA285" i="3"/>
  <c r="P285" i="3"/>
  <c r="Q285" i="3" s="1"/>
  <c r="R285" i="3" s="1"/>
  <c r="S285" i="3" s="1"/>
  <c r="Z285" i="3"/>
  <c r="AC285" i="3"/>
  <c r="U284" i="3" l="1"/>
  <c r="Y283" i="3"/>
  <c r="T285" i="3"/>
  <c r="E285" i="3" l="1"/>
  <c r="H285" i="3" s="1"/>
  <c r="K285" i="3" s="1"/>
  <c r="AE285" i="3" s="1"/>
  <c r="AH285" i="3"/>
  <c r="D285" i="3"/>
  <c r="G285" i="3" s="1"/>
  <c r="AG285" i="3"/>
  <c r="F285" i="3" l="1"/>
  <c r="V285" i="3"/>
  <c r="A286" i="3"/>
  <c r="B286" i="3" s="1"/>
  <c r="I285" i="3"/>
  <c r="J285" i="3"/>
  <c r="AD285" i="3" s="1"/>
  <c r="M285" i="3"/>
  <c r="N285" i="3" s="1"/>
  <c r="W285" i="3" l="1"/>
  <c r="L285" i="3"/>
  <c r="AA286" i="3"/>
  <c r="P286" i="3"/>
  <c r="Q286" i="3" s="1"/>
  <c r="R286" i="3" s="1"/>
  <c r="S286" i="3" s="1"/>
  <c r="AC286" i="3"/>
  <c r="Z286" i="3"/>
  <c r="T286" i="3" l="1"/>
  <c r="AH286" i="3" s="1"/>
  <c r="U285" i="3"/>
  <c r="Y284" i="3"/>
  <c r="D286" i="3" l="1"/>
  <c r="G286" i="3" s="1"/>
  <c r="AG286" i="3"/>
  <c r="E286" i="3"/>
  <c r="H286" i="3" s="1"/>
  <c r="F286" i="3" l="1"/>
  <c r="I286" i="3"/>
  <c r="J286" i="3"/>
  <c r="AD286" i="3" s="1"/>
  <c r="M286" i="3"/>
  <c r="N286" i="3" s="1"/>
  <c r="K286" i="3"/>
  <c r="AE286" i="3" s="1"/>
  <c r="V286" i="3" l="1"/>
  <c r="W286" i="3" s="1"/>
  <c r="A287" i="3"/>
  <c r="B287" i="3" s="1"/>
  <c r="L286" i="3"/>
  <c r="U286" i="3" l="1"/>
  <c r="Y285" i="3"/>
  <c r="P287" i="3"/>
  <c r="Q287" i="3" s="1"/>
  <c r="R287" i="3" s="1"/>
  <c r="S287" i="3" s="1"/>
  <c r="AA287" i="3"/>
  <c r="Z287" i="3"/>
  <c r="AC287" i="3"/>
  <c r="T287" i="3" l="1"/>
  <c r="D287" i="3" s="1"/>
  <c r="G287" i="3" l="1"/>
  <c r="AH287" i="3"/>
  <c r="AG287" i="3"/>
  <c r="E287" i="3"/>
  <c r="H287" i="3" s="1"/>
  <c r="F287" i="3" l="1"/>
  <c r="K287" i="3"/>
  <c r="AE287" i="3" s="1"/>
  <c r="I287" i="3"/>
  <c r="J287" i="3"/>
  <c r="AD287" i="3" s="1"/>
  <c r="M287" i="3"/>
  <c r="N287" i="3" s="1"/>
  <c r="L287" i="3" l="1"/>
  <c r="V287" i="3"/>
  <c r="W287" i="3" s="1"/>
  <c r="A288" i="3"/>
  <c r="B288" i="3" s="1"/>
  <c r="U287" i="3" l="1"/>
  <c r="Y286" i="3"/>
  <c r="P288" i="3"/>
  <c r="Q288" i="3" s="1"/>
  <c r="R288" i="3" s="1"/>
  <c r="S288" i="3" s="1"/>
  <c r="AA288" i="3"/>
  <c r="AC288" i="3"/>
  <c r="Z288" i="3"/>
  <c r="T288" i="3" l="1"/>
  <c r="D288" i="3" s="1"/>
  <c r="AG288" i="3" l="1"/>
  <c r="AH288" i="3"/>
  <c r="E288" i="3"/>
  <c r="H288" i="3" s="1"/>
  <c r="K288" i="3" s="1"/>
  <c r="AE288" i="3" s="1"/>
  <c r="G288" i="3"/>
  <c r="F288" i="3" l="1"/>
  <c r="I288" i="3"/>
  <c r="J288" i="3"/>
  <c r="AD288" i="3" s="1"/>
  <c r="M288" i="3"/>
  <c r="N288" i="3" s="1"/>
  <c r="V288" i="3"/>
  <c r="A289" i="3"/>
  <c r="B289" i="3" s="1"/>
  <c r="W288" i="3" l="1"/>
  <c r="L288" i="3"/>
  <c r="P289" i="3"/>
  <c r="Q289" i="3" s="1"/>
  <c r="R289" i="3" s="1"/>
  <c r="S289" i="3" s="1"/>
  <c r="AA289" i="3"/>
  <c r="AC289" i="3"/>
  <c r="Z289" i="3"/>
  <c r="T289" i="3" l="1"/>
  <c r="U288" i="3"/>
  <c r="Y287" i="3"/>
  <c r="E289" i="3" l="1"/>
  <c r="H289" i="3" s="1"/>
  <c r="K289" i="3" s="1"/>
  <c r="AE289" i="3" s="1"/>
  <c r="AH289" i="3"/>
  <c r="AG289" i="3"/>
  <c r="D289" i="3"/>
  <c r="V289" i="3" l="1"/>
  <c r="A290" i="3"/>
  <c r="B290" i="3" s="1"/>
  <c r="F289" i="3"/>
  <c r="G289" i="3"/>
  <c r="I289" i="3" l="1"/>
  <c r="W289" i="3" s="1"/>
  <c r="J289" i="3"/>
  <c r="AD289" i="3" s="1"/>
  <c r="M289" i="3"/>
  <c r="N289" i="3" s="1"/>
  <c r="AA290" i="3"/>
  <c r="AC290" i="3"/>
  <c r="Z290" i="3"/>
  <c r="P290" i="3"/>
  <c r="Q290" i="3" s="1"/>
  <c r="R290" i="3" s="1"/>
  <c r="S290" i="3" s="1"/>
  <c r="T290" i="3" l="1"/>
  <c r="L289" i="3"/>
  <c r="U289" i="3" l="1"/>
  <c r="E290" i="3" s="1"/>
  <c r="H290" i="3" s="1"/>
  <c r="AH290" i="3"/>
  <c r="AG290" i="3"/>
  <c r="Y288" i="3"/>
  <c r="D290" i="3" l="1"/>
  <c r="G290" i="3" s="1"/>
  <c r="K290" i="3"/>
  <c r="AE290" i="3" s="1"/>
  <c r="F290" i="3" l="1"/>
  <c r="I290" i="3"/>
  <c r="J290" i="3"/>
  <c r="AD290" i="3" s="1"/>
  <c r="M290" i="3"/>
  <c r="N290" i="3" s="1"/>
  <c r="V290" i="3"/>
  <c r="A291" i="3"/>
  <c r="B291" i="3" s="1"/>
  <c r="L290" i="3" l="1"/>
  <c r="W290" i="3"/>
  <c r="P291" i="3"/>
  <c r="Q291" i="3" s="1"/>
  <c r="R291" i="3" s="1"/>
  <c r="S291" i="3" s="1"/>
  <c r="Z291" i="3"/>
  <c r="AA291" i="3"/>
  <c r="AC291" i="3"/>
  <c r="U290" i="3" l="1"/>
  <c r="Y289" i="3"/>
  <c r="T291" i="3"/>
  <c r="AG291" i="3" s="1"/>
  <c r="D291" i="3" l="1"/>
  <c r="E291" i="3"/>
  <c r="H291" i="3" s="1"/>
  <c r="AH291" i="3"/>
  <c r="K291" i="3" l="1"/>
  <c r="AE291" i="3" s="1"/>
  <c r="F291" i="3"/>
  <c r="G291" i="3"/>
  <c r="I291" i="3" l="1"/>
  <c r="J291" i="3"/>
  <c r="AD291" i="3" s="1"/>
  <c r="M291" i="3"/>
  <c r="N291" i="3" s="1"/>
  <c r="V291" i="3"/>
  <c r="A292" i="3"/>
  <c r="B292" i="3" s="1"/>
  <c r="W291" i="3" l="1"/>
  <c r="L291" i="3"/>
  <c r="Z292" i="3"/>
  <c r="AC292" i="3"/>
  <c r="AA292" i="3"/>
  <c r="P292" i="3"/>
  <c r="Q292" i="3" s="1"/>
  <c r="R292" i="3" s="1"/>
  <c r="S292" i="3" s="1"/>
  <c r="U291" i="3" l="1"/>
  <c r="Y290" i="3"/>
  <c r="T292" i="3"/>
  <c r="E292" i="3" l="1"/>
  <c r="H292" i="3" s="1"/>
  <c r="K292" i="3" s="1"/>
  <c r="AE292" i="3" s="1"/>
  <c r="D292" i="3"/>
  <c r="AG292" i="3"/>
  <c r="AH292" i="3"/>
  <c r="V292" i="3" l="1"/>
  <c r="A293" i="3"/>
  <c r="B293" i="3" s="1"/>
  <c r="F292" i="3"/>
  <c r="G292" i="3"/>
  <c r="I292" i="3" l="1"/>
  <c r="W292" i="3" s="1"/>
  <c r="J292" i="3"/>
  <c r="AD292" i="3" s="1"/>
  <c r="M292" i="3"/>
  <c r="N292" i="3" s="1"/>
  <c r="Z293" i="3"/>
  <c r="AC293" i="3"/>
  <c r="P293" i="3"/>
  <c r="Q293" i="3" s="1"/>
  <c r="R293" i="3" s="1"/>
  <c r="S293" i="3" s="1"/>
  <c r="AA293" i="3"/>
  <c r="L292" i="3" l="1"/>
  <c r="T293" i="3"/>
  <c r="U292" i="3" l="1"/>
  <c r="E293" i="3" s="1"/>
  <c r="H293" i="3" s="1"/>
  <c r="AH293" i="3"/>
  <c r="AG293" i="3"/>
  <c r="Y291" i="3"/>
  <c r="K293" i="3" l="1"/>
  <c r="AE293" i="3" s="1"/>
  <c r="D293" i="3"/>
  <c r="V293" i="3" l="1"/>
  <c r="A294" i="3"/>
  <c r="B294" i="3" s="1"/>
  <c r="F293" i="3"/>
  <c r="G293" i="3"/>
  <c r="I293" i="3" l="1"/>
  <c r="W293" i="3" s="1"/>
  <c r="J293" i="3"/>
  <c r="AD293" i="3" s="1"/>
  <c r="M293" i="3"/>
  <c r="N293" i="3" s="1"/>
  <c r="AA294" i="3"/>
  <c r="P294" i="3"/>
  <c r="Q294" i="3" s="1"/>
  <c r="R294" i="3" s="1"/>
  <c r="S294" i="3" s="1"/>
  <c r="Z294" i="3"/>
  <c r="AC294" i="3"/>
  <c r="L293" i="3" l="1"/>
  <c r="T294" i="3"/>
  <c r="AG294" i="3" l="1"/>
  <c r="U293" i="3"/>
  <c r="E294" i="3" s="1"/>
  <c r="H294" i="3" s="1"/>
  <c r="AH294" i="3"/>
  <c r="Y292" i="3"/>
  <c r="D294" i="3" l="1"/>
  <c r="G294" i="3" s="1"/>
  <c r="K294" i="3"/>
  <c r="AE294" i="3" s="1"/>
  <c r="F294" i="3" l="1"/>
  <c r="I294" i="3"/>
  <c r="J294" i="3"/>
  <c r="AD294" i="3" s="1"/>
  <c r="M294" i="3"/>
  <c r="N294" i="3" s="1"/>
  <c r="V294" i="3"/>
  <c r="A295" i="3"/>
  <c r="B295" i="3" s="1"/>
  <c r="L294" i="3" l="1"/>
  <c r="W294" i="3"/>
  <c r="AA295" i="3"/>
  <c r="AD295" i="3"/>
  <c r="P295" i="3"/>
  <c r="Q295" i="3" s="1"/>
  <c r="R295" i="3" s="1"/>
  <c r="S295" i="3" s="1"/>
  <c r="AC295" i="3"/>
  <c r="Z295" i="3"/>
  <c r="U294" i="3" l="1"/>
  <c r="Y293" i="3"/>
  <c r="T295" i="3"/>
  <c r="AG295" i="3" s="1"/>
  <c r="D295" i="3" l="1"/>
  <c r="AH295" i="3"/>
  <c r="E295" i="3"/>
  <c r="H295" i="3" s="1"/>
  <c r="F295" i="3" l="1"/>
  <c r="G295" i="3"/>
  <c r="K295" i="3"/>
  <c r="AE295" i="3" s="1"/>
  <c r="V295" i="3" l="1"/>
  <c r="A296" i="3"/>
  <c r="B296" i="3" s="1"/>
  <c r="I295" i="3"/>
  <c r="J295" i="3"/>
  <c r="M295" i="3"/>
  <c r="N295" i="3" s="1"/>
  <c r="L295" i="3" l="1"/>
  <c r="AC296" i="3"/>
  <c r="Z296" i="3"/>
  <c r="AD296" i="3"/>
  <c r="P296" i="3"/>
  <c r="Q296" i="3" s="1"/>
  <c r="R296" i="3" s="1"/>
  <c r="S296" i="3" s="1"/>
  <c r="AA296" i="3"/>
  <c r="W295" i="3"/>
  <c r="T296" i="3" l="1"/>
  <c r="U295" i="3"/>
  <c r="Y294" i="3"/>
  <c r="D296" i="3" l="1"/>
  <c r="G296" i="3" s="1"/>
  <c r="AG296" i="3"/>
  <c r="AH296" i="3"/>
  <c r="E296" i="3"/>
  <c r="H296" i="3" s="1"/>
  <c r="F296" i="3" l="1"/>
  <c r="I296" i="3"/>
  <c r="J296" i="3"/>
  <c r="M296" i="3"/>
  <c r="N296" i="3" s="1"/>
  <c r="K296" i="3"/>
  <c r="AE296" i="3" s="1"/>
  <c r="V296" i="3" l="1"/>
  <c r="W296" i="3" s="1"/>
  <c r="A297" i="3"/>
  <c r="B297" i="3" s="1"/>
  <c r="L296" i="3"/>
  <c r="U296" i="3" l="1"/>
  <c r="Y295" i="3"/>
  <c r="AA297" i="3"/>
  <c r="P297" i="3"/>
  <c r="Q297" i="3" s="1"/>
  <c r="R297" i="3" s="1"/>
  <c r="S297" i="3" s="1"/>
  <c r="Z297" i="3"/>
  <c r="AC297" i="3"/>
  <c r="T297" i="3" l="1"/>
  <c r="E297" i="3" s="1"/>
  <c r="H297" i="3" s="1"/>
  <c r="D297" i="3" l="1"/>
  <c r="F297" i="3" s="1"/>
  <c r="AG297" i="3"/>
  <c r="K297" i="3"/>
  <c r="AE297" i="3" s="1"/>
  <c r="AH297" i="3"/>
  <c r="G297" i="3" l="1"/>
  <c r="M297" i="3" s="1"/>
  <c r="N297" i="3" s="1"/>
  <c r="V297" i="3"/>
  <c r="A298" i="3"/>
  <c r="B298" i="3" s="1"/>
  <c r="J297" i="3" l="1"/>
  <c r="I297" i="3"/>
  <c r="W297" i="3" s="1"/>
  <c r="Z298" i="3"/>
  <c r="AD298" i="3"/>
  <c r="P298" i="3"/>
  <c r="Q298" i="3" s="1"/>
  <c r="R298" i="3" s="1"/>
  <c r="S298" i="3" s="1"/>
  <c r="AA298" i="3"/>
  <c r="AC298" i="3"/>
  <c r="L297" i="3" l="1"/>
  <c r="AD297" i="3"/>
  <c r="T298" i="3"/>
  <c r="U297" i="3"/>
  <c r="Y296" i="3"/>
  <c r="E298" i="3" l="1"/>
  <c r="H298" i="3" s="1"/>
  <c r="K298" i="3" s="1"/>
  <c r="AE298" i="3" s="1"/>
  <c r="AH298" i="3"/>
  <c r="D298" i="3"/>
  <c r="AG298" i="3"/>
  <c r="F298" i="3" l="1"/>
  <c r="G298" i="3"/>
  <c r="V298" i="3"/>
  <c r="A299" i="3"/>
  <c r="B299" i="3" s="1"/>
  <c r="I298" i="3" l="1"/>
  <c r="W298" i="3" s="1"/>
  <c r="J298" i="3"/>
  <c r="M298" i="3"/>
  <c r="N298" i="3" s="1"/>
  <c r="Z299" i="3"/>
  <c r="AD299" i="3"/>
  <c r="P299" i="3"/>
  <c r="Q299" i="3" s="1"/>
  <c r="R299" i="3" s="1"/>
  <c r="S299" i="3" s="1"/>
  <c r="AA299" i="3"/>
  <c r="AC299" i="3"/>
  <c r="L298" i="3" l="1"/>
  <c r="T299" i="3"/>
  <c r="AG299" i="3" l="1"/>
  <c r="U298" i="3"/>
  <c r="E299" i="3" s="1"/>
  <c r="H299" i="3" s="1"/>
  <c r="AH299" i="3"/>
  <c r="Y297" i="3"/>
  <c r="D299" i="3" l="1"/>
  <c r="G299" i="3" s="1"/>
  <c r="K299" i="3"/>
  <c r="AE299" i="3" s="1"/>
  <c r="F299" i="3" l="1"/>
  <c r="I299" i="3"/>
  <c r="J299" i="3"/>
  <c r="M299" i="3"/>
  <c r="N299" i="3" s="1"/>
  <c r="V299" i="3"/>
  <c r="A300" i="3"/>
  <c r="B300" i="3" s="1"/>
  <c r="W299" i="3" l="1"/>
  <c r="L299" i="3"/>
  <c r="Z300" i="3"/>
  <c r="P300" i="3"/>
  <c r="Q300" i="3" s="1"/>
  <c r="R300" i="3" s="1"/>
  <c r="S300" i="3" s="1"/>
  <c r="AD300" i="3"/>
  <c r="AA300" i="3"/>
  <c r="AC300" i="3"/>
  <c r="U299" i="3" l="1"/>
  <c r="Y298" i="3"/>
  <c r="T300" i="3"/>
  <c r="E300" i="3" l="1"/>
  <c r="H300" i="3" s="1"/>
  <c r="K300" i="3" s="1"/>
  <c r="AE300" i="3" s="1"/>
  <c r="AH300" i="3"/>
  <c r="AG300" i="3"/>
  <c r="D300" i="3"/>
  <c r="F300" i="3" l="1"/>
  <c r="G300" i="3"/>
  <c r="V300" i="3"/>
  <c r="A301" i="3"/>
  <c r="B301" i="3" s="1"/>
  <c r="I300" i="3" l="1"/>
  <c r="W300" i="3" s="1"/>
  <c r="J300" i="3"/>
  <c r="M300" i="3"/>
  <c r="N300" i="3" s="1"/>
  <c r="AC301" i="3"/>
  <c r="Z301" i="3"/>
  <c r="AD301" i="3"/>
  <c r="AA301" i="3"/>
  <c r="P301" i="3"/>
  <c r="Q301" i="3" s="1"/>
  <c r="R301" i="3" s="1"/>
  <c r="S301" i="3" s="1"/>
  <c r="L300" i="3" l="1"/>
  <c r="T301" i="3"/>
  <c r="AH301" i="3" l="1"/>
  <c r="U300" i="3"/>
  <c r="D301" i="3" s="1"/>
  <c r="AG301" i="3"/>
  <c r="Y299" i="3"/>
  <c r="E301" i="3" l="1"/>
  <c r="H301" i="3" s="1"/>
  <c r="K301" i="3" s="1"/>
  <c r="AE301" i="3" s="1"/>
  <c r="G301" i="3"/>
  <c r="F301" i="3" l="1"/>
  <c r="I301" i="3"/>
  <c r="J301" i="3"/>
  <c r="M301" i="3"/>
  <c r="N301" i="3" s="1"/>
  <c r="V301" i="3"/>
  <c r="A302" i="3"/>
  <c r="B302" i="3" s="1"/>
  <c r="W301" i="3" l="1"/>
  <c r="L301" i="3"/>
  <c r="P302" i="3"/>
  <c r="Q302" i="3" s="1"/>
  <c r="R302" i="3" s="1"/>
  <c r="S302" i="3" s="1"/>
  <c r="AA302" i="3"/>
  <c r="AC302" i="3"/>
  <c r="AD302" i="3"/>
  <c r="Z302" i="3"/>
  <c r="U301" i="3" l="1"/>
  <c r="Y300" i="3"/>
  <c r="T302" i="3"/>
  <c r="AG302" i="3" s="1"/>
  <c r="AH302" i="3" l="1"/>
  <c r="D302" i="3"/>
  <c r="E302" i="3"/>
  <c r="H302" i="3" s="1"/>
  <c r="K302" i="3" s="1"/>
  <c r="AE302" i="3" s="1"/>
  <c r="F302" i="3" l="1"/>
  <c r="G302" i="3"/>
  <c r="M302" i="3" s="1"/>
  <c r="N302" i="3" s="1"/>
  <c r="V302" i="3"/>
  <c r="A303" i="3"/>
  <c r="B303" i="3" s="1"/>
  <c r="I302" i="3" l="1"/>
  <c r="W302" i="3" s="1"/>
  <c r="J302" i="3"/>
  <c r="L302" i="3" s="1"/>
  <c r="AD303" i="3"/>
  <c r="Z303" i="3"/>
  <c r="P303" i="3"/>
  <c r="Q303" i="3" s="1"/>
  <c r="R303" i="3" s="1"/>
  <c r="S303" i="3" s="1"/>
  <c r="AA303" i="3"/>
  <c r="AC303" i="3"/>
  <c r="T303" i="3" l="1"/>
  <c r="U302" i="3"/>
  <c r="Y301" i="3"/>
  <c r="E303" i="3" l="1"/>
  <c r="H303" i="3" s="1"/>
  <c r="K303" i="3" s="1"/>
  <c r="AE303" i="3" s="1"/>
  <c r="D303" i="3"/>
  <c r="G303" i="3" s="1"/>
  <c r="AH303" i="3"/>
  <c r="AG303" i="3"/>
  <c r="F303" i="3" l="1"/>
  <c r="I303" i="3"/>
  <c r="J303" i="3"/>
  <c r="M303" i="3"/>
  <c r="N303" i="3" s="1"/>
  <c r="V303" i="3"/>
  <c r="A304" i="3"/>
  <c r="B304" i="3" s="1"/>
  <c r="W303" i="3" l="1"/>
  <c r="L303" i="3"/>
  <c r="Z304" i="3"/>
  <c r="P304" i="3"/>
  <c r="Q304" i="3" s="1"/>
  <c r="R304" i="3" s="1"/>
  <c r="S304" i="3" s="1"/>
  <c r="AC304" i="3"/>
  <c r="AA304" i="3"/>
  <c r="U303" i="3" l="1"/>
  <c r="Y302" i="3"/>
  <c r="T304" i="3"/>
  <c r="AH304" i="3" s="1"/>
  <c r="AG304" i="3" l="1"/>
  <c r="D304" i="3"/>
  <c r="G304" i="3" s="1"/>
  <c r="E304" i="3"/>
  <c r="H304" i="3" s="1"/>
  <c r="K304" i="3" s="1"/>
  <c r="AE304" i="3" s="1"/>
  <c r="F304" i="3" l="1"/>
  <c r="I304" i="3"/>
  <c r="J304" i="3"/>
  <c r="AD304" i="3" s="1"/>
  <c r="M304" i="3"/>
  <c r="N304" i="3" s="1"/>
  <c r="V304" i="3"/>
  <c r="A305" i="3"/>
  <c r="B305" i="3" s="1"/>
  <c r="W304" i="3" l="1"/>
  <c r="L304" i="3"/>
  <c r="Z305" i="3"/>
  <c r="AA305" i="3"/>
  <c r="P305" i="3"/>
  <c r="Q305" i="3" s="1"/>
  <c r="R305" i="3" s="1"/>
  <c r="S305" i="3" s="1"/>
  <c r="AC305" i="3"/>
  <c r="AD305" i="3"/>
  <c r="U304" i="3" l="1"/>
  <c r="Y303" i="3"/>
  <c r="T305" i="3"/>
  <c r="AG305" i="3" s="1"/>
  <c r="AH305" i="3" l="1"/>
  <c r="E305" i="3"/>
  <c r="H305" i="3" s="1"/>
  <c r="K305" i="3" s="1"/>
  <c r="AE305" i="3" s="1"/>
  <c r="D305" i="3"/>
  <c r="V305" i="3" l="1"/>
  <c r="A306" i="3"/>
  <c r="B306" i="3" s="1"/>
  <c r="F305" i="3"/>
  <c r="G305" i="3"/>
  <c r="I305" i="3" l="1"/>
  <c r="W305" i="3" s="1"/>
  <c r="J305" i="3"/>
  <c r="M305" i="3"/>
  <c r="N305" i="3" s="1"/>
  <c r="AA306" i="3"/>
  <c r="Z306" i="3"/>
  <c r="P306" i="3"/>
  <c r="Q306" i="3" s="1"/>
  <c r="R306" i="3" s="1"/>
  <c r="S306" i="3" s="1"/>
  <c r="AC306" i="3"/>
  <c r="AD306" i="3"/>
  <c r="T306" i="3" l="1"/>
  <c r="L305" i="3"/>
  <c r="U305" i="3" l="1"/>
  <c r="E306" i="3" s="1"/>
  <c r="H306" i="3" s="1"/>
  <c r="AH306" i="3"/>
  <c r="AG306" i="3"/>
  <c r="Y304" i="3"/>
  <c r="D306" i="3" l="1"/>
  <c r="G306" i="3" s="1"/>
  <c r="K306" i="3"/>
  <c r="AE306" i="3" s="1"/>
  <c r="F306" i="3" l="1"/>
  <c r="I306" i="3"/>
  <c r="J306" i="3"/>
  <c r="M306" i="3"/>
  <c r="N306" i="3" s="1"/>
  <c r="V306" i="3"/>
  <c r="A307" i="3"/>
  <c r="B307" i="3" s="1"/>
  <c r="W306" i="3" l="1"/>
  <c r="L306" i="3"/>
  <c r="AC307" i="3"/>
  <c r="P307" i="3"/>
  <c r="Q307" i="3" s="1"/>
  <c r="R307" i="3" s="1"/>
  <c r="S307" i="3" s="1"/>
  <c r="AA307" i="3"/>
  <c r="Z307" i="3"/>
  <c r="T307" i="3" l="1"/>
  <c r="AH307" i="3" s="1"/>
  <c r="U306" i="3"/>
  <c r="Y305" i="3"/>
  <c r="D307" i="3" l="1"/>
  <c r="E307" i="3"/>
  <c r="H307" i="3" s="1"/>
  <c r="AG307" i="3"/>
  <c r="F307" i="3" l="1"/>
  <c r="G307" i="3"/>
  <c r="K307" i="3"/>
  <c r="AE307" i="3" s="1"/>
  <c r="I307" i="3" l="1"/>
  <c r="J307" i="3"/>
  <c r="AD307" i="3" s="1"/>
  <c r="M307" i="3"/>
  <c r="N307" i="3" s="1"/>
  <c r="V307" i="3"/>
  <c r="A308" i="3"/>
  <c r="B308" i="3" s="1"/>
  <c r="L307" i="3" l="1"/>
  <c r="Z308" i="3"/>
  <c r="AD308" i="3"/>
  <c r="AA308" i="3"/>
  <c r="P308" i="3"/>
  <c r="Q308" i="3" s="1"/>
  <c r="R308" i="3" s="1"/>
  <c r="S308" i="3" s="1"/>
  <c r="AC308" i="3"/>
  <c r="W307" i="3"/>
  <c r="T308" i="3" l="1"/>
  <c r="U307" i="3"/>
  <c r="Y306" i="3"/>
  <c r="E308" i="3" l="1"/>
  <c r="H308" i="3" s="1"/>
  <c r="K308" i="3" s="1"/>
  <c r="AE308" i="3" s="1"/>
  <c r="AH308" i="3"/>
  <c r="AG308" i="3"/>
  <c r="D308" i="3"/>
  <c r="F308" i="3" l="1"/>
  <c r="G308" i="3"/>
  <c r="V308" i="3"/>
  <c r="A309" i="3"/>
  <c r="B309" i="3" s="1"/>
  <c r="I308" i="3" l="1"/>
  <c r="W308" i="3" s="1"/>
  <c r="J308" i="3"/>
  <c r="M308" i="3"/>
  <c r="N308" i="3" s="1"/>
  <c r="AC309" i="3"/>
  <c r="AD309" i="3"/>
  <c r="P309" i="3"/>
  <c r="Q309" i="3" s="1"/>
  <c r="R309" i="3" s="1"/>
  <c r="S309" i="3" s="1"/>
  <c r="AA309" i="3"/>
  <c r="Z309" i="3"/>
  <c r="T309" i="3" l="1"/>
  <c r="L308" i="3"/>
  <c r="AG309" i="3" l="1"/>
  <c r="AH309" i="3"/>
  <c r="U308" i="3"/>
  <c r="E309" i="3" s="1"/>
  <c r="H309" i="3" s="1"/>
  <c r="Y307" i="3"/>
  <c r="D309" i="3" l="1"/>
  <c r="G309" i="3" s="1"/>
  <c r="K309" i="3"/>
  <c r="AE309" i="3" s="1"/>
  <c r="F309" i="3" l="1"/>
  <c r="V309" i="3"/>
  <c r="A310" i="3"/>
  <c r="B310" i="3" s="1"/>
  <c r="I309" i="3"/>
  <c r="J309" i="3"/>
  <c r="M309" i="3"/>
  <c r="N309" i="3" s="1"/>
  <c r="W309" i="3" l="1"/>
  <c r="L309" i="3"/>
  <c r="AC310" i="3"/>
  <c r="AD310" i="3"/>
  <c r="Z310" i="3"/>
  <c r="AA310" i="3"/>
  <c r="P310" i="3"/>
  <c r="Q310" i="3" s="1"/>
  <c r="R310" i="3" s="1"/>
  <c r="S310" i="3" s="1"/>
  <c r="T310" i="3" l="1"/>
  <c r="AH310" i="3" s="1"/>
  <c r="U309" i="3"/>
  <c r="Y308" i="3"/>
  <c r="AG310" i="3" l="1"/>
  <c r="E310" i="3"/>
  <c r="H310" i="3" s="1"/>
  <c r="D310" i="3"/>
  <c r="K310" i="3" l="1"/>
  <c r="AE310" i="3" s="1"/>
  <c r="F310" i="3"/>
  <c r="G310" i="3"/>
  <c r="I310" i="3" l="1"/>
  <c r="J310" i="3"/>
  <c r="M310" i="3"/>
  <c r="N310" i="3" s="1"/>
  <c r="V310" i="3"/>
  <c r="A311" i="3"/>
  <c r="B311" i="3" s="1"/>
  <c r="W310" i="3" l="1"/>
  <c r="L310" i="3"/>
  <c r="AA311" i="3"/>
  <c r="Z311" i="3"/>
  <c r="P311" i="3"/>
  <c r="Q311" i="3" s="1"/>
  <c r="R311" i="3" s="1"/>
  <c r="S311" i="3" s="1"/>
  <c r="AC311" i="3"/>
  <c r="AD311" i="3"/>
  <c r="T311" i="3" l="1"/>
  <c r="AH311" i="3" s="1"/>
  <c r="U310" i="3"/>
  <c r="Y309" i="3"/>
  <c r="D311" i="3" l="1"/>
  <c r="G311" i="3" s="1"/>
  <c r="E311" i="3"/>
  <c r="H311" i="3" s="1"/>
  <c r="AG311" i="3"/>
  <c r="I311" i="3" l="1"/>
  <c r="J311" i="3"/>
  <c r="M311" i="3"/>
  <c r="N311" i="3" s="1"/>
  <c r="K311" i="3"/>
  <c r="AE311" i="3" s="1"/>
  <c r="F311" i="3"/>
  <c r="V311" i="3" l="1"/>
  <c r="W311" i="3" s="1"/>
  <c r="A312" i="3"/>
  <c r="B312" i="3" s="1"/>
  <c r="L311" i="3"/>
  <c r="U311" i="3" l="1"/>
  <c r="Y310" i="3"/>
  <c r="AA312" i="3"/>
  <c r="Z312" i="3"/>
  <c r="AD312" i="3"/>
  <c r="P312" i="3"/>
  <c r="Q312" i="3" s="1"/>
  <c r="R312" i="3" s="1"/>
  <c r="S312" i="3" s="1"/>
  <c r="AC312" i="3"/>
  <c r="T312" i="3" l="1"/>
  <c r="AG312" i="3" s="1"/>
  <c r="E312" i="3" l="1"/>
  <c r="H312" i="3" s="1"/>
  <c r="K312" i="3" s="1"/>
  <c r="AE312" i="3" s="1"/>
  <c r="D312" i="3"/>
  <c r="AH312" i="3"/>
  <c r="V312" i="3" l="1"/>
  <c r="A313" i="3"/>
  <c r="B313" i="3" s="1"/>
  <c r="F312" i="3"/>
  <c r="G312" i="3"/>
  <c r="I312" i="3" l="1"/>
  <c r="W312" i="3" s="1"/>
  <c r="J312" i="3"/>
  <c r="M312" i="3"/>
  <c r="N312" i="3" s="1"/>
  <c r="Z313" i="3"/>
  <c r="AC313" i="3"/>
  <c r="P313" i="3"/>
  <c r="Q313" i="3" s="1"/>
  <c r="R313" i="3" s="1"/>
  <c r="S313" i="3" s="1"/>
  <c r="AD313" i="3"/>
  <c r="AA313" i="3"/>
  <c r="T313" i="3" l="1"/>
  <c r="L312" i="3"/>
  <c r="AG313" i="3" l="1"/>
  <c r="AH313" i="3"/>
  <c r="U312" i="3"/>
  <c r="D313" i="3" s="1"/>
  <c r="Y311" i="3"/>
  <c r="E313" i="3" l="1"/>
  <c r="H313" i="3" s="1"/>
  <c r="K313" i="3" s="1"/>
  <c r="AE313" i="3" s="1"/>
  <c r="G313" i="3"/>
  <c r="F313" i="3" l="1"/>
  <c r="I313" i="3"/>
  <c r="J313" i="3"/>
  <c r="M313" i="3"/>
  <c r="N313" i="3" s="1"/>
  <c r="V313" i="3"/>
  <c r="A314" i="3"/>
  <c r="B314" i="3" s="1"/>
  <c r="Z314" i="3" l="1"/>
  <c r="AC314" i="3"/>
  <c r="AA314" i="3"/>
  <c r="P314" i="3"/>
  <c r="Q314" i="3" s="1"/>
  <c r="R314" i="3" s="1"/>
  <c r="S314" i="3" s="1"/>
  <c r="L313" i="3"/>
  <c r="W313" i="3"/>
  <c r="U313" i="3" l="1"/>
  <c r="Y312" i="3"/>
  <c r="T314" i="3"/>
  <c r="D314" i="3" l="1"/>
  <c r="G314" i="3" s="1"/>
  <c r="AG314" i="3"/>
  <c r="AH314" i="3"/>
  <c r="E314" i="3"/>
  <c r="H314" i="3" s="1"/>
  <c r="F314" i="3" l="1"/>
  <c r="I314" i="3"/>
  <c r="J314" i="3"/>
  <c r="AD314" i="3" s="1"/>
  <c r="M314" i="3"/>
  <c r="N314" i="3" s="1"/>
  <c r="K314" i="3"/>
  <c r="AE314" i="3" s="1"/>
  <c r="V314" i="3" l="1"/>
  <c r="W314" i="3" s="1"/>
  <c r="A315" i="3"/>
  <c r="B315" i="3" s="1"/>
  <c r="L314" i="3"/>
  <c r="U314" i="3" l="1"/>
  <c r="Y313" i="3"/>
  <c r="Z315" i="3"/>
  <c r="P315" i="3"/>
  <c r="Q315" i="3" s="1"/>
  <c r="R315" i="3" s="1"/>
  <c r="S315" i="3" s="1"/>
  <c r="AD315" i="3"/>
  <c r="AA315" i="3"/>
  <c r="AC315" i="3"/>
  <c r="T315" i="3" l="1"/>
  <c r="D315" i="3" s="1"/>
  <c r="AH315" i="3" l="1"/>
  <c r="AG315" i="3"/>
  <c r="E315" i="3"/>
  <c r="H315" i="3" s="1"/>
  <c r="K315" i="3" s="1"/>
  <c r="AE315" i="3" s="1"/>
  <c r="G315" i="3"/>
  <c r="F315" i="3" l="1"/>
  <c r="I315" i="3"/>
  <c r="J315" i="3"/>
  <c r="M315" i="3"/>
  <c r="N315" i="3" s="1"/>
  <c r="V315" i="3"/>
  <c r="A316" i="3"/>
  <c r="B316" i="3" s="1"/>
  <c r="W315" i="3" l="1"/>
  <c r="L315" i="3"/>
  <c r="Z316" i="3"/>
  <c r="AC316" i="3"/>
  <c r="P316" i="3"/>
  <c r="Q316" i="3" s="1"/>
  <c r="R316" i="3" s="1"/>
  <c r="S316" i="3" s="1"/>
  <c r="AD316" i="3"/>
  <c r="AA316" i="3"/>
  <c r="U315" i="3" l="1"/>
  <c r="Y314" i="3"/>
  <c r="T316" i="3"/>
  <c r="AG316" i="3" s="1"/>
  <c r="D316" i="3" l="1"/>
  <c r="AH316" i="3"/>
  <c r="E316" i="3"/>
  <c r="H316" i="3" s="1"/>
  <c r="F316" i="3" l="1"/>
  <c r="G316" i="3"/>
  <c r="K316" i="3"/>
  <c r="AE316" i="3" s="1"/>
  <c r="V316" i="3" l="1"/>
  <c r="A317" i="3"/>
  <c r="B317" i="3" s="1"/>
  <c r="I316" i="3"/>
  <c r="J316" i="3"/>
  <c r="M316" i="3"/>
  <c r="N316" i="3" s="1"/>
  <c r="W316" i="3" l="1"/>
  <c r="L316" i="3"/>
  <c r="Z317" i="3"/>
  <c r="AA317" i="3"/>
  <c r="P317" i="3"/>
  <c r="Q317" i="3" s="1"/>
  <c r="R317" i="3" s="1"/>
  <c r="S317" i="3" s="1"/>
  <c r="AC317" i="3"/>
  <c r="T317" i="3" l="1"/>
  <c r="AG317" i="3" s="1"/>
  <c r="U316" i="3"/>
  <c r="Y315" i="3"/>
  <c r="E317" i="3" l="1"/>
  <c r="H317" i="3" s="1"/>
  <c r="K317" i="3" s="1"/>
  <c r="AE317" i="3" s="1"/>
  <c r="D317" i="3"/>
  <c r="AH317" i="3"/>
  <c r="V317" i="3" l="1"/>
  <c r="A318" i="3"/>
  <c r="B318" i="3" s="1"/>
  <c r="F317" i="3"/>
  <c r="G317" i="3"/>
  <c r="I317" i="3" l="1"/>
  <c r="W317" i="3" s="1"/>
  <c r="J317" i="3"/>
  <c r="AD317" i="3" s="1"/>
  <c r="M317" i="3"/>
  <c r="N317" i="3" s="1"/>
  <c r="AA318" i="3"/>
  <c r="P318" i="3"/>
  <c r="Q318" i="3" s="1"/>
  <c r="R318" i="3" s="1"/>
  <c r="S318" i="3" s="1"/>
  <c r="Z318" i="3"/>
  <c r="AC318" i="3"/>
  <c r="AD318" i="3"/>
  <c r="T318" i="3" l="1"/>
  <c r="L317" i="3"/>
  <c r="AH318" i="3" l="1"/>
  <c r="AG318" i="3"/>
  <c r="U317" i="3"/>
  <c r="E318" i="3" s="1"/>
  <c r="H318" i="3" s="1"/>
  <c r="Y316" i="3"/>
  <c r="K318" i="3" l="1"/>
  <c r="AE318" i="3" s="1"/>
  <c r="D318" i="3"/>
  <c r="V318" i="3" l="1"/>
  <c r="A319" i="3"/>
  <c r="B319" i="3" s="1"/>
  <c r="F318" i="3"/>
  <c r="G318" i="3"/>
  <c r="I318" i="3" l="1"/>
  <c r="W318" i="3" s="1"/>
  <c r="J318" i="3"/>
  <c r="M318" i="3"/>
  <c r="N318" i="3" s="1"/>
  <c r="Z319" i="3"/>
  <c r="AC319" i="3"/>
  <c r="P319" i="3"/>
  <c r="Q319" i="3" s="1"/>
  <c r="R319" i="3" s="1"/>
  <c r="S319" i="3" s="1"/>
  <c r="AD319" i="3"/>
  <c r="AA319" i="3"/>
  <c r="T319" i="3" l="1"/>
  <c r="L318" i="3"/>
  <c r="U318" i="3" l="1"/>
  <c r="E319" i="3" s="1"/>
  <c r="H319" i="3" s="1"/>
  <c r="AH319" i="3"/>
  <c r="AG319" i="3"/>
  <c r="Y317" i="3"/>
  <c r="D319" i="3" l="1"/>
  <c r="G319" i="3" s="1"/>
  <c r="K319" i="3"/>
  <c r="AE319" i="3" s="1"/>
  <c r="F319" i="3" l="1"/>
  <c r="V319" i="3"/>
  <c r="A320" i="3"/>
  <c r="B320" i="3" s="1"/>
  <c r="I319" i="3"/>
  <c r="J319" i="3"/>
  <c r="M319" i="3"/>
  <c r="N319" i="3" s="1"/>
  <c r="L319" i="3" l="1"/>
  <c r="W319" i="3"/>
  <c r="AA320" i="3"/>
  <c r="AC320" i="3"/>
  <c r="P320" i="3"/>
  <c r="Q320" i="3" s="1"/>
  <c r="R320" i="3" s="1"/>
  <c r="S320" i="3" s="1"/>
  <c r="Z320" i="3"/>
  <c r="AD320" i="3"/>
  <c r="U319" i="3" l="1"/>
  <c r="Y318" i="3"/>
  <c r="T320" i="3"/>
  <c r="AH320" i="3" s="1"/>
  <c r="D320" i="3" l="1"/>
  <c r="AG320" i="3"/>
  <c r="E320" i="3"/>
  <c r="H320" i="3" s="1"/>
  <c r="F320" i="3" l="1"/>
  <c r="G320" i="3"/>
  <c r="K320" i="3"/>
  <c r="AE320" i="3" s="1"/>
  <c r="I320" i="3" l="1"/>
  <c r="J320" i="3"/>
  <c r="M320" i="3"/>
  <c r="N320" i="3" s="1"/>
  <c r="V320" i="3"/>
  <c r="A321" i="3"/>
  <c r="B321" i="3" s="1"/>
  <c r="W320" i="3" l="1"/>
  <c r="L320" i="3"/>
  <c r="AC321" i="3"/>
  <c r="AA321" i="3"/>
  <c r="Z321" i="3"/>
  <c r="P321" i="3"/>
  <c r="Q321" i="3" s="1"/>
  <c r="R321" i="3" s="1"/>
  <c r="S321" i="3" s="1"/>
  <c r="AD321" i="3"/>
  <c r="U320" i="3" l="1"/>
  <c r="Y319" i="3"/>
  <c r="T321" i="3"/>
  <c r="D321" i="3" l="1"/>
  <c r="G321" i="3" s="1"/>
  <c r="AH321" i="3"/>
  <c r="E321" i="3"/>
  <c r="H321" i="3" s="1"/>
  <c r="AG321" i="3"/>
  <c r="F321" i="3" l="1"/>
  <c r="I321" i="3"/>
  <c r="J321" i="3"/>
  <c r="M321" i="3"/>
  <c r="N321" i="3" s="1"/>
  <c r="K321" i="3"/>
  <c r="AE321" i="3" s="1"/>
  <c r="V321" i="3" l="1"/>
  <c r="W321" i="3" s="1"/>
  <c r="A322" i="3"/>
  <c r="B322" i="3" s="1"/>
  <c r="L321" i="3"/>
  <c r="U321" i="3" l="1"/>
  <c r="Y320" i="3"/>
  <c r="P322" i="3"/>
  <c r="Q322" i="3" s="1"/>
  <c r="R322" i="3" s="1"/>
  <c r="S322" i="3" s="1"/>
  <c r="Z322" i="3"/>
  <c r="AC322" i="3"/>
  <c r="AD322" i="3"/>
  <c r="AA322" i="3"/>
  <c r="T322" i="3" l="1"/>
  <c r="AH322" i="3" s="1"/>
  <c r="E322" i="3" l="1"/>
  <c r="H322" i="3" s="1"/>
  <c r="K322" i="3" s="1"/>
  <c r="AE322" i="3" s="1"/>
  <c r="AG322" i="3"/>
  <c r="D322" i="3"/>
  <c r="V322" i="3" l="1"/>
  <c r="A323" i="3"/>
  <c r="B323" i="3" s="1"/>
  <c r="F322" i="3"/>
  <c r="G322" i="3"/>
  <c r="I322" i="3" l="1"/>
  <c r="W322" i="3" s="1"/>
  <c r="J322" i="3"/>
  <c r="M322" i="3"/>
  <c r="N322" i="3" s="1"/>
  <c r="P323" i="3"/>
  <c r="Q323" i="3" s="1"/>
  <c r="R323" i="3" s="1"/>
  <c r="S323" i="3" s="1"/>
  <c r="AA323" i="3"/>
  <c r="Z323" i="3"/>
  <c r="AD323" i="3"/>
  <c r="AC323" i="3"/>
  <c r="T323" i="3" l="1"/>
  <c r="L322" i="3"/>
  <c r="AH323" i="3" l="1"/>
  <c r="U322" i="3"/>
  <c r="D323" i="3" s="1"/>
  <c r="AG323" i="3"/>
  <c r="Y321" i="3"/>
  <c r="G323" i="3" l="1"/>
  <c r="E323" i="3"/>
  <c r="H323" i="3" s="1"/>
  <c r="F323" i="3" l="1"/>
  <c r="K323" i="3"/>
  <c r="AE323" i="3" s="1"/>
  <c r="I323" i="3"/>
  <c r="J323" i="3"/>
  <c r="M323" i="3"/>
  <c r="N323" i="3" s="1"/>
  <c r="L323" i="3" l="1"/>
  <c r="V323" i="3"/>
  <c r="W323" i="3" s="1"/>
  <c r="A324" i="3"/>
  <c r="B324" i="3" s="1"/>
  <c r="U323" i="3" l="1"/>
  <c r="Y322" i="3"/>
  <c r="Z324" i="3"/>
  <c r="P324" i="3"/>
  <c r="Q324" i="3" s="1"/>
  <c r="R324" i="3" s="1"/>
  <c r="S324" i="3" s="1"/>
  <c r="AA324" i="3"/>
  <c r="AC324" i="3"/>
  <c r="T324" i="3" l="1"/>
  <c r="AG324" i="3" s="1"/>
  <c r="E324" i="3" l="1"/>
  <c r="H324" i="3" s="1"/>
  <c r="K324" i="3" s="1"/>
  <c r="AE324" i="3" s="1"/>
  <c r="AH324" i="3"/>
  <c r="D324" i="3"/>
  <c r="V324" i="3" l="1"/>
  <c r="A325" i="3"/>
  <c r="B325" i="3" s="1"/>
  <c r="F324" i="3"/>
  <c r="G324" i="3"/>
  <c r="I324" i="3" l="1"/>
  <c r="W324" i="3" s="1"/>
  <c r="J324" i="3"/>
  <c r="AD324" i="3" s="1"/>
  <c r="M324" i="3"/>
  <c r="N324" i="3" s="1"/>
  <c r="P325" i="3"/>
  <c r="Q325" i="3" s="1"/>
  <c r="R325" i="3" s="1"/>
  <c r="S325" i="3" s="1"/>
  <c r="AC325" i="3"/>
  <c r="Z325" i="3"/>
  <c r="AA325" i="3"/>
  <c r="T325" i="3" l="1"/>
  <c r="L324" i="3"/>
  <c r="AG325" i="3" l="1"/>
  <c r="U324" i="3"/>
  <c r="D325" i="3" s="1"/>
  <c r="AH325" i="3"/>
  <c r="Y323" i="3"/>
  <c r="E325" i="3" l="1"/>
  <c r="H325" i="3" s="1"/>
  <c r="K325" i="3" s="1"/>
  <c r="AE325" i="3" s="1"/>
  <c r="G325" i="3"/>
  <c r="F325" i="3" l="1"/>
  <c r="V325" i="3"/>
  <c r="A326" i="3"/>
  <c r="B326" i="3" s="1"/>
  <c r="I325" i="3"/>
  <c r="J325" i="3"/>
  <c r="AD325" i="3" s="1"/>
  <c r="M325" i="3"/>
  <c r="N325" i="3" s="1"/>
  <c r="L325" i="3" l="1"/>
  <c r="W325" i="3"/>
  <c r="P326" i="3"/>
  <c r="Q326" i="3" s="1"/>
  <c r="R326" i="3" s="1"/>
  <c r="S326" i="3" s="1"/>
  <c r="AA326" i="3"/>
  <c r="AC326" i="3"/>
  <c r="Z326" i="3"/>
  <c r="U325" i="3" l="1"/>
  <c r="Y324" i="3"/>
  <c r="T326" i="3"/>
  <c r="AH326" i="3" s="1"/>
  <c r="E326" i="3" l="1"/>
  <c r="H326" i="3" s="1"/>
  <c r="K326" i="3" s="1"/>
  <c r="AE326" i="3" s="1"/>
  <c r="AG326" i="3"/>
  <c r="D326" i="3"/>
  <c r="G326" i="3" s="1"/>
  <c r="F326" i="3" l="1"/>
  <c r="I326" i="3"/>
  <c r="J326" i="3"/>
  <c r="AD326" i="3" s="1"/>
  <c r="M326" i="3"/>
  <c r="N326" i="3" s="1"/>
  <c r="V326" i="3"/>
  <c r="A327" i="3"/>
  <c r="B327" i="3" s="1"/>
  <c r="W326" i="3" l="1"/>
  <c r="L326" i="3"/>
  <c r="Z327" i="3"/>
  <c r="AA327" i="3"/>
  <c r="P327" i="3"/>
  <c r="Q327" i="3" s="1"/>
  <c r="R327" i="3" s="1"/>
  <c r="S327" i="3" s="1"/>
  <c r="AC327" i="3"/>
  <c r="U326" i="3" l="1"/>
  <c r="Y325" i="3"/>
  <c r="T327" i="3"/>
  <c r="AH327" i="3" s="1"/>
  <c r="E327" i="3" l="1"/>
  <c r="H327" i="3" s="1"/>
  <c r="K327" i="3" s="1"/>
  <c r="AE327" i="3" s="1"/>
  <c r="D327" i="3"/>
  <c r="AG327" i="3"/>
  <c r="F327" i="3" l="1"/>
  <c r="G327" i="3"/>
  <c r="M327" i="3" s="1"/>
  <c r="N327" i="3" s="1"/>
  <c r="V327" i="3"/>
  <c r="A328" i="3"/>
  <c r="B328" i="3" s="1"/>
  <c r="I327" i="3" l="1"/>
  <c r="W327" i="3" s="1"/>
  <c r="J327" i="3"/>
  <c r="Z328" i="3"/>
  <c r="P328" i="3"/>
  <c r="Q328" i="3" s="1"/>
  <c r="R328" i="3" s="1"/>
  <c r="S328" i="3" s="1"/>
  <c r="AA328" i="3"/>
  <c r="AC328" i="3"/>
  <c r="L327" i="3" l="1"/>
  <c r="U327" i="3" s="1"/>
  <c r="AD327" i="3"/>
  <c r="T328" i="3"/>
  <c r="AG328" i="3" l="1"/>
  <c r="Y326" i="3"/>
  <c r="AH328" i="3"/>
  <c r="E328" i="3"/>
  <c r="H328" i="3" s="1"/>
  <c r="K328" i="3" s="1"/>
  <c r="AE328" i="3" s="1"/>
  <c r="D328" i="3"/>
  <c r="V328" i="3" l="1"/>
  <c r="A329" i="3"/>
  <c r="B329" i="3" s="1"/>
  <c r="F328" i="3"/>
  <c r="G328" i="3"/>
  <c r="I328" i="3" l="1"/>
  <c r="W328" i="3" s="1"/>
  <c r="J328" i="3"/>
  <c r="AD328" i="3" s="1"/>
  <c r="M328" i="3"/>
  <c r="N328" i="3" s="1"/>
  <c r="P329" i="3"/>
  <c r="Q329" i="3" s="1"/>
  <c r="R329" i="3" s="1"/>
  <c r="S329" i="3" s="1"/>
  <c r="Z329" i="3"/>
  <c r="AC329" i="3"/>
  <c r="AA329" i="3"/>
  <c r="T329" i="3" l="1"/>
  <c r="L328" i="3"/>
  <c r="AH329" i="3" l="1"/>
  <c r="U328" i="3"/>
  <c r="D329" i="3" s="1"/>
  <c r="AG329" i="3"/>
  <c r="Y327" i="3"/>
  <c r="E329" i="3" l="1"/>
  <c r="H329" i="3" s="1"/>
  <c r="K329" i="3" s="1"/>
  <c r="AE329" i="3" s="1"/>
  <c r="G329" i="3"/>
  <c r="F329" i="3" l="1"/>
  <c r="I329" i="3"/>
  <c r="J329" i="3"/>
  <c r="AD329" i="3" s="1"/>
  <c r="M329" i="3"/>
  <c r="N329" i="3" s="1"/>
  <c r="V329" i="3"/>
  <c r="A330" i="3"/>
  <c r="B330" i="3" s="1"/>
  <c r="W329" i="3" l="1"/>
  <c r="L329" i="3"/>
  <c r="AA330" i="3"/>
  <c r="AC330" i="3"/>
  <c r="P330" i="3"/>
  <c r="Q330" i="3" s="1"/>
  <c r="R330" i="3" s="1"/>
  <c r="S330" i="3" s="1"/>
  <c r="Z330" i="3"/>
  <c r="U329" i="3" l="1"/>
  <c r="Y328" i="3"/>
  <c r="T330" i="3"/>
  <c r="AH330" i="3" s="1"/>
  <c r="AG330" i="3" l="1"/>
  <c r="E330" i="3"/>
  <c r="H330" i="3" s="1"/>
  <c r="D330" i="3"/>
  <c r="K330" i="3" l="1"/>
  <c r="AE330" i="3" s="1"/>
  <c r="F330" i="3"/>
  <c r="G330" i="3"/>
  <c r="I330" i="3" l="1"/>
  <c r="J330" i="3"/>
  <c r="AD330" i="3" s="1"/>
  <c r="M330" i="3"/>
  <c r="N330" i="3" s="1"/>
  <c r="V330" i="3"/>
  <c r="A331" i="3"/>
  <c r="B331" i="3" s="1"/>
  <c r="W330" i="3" l="1"/>
  <c r="L330" i="3"/>
  <c r="P331" i="3"/>
  <c r="Q331" i="3" s="1"/>
  <c r="R331" i="3" s="1"/>
  <c r="S331" i="3" s="1"/>
  <c r="AA331" i="3"/>
  <c r="AC331" i="3"/>
  <c r="Z331" i="3"/>
  <c r="U330" i="3" l="1"/>
  <c r="Y329" i="3"/>
  <c r="T331" i="3"/>
  <c r="D331" i="3" l="1"/>
  <c r="G331" i="3" s="1"/>
  <c r="AH331" i="3"/>
  <c r="AG331" i="3"/>
  <c r="E331" i="3"/>
  <c r="H331" i="3" s="1"/>
  <c r="F331" i="3" l="1"/>
  <c r="I331" i="3"/>
  <c r="J331" i="3"/>
  <c r="AD331" i="3" s="1"/>
  <c r="M331" i="3"/>
  <c r="N331" i="3" s="1"/>
  <c r="K331" i="3"/>
  <c r="AE331" i="3" s="1"/>
  <c r="V331" i="3" l="1"/>
  <c r="W331" i="3" s="1"/>
  <c r="A332" i="3"/>
  <c r="B332" i="3" s="1"/>
  <c r="L331" i="3"/>
  <c r="U331" i="3" l="1"/>
  <c r="Y330" i="3"/>
  <c r="AA332" i="3"/>
  <c r="Z332" i="3"/>
  <c r="AC332" i="3"/>
  <c r="P332" i="3"/>
  <c r="Q332" i="3" s="1"/>
  <c r="R332" i="3" s="1"/>
  <c r="S332" i="3" s="1"/>
  <c r="T332" i="3" l="1"/>
  <c r="AG332" i="3" s="1"/>
  <c r="E332" i="3" l="1"/>
  <c r="H332" i="3" s="1"/>
  <c r="K332" i="3" s="1"/>
  <c r="AE332" i="3" s="1"/>
  <c r="D332" i="3"/>
  <c r="AH332" i="3"/>
  <c r="V332" i="3" l="1"/>
  <c r="A333" i="3"/>
  <c r="B333" i="3" s="1"/>
  <c r="F332" i="3"/>
  <c r="G332" i="3"/>
  <c r="I332" i="3" l="1"/>
  <c r="W332" i="3" s="1"/>
  <c r="J332" i="3"/>
  <c r="AD332" i="3" s="1"/>
  <c r="M332" i="3"/>
  <c r="N332" i="3" s="1"/>
  <c r="AA333" i="3"/>
  <c r="P333" i="3"/>
  <c r="Q333" i="3" s="1"/>
  <c r="R333" i="3" s="1"/>
  <c r="S333" i="3" s="1"/>
  <c r="Z333" i="3"/>
  <c r="AC333" i="3"/>
  <c r="T333" i="3" l="1"/>
  <c r="L332" i="3"/>
  <c r="AH333" i="3" l="1"/>
  <c r="AG333" i="3"/>
  <c r="U332" i="3"/>
  <c r="D333" i="3" s="1"/>
  <c r="Y331" i="3"/>
  <c r="E333" i="3" l="1"/>
  <c r="H333" i="3" s="1"/>
  <c r="K333" i="3" s="1"/>
  <c r="AE333" i="3" s="1"/>
  <c r="G333" i="3"/>
  <c r="F333" i="3" l="1"/>
  <c r="I333" i="3"/>
  <c r="J333" i="3"/>
  <c r="AD333" i="3" s="1"/>
  <c r="M333" i="3"/>
  <c r="N333" i="3" s="1"/>
  <c r="V333" i="3"/>
  <c r="A334" i="3"/>
  <c r="B334" i="3" s="1"/>
  <c r="W333" i="3" l="1"/>
  <c r="L333" i="3"/>
  <c r="AA334" i="3"/>
  <c r="P334" i="3"/>
  <c r="Q334" i="3" s="1"/>
  <c r="R334" i="3" s="1"/>
  <c r="S334" i="3" s="1"/>
  <c r="Z334" i="3"/>
  <c r="AC334" i="3"/>
  <c r="T334" i="3" l="1"/>
  <c r="AH334" i="3" s="1"/>
  <c r="U333" i="3"/>
  <c r="Y332" i="3"/>
  <c r="D334" i="3" l="1"/>
  <c r="G334" i="3" s="1"/>
  <c r="E334" i="3"/>
  <c r="H334" i="3" s="1"/>
  <c r="AG334" i="3"/>
  <c r="F334" i="3" l="1"/>
  <c r="I334" i="3"/>
  <c r="J334" i="3"/>
  <c r="AD334" i="3" s="1"/>
  <c r="M334" i="3"/>
  <c r="N334" i="3" s="1"/>
  <c r="K334" i="3"/>
  <c r="AE334" i="3" s="1"/>
  <c r="L334" i="3" l="1"/>
  <c r="V334" i="3"/>
  <c r="W334" i="3" s="1"/>
  <c r="A335" i="3"/>
  <c r="B335" i="3" s="1"/>
  <c r="U334" i="3" l="1"/>
  <c r="Y333" i="3"/>
  <c r="AC335" i="3"/>
  <c r="P335" i="3"/>
  <c r="Q335" i="3" s="1"/>
  <c r="R335" i="3" s="1"/>
  <c r="S335" i="3" s="1"/>
  <c r="AA335" i="3"/>
  <c r="Z335" i="3"/>
  <c r="T335" i="3" l="1"/>
  <c r="AG335" i="3" s="1"/>
  <c r="AH335" i="3" l="1"/>
  <c r="D335" i="3"/>
  <c r="E335" i="3"/>
  <c r="H335" i="3" s="1"/>
  <c r="F335" i="3" l="1"/>
  <c r="G335" i="3"/>
  <c r="K335" i="3"/>
  <c r="AE335" i="3" s="1"/>
  <c r="I335" i="3" l="1"/>
  <c r="J335" i="3"/>
  <c r="AD335" i="3" s="1"/>
  <c r="M335" i="3"/>
  <c r="N335" i="3" s="1"/>
  <c r="V335" i="3"/>
  <c r="A336" i="3"/>
  <c r="B336" i="3" s="1"/>
  <c r="W335" i="3" l="1"/>
  <c r="L335" i="3"/>
  <c r="AA336" i="3"/>
  <c r="P336" i="3"/>
  <c r="Q336" i="3" s="1"/>
  <c r="R336" i="3" s="1"/>
  <c r="S336" i="3" s="1"/>
  <c r="AC336" i="3"/>
  <c r="Z336" i="3"/>
  <c r="T336" i="3" l="1"/>
  <c r="AG336" i="3" s="1"/>
  <c r="U335" i="3"/>
  <c r="Y334" i="3"/>
  <c r="E336" i="3" l="1"/>
  <c r="H336" i="3" s="1"/>
  <c r="D336" i="3"/>
  <c r="AH336" i="3"/>
  <c r="K336" i="3" l="1"/>
  <c r="AE336" i="3" s="1"/>
  <c r="F336" i="3"/>
  <c r="G336" i="3"/>
  <c r="I336" i="3" l="1"/>
  <c r="J336" i="3"/>
  <c r="AD336" i="3" s="1"/>
  <c r="M336" i="3"/>
  <c r="N336" i="3" s="1"/>
  <c r="V336" i="3"/>
  <c r="A337" i="3"/>
  <c r="B337" i="3" s="1"/>
  <c r="W336" i="3" l="1"/>
  <c r="P337" i="3"/>
  <c r="Q337" i="3" s="1"/>
  <c r="R337" i="3" s="1"/>
  <c r="S337" i="3" s="1"/>
  <c r="AC337" i="3"/>
  <c r="AA337" i="3"/>
  <c r="Z337" i="3"/>
  <c r="L336" i="3"/>
  <c r="T337" i="3" l="1"/>
  <c r="U336" i="3"/>
  <c r="Y335" i="3"/>
  <c r="E337" i="3" l="1"/>
  <c r="H337" i="3" s="1"/>
  <c r="K337" i="3" s="1"/>
  <c r="AE337" i="3" s="1"/>
  <c r="AH337" i="3"/>
  <c r="AG337" i="3"/>
  <c r="D337" i="3"/>
  <c r="V337" i="3" l="1"/>
  <c r="A338" i="3"/>
  <c r="B338" i="3" s="1"/>
  <c r="F337" i="3"/>
  <c r="G337" i="3"/>
  <c r="I337" i="3" l="1"/>
  <c r="W337" i="3" s="1"/>
  <c r="J337" i="3"/>
  <c r="AD337" i="3" s="1"/>
  <c r="M337" i="3"/>
  <c r="N337" i="3" s="1"/>
  <c r="P338" i="3"/>
  <c r="Q338" i="3" s="1"/>
  <c r="R338" i="3" s="1"/>
  <c r="S338" i="3" s="1"/>
  <c r="Z338" i="3"/>
  <c r="AC338" i="3"/>
  <c r="AA338" i="3"/>
  <c r="T338" i="3" l="1"/>
  <c r="L337" i="3"/>
  <c r="AH338" i="3" l="1"/>
  <c r="U337" i="3"/>
  <c r="E338" i="3" s="1"/>
  <c r="H338" i="3" s="1"/>
  <c r="AG338" i="3"/>
  <c r="Y336" i="3"/>
  <c r="D338" i="3" l="1"/>
  <c r="F338" i="3" s="1"/>
  <c r="K338" i="3"/>
  <c r="AE338" i="3" s="1"/>
  <c r="G338" i="3" l="1"/>
  <c r="M338" i="3" s="1"/>
  <c r="N338" i="3" s="1"/>
  <c r="V338" i="3"/>
  <c r="A339" i="3"/>
  <c r="B339" i="3" s="1"/>
  <c r="I338" i="3" l="1"/>
  <c r="W338" i="3" s="1"/>
  <c r="J338" i="3"/>
  <c r="Z339" i="3"/>
  <c r="P339" i="3"/>
  <c r="Q339" i="3" s="1"/>
  <c r="R339" i="3" s="1"/>
  <c r="S339" i="3" s="1"/>
  <c r="AA339" i="3"/>
  <c r="AC339" i="3"/>
  <c r="L338" i="3" l="1"/>
  <c r="U338" i="3" s="1"/>
  <c r="AD338" i="3"/>
  <c r="T339" i="3"/>
  <c r="Y337" i="3" l="1"/>
  <c r="AG339" i="3"/>
  <c r="AH339" i="3"/>
  <c r="E339" i="3"/>
  <c r="H339" i="3" s="1"/>
  <c r="D339" i="3"/>
  <c r="K339" i="3" l="1"/>
  <c r="AE339" i="3" s="1"/>
  <c r="F339" i="3"/>
  <c r="G339" i="3"/>
  <c r="V339" i="3" l="1"/>
  <c r="A340" i="3"/>
  <c r="B340" i="3" s="1"/>
  <c r="I339" i="3"/>
  <c r="J339" i="3"/>
  <c r="AD339" i="3" s="1"/>
  <c r="M339" i="3"/>
  <c r="N339" i="3" s="1"/>
  <c r="W339" i="3" l="1"/>
  <c r="L339" i="3"/>
  <c r="Z340" i="3"/>
  <c r="P340" i="3"/>
  <c r="Q340" i="3" s="1"/>
  <c r="R340" i="3" s="1"/>
  <c r="S340" i="3" s="1"/>
  <c r="AC340" i="3"/>
  <c r="AA340" i="3"/>
  <c r="T340" i="3" l="1"/>
  <c r="U339" i="3"/>
  <c r="Y338" i="3"/>
  <c r="D340" i="3" l="1"/>
  <c r="G340" i="3" s="1"/>
  <c r="E340" i="3"/>
  <c r="H340" i="3" s="1"/>
  <c r="K340" i="3" s="1"/>
  <c r="AE340" i="3" s="1"/>
  <c r="AH340" i="3"/>
  <c r="AG340" i="3"/>
  <c r="F340" i="3" l="1"/>
  <c r="V340" i="3"/>
  <c r="A341" i="3"/>
  <c r="B341" i="3" s="1"/>
  <c r="I340" i="3"/>
  <c r="J340" i="3"/>
  <c r="AD340" i="3" s="1"/>
  <c r="M340" i="3"/>
  <c r="N340" i="3" s="1"/>
  <c r="W340" i="3" l="1"/>
  <c r="L340" i="3"/>
  <c r="Z341" i="3"/>
  <c r="P341" i="3"/>
  <c r="Q341" i="3" s="1"/>
  <c r="R341" i="3" s="1"/>
  <c r="S341" i="3" s="1"/>
  <c r="AA341" i="3"/>
  <c r="AC341" i="3"/>
  <c r="U340" i="3" l="1"/>
  <c r="Y339" i="3"/>
  <c r="T341" i="3"/>
  <c r="AG341" i="3" s="1"/>
  <c r="D341" i="3" l="1"/>
  <c r="AH341" i="3"/>
  <c r="E341" i="3"/>
  <c r="H341" i="3" s="1"/>
  <c r="F341" i="3" l="1"/>
  <c r="G341" i="3"/>
  <c r="K341" i="3"/>
  <c r="AE341" i="3" s="1"/>
  <c r="I341" i="3" l="1"/>
  <c r="J341" i="3"/>
  <c r="AD341" i="3" s="1"/>
  <c r="M341" i="3"/>
  <c r="N341" i="3" s="1"/>
  <c r="V341" i="3"/>
  <c r="A342" i="3"/>
  <c r="B342" i="3" s="1"/>
  <c r="L341" i="3" l="1"/>
  <c r="W341" i="3"/>
  <c r="Z342" i="3"/>
  <c r="P342" i="3"/>
  <c r="Q342" i="3" s="1"/>
  <c r="R342" i="3" s="1"/>
  <c r="S342" i="3" s="1"/>
  <c r="AA342" i="3"/>
  <c r="AC342" i="3"/>
  <c r="U341" i="3" l="1"/>
  <c r="Y340" i="3"/>
  <c r="T342" i="3"/>
  <c r="D342" i="3" l="1"/>
  <c r="G342" i="3" s="1"/>
  <c r="AH342" i="3"/>
  <c r="E342" i="3"/>
  <c r="H342" i="3" s="1"/>
  <c r="AG342" i="3"/>
  <c r="F342" i="3" l="1"/>
  <c r="I342" i="3"/>
  <c r="J342" i="3"/>
  <c r="AD342" i="3" s="1"/>
  <c r="M342" i="3"/>
  <c r="N342" i="3" s="1"/>
  <c r="K342" i="3"/>
  <c r="AE342" i="3" s="1"/>
  <c r="V342" i="3" l="1"/>
  <c r="W342" i="3" s="1"/>
  <c r="A343" i="3"/>
  <c r="B343" i="3" s="1"/>
  <c r="L342" i="3"/>
  <c r="U342" i="3" l="1"/>
  <c r="Y341" i="3"/>
  <c r="P343" i="3"/>
  <c r="Q343" i="3" s="1"/>
  <c r="R343" i="3" s="1"/>
  <c r="S343" i="3" s="1"/>
  <c r="AA343" i="3"/>
  <c r="Z343" i="3"/>
  <c r="AC343" i="3"/>
  <c r="T343" i="3" l="1"/>
  <c r="D343" i="3" s="1"/>
  <c r="E343" i="3" l="1"/>
  <c r="H343" i="3" s="1"/>
  <c r="K343" i="3" s="1"/>
  <c r="AE343" i="3" s="1"/>
  <c r="G343" i="3"/>
  <c r="AG343" i="3"/>
  <c r="AH343" i="3"/>
  <c r="F343" i="3" l="1"/>
  <c r="I343" i="3"/>
  <c r="J343" i="3"/>
  <c r="AD343" i="3" s="1"/>
  <c r="M343" i="3"/>
  <c r="N343" i="3" s="1"/>
  <c r="V343" i="3"/>
  <c r="A344" i="3"/>
  <c r="B344" i="3" s="1"/>
  <c r="W343" i="3" l="1"/>
  <c r="L343" i="3"/>
  <c r="AA344" i="3"/>
  <c r="Z344" i="3"/>
  <c r="P344" i="3"/>
  <c r="Q344" i="3" s="1"/>
  <c r="R344" i="3" s="1"/>
  <c r="S344" i="3" s="1"/>
  <c r="AC344" i="3"/>
  <c r="U343" i="3" l="1"/>
  <c r="Y342" i="3"/>
  <c r="T344" i="3"/>
  <c r="AH344" i="3" s="1"/>
  <c r="AG344" i="3" l="1"/>
  <c r="E344" i="3"/>
  <c r="H344" i="3" s="1"/>
  <c r="D344" i="3"/>
  <c r="F344" i="3" l="1"/>
  <c r="G344" i="3"/>
  <c r="K344" i="3"/>
  <c r="AE344" i="3" s="1"/>
  <c r="I344" i="3" l="1"/>
  <c r="J344" i="3"/>
  <c r="AD344" i="3" s="1"/>
  <c r="M344" i="3"/>
  <c r="N344" i="3" s="1"/>
  <c r="V344" i="3"/>
  <c r="A345" i="3"/>
  <c r="B345" i="3" s="1"/>
  <c r="W344" i="3" l="1"/>
  <c r="P345" i="3"/>
  <c r="Q345" i="3" s="1"/>
  <c r="R345" i="3" s="1"/>
  <c r="S345" i="3" s="1"/>
  <c r="Z345" i="3"/>
  <c r="AC345" i="3"/>
  <c r="AD345" i="3"/>
  <c r="AA345" i="3"/>
  <c r="L344" i="3"/>
  <c r="T345" i="3" l="1"/>
  <c r="U344" i="3"/>
  <c r="Y343" i="3"/>
  <c r="E345" i="3" l="1"/>
  <c r="H345" i="3" s="1"/>
  <c r="K345" i="3" s="1"/>
  <c r="AE345" i="3" s="1"/>
  <c r="AH345" i="3"/>
  <c r="D345" i="3"/>
  <c r="AG345" i="3"/>
  <c r="F345" i="3" l="1"/>
  <c r="G345" i="3"/>
  <c r="V345" i="3"/>
  <c r="A346" i="3"/>
  <c r="B346" i="3" s="1"/>
  <c r="AD346" i="3" l="1"/>
  <c r="AC346" i="3"/>
  <c r="P346" i="3"/>
  <c r="Q346" i="3" s="1"/>
  <c r="R346" i="3" s="1"/>
  <c r="S346" i="3" s="1"/>
  <c r="AA346" i="3"/>
  <c r="Z346" i="3"/>
  <c r="I345" i="3"/>
  <c r="W345" i="3" s="1"/>
  <c r="J345" i="3"/>
  <c r="M345" i="3"/>
  <c r="N345" i="3" s="1"/>
  <c r="L345" i="3" l="1"/>
  <c r="T346" i="3"/>
  <c r="AH346" i="3" l="1"/>
  <c r="AG346" i="3"/>
  <c r="U345" i="3"/>
  <c r="D346" i="3" s="1"/>
  <c r="Y344" i="3"/>
  <c r="G346" i="3" l="1"/>
  <c r="E346" i="3"/>
  <c r="H346" i="3" s="1"/>
  <c r="F346" i="3" l="1"/>
  <c r="I346" i="3"/>
  <c r="J346" i="3"/>
  <c r="M346" i="3"/>
  <c r="N346" i="3" s="1"/>
  <c r="K346" i="3"/>
  <c r="AE346" i="3" s="1"/>
  <c r="V346" i="3" l="1"/>
  <c r="W346" i="3" s="1"/>
  <c r="A347" i="3"/>
  <c r="B347" i="3" s="1"/>
  <c r="L346" i="3"/>
  <c r="U346" i="3" l="1"/>
  <c r="Y345" i="3"/>
  <c r="AC347" i="3"/>
  <c r="Z347" i="3"/>
  <c r="AA347" i="3"/>
  <c r="P347" i="3"/>
  <c r="Q347" i="3" s="1"/>
  <c r="R347" i="3" s="1"/>
  <c r="S347" i="3" s="1"/>
  <c r="T347" i="3" l="1"/>
  <c r="E347" i="3" s="1"/>
  <c r="H347" i="3" s="1"/>
  <c r="K347" i="3" l="1"/>
  <c r="AE347" i="3" s="1"/>
  <c r="AH347" i="3"/>
  <c r="AG347" i="3"/>
  <c r="D347" i="3"/>
  <c r="F347" i="3" l="1"/>
  <c r="G347" i="3"/>
  <c r="V347" i="3"/>
  <c r="A348" i="3"/>
  <c r="B348" i="3" s="1"/>
  <c r="I347" i="3" l="1"/>
  <c r="W347" i="3" s="1"/>
  <c r="J347" i="3"/>
  <c r="AD347" i="3" s="1"/>
  <c r="M347" i="3"/>
  <c r="N347" i="3" s="1"/>
  <c r="AC348" i="3"/>
  <c r="AA348" i="3"/>
  <c r="P348" i="3"/>
  <c r="Q348" i="3" s="1"/>
  <c r="R348" i="3" s="1"/>
  <c r="S348" i="3" s="1"/>
  <c r="AD348" i="3"/>
  <c r="Z348" i="3"/>
  <c r="L347" i="3" l="1"/>
  <c r="T348" i="3"/>
  <c r="U347" i="3" l="1"/>
  <c r="D348" i="3" s="1"/>
  <c r="AH348" i="3"/>
  <c r="AG348" i="3"/>
  <c r="Y346" i="3"/>
  <c r="E348" i="3" l="1"/>
  <c r="H348" i="3" s="1"/>
  <c r="K348" i="3" s="1"/>
  <c r="AE348" i="3" s="1"/>
  <c r="G348" i="3"/>
  <c r="F348" i="3" l="1"/>
  <c r="I348" i="3"/>
  <c r="J348" i="3"/>
  <c r="M348" i="3"/>
  <c r="N348" i="3" s="1"/>
  <c r="V348" i="3"/>
  <c r="A349" i="3"/>
  <c r="B349" i="3" s="1"/>
  <c r="W348" i="3" l="1"/>
  <c r="L348" i="3"/>
  <c r="AC349" i="3"/>
  <c r="P349" i="3"/>
  <c r="Q349" i="3" s="1"/>
  <c r="R349" i="3" s="1"/>
  <c r="S349" i="3" s="1"/>
  <c r="AA349" i="3"/>
  <c r="Z349" i="3"/>
  <c r="AD349" i="3"/>
  <c r="U348" i="3" l="1"/>
  <c r="Y347" i="3"/>
  <c r="T349" i="3"/>
  <c r="AG349" i="3" s="1"/>
  <c r="E349" i="3" l="1"/>
  <c r="H349" i="3" s="1"/>
  <c r="K349" i="3" s="1"/>
  <c r="AE349" i="3" s="1"/>
  <c r="D349" i="3"/>
  <c r="AH349" i="3"/>
  <c r="V349" i="3" l="1"/>
  <c r="A350" i="3"/>
  <c r="B350" i="3" s="1"/>
  <c r="F349" i="3"/>
  <c r="G349" i="3"/>
  <c r="I349" i="3" l="1"/>
  <c r="W349" i="3" s="1"/>
  <c r="J349" i="3"/>
  <c r="M349" i="3"/>
  <c r="N349" i="3" s="1"/>
  <c r="AD350" i="3"/>
  <c r="P350" i="3"/>
  <c r="Q350" i="3" s="1"/>
  <c r="R350" i="3" s="1"/>
  <c r="S350" i="3" s="1"/>
  <c r="Z350" i="3"/>
  <c r="AC350" i="3"/>
  <c r="AA350" i="3"/>
  <c r="T350" i="3" l="1"/>
  <c r="L349" i="3"/>
  <c r="U349" i="3" l="1"/>
  <c r="D350" i="3" s="1"/>
  <c r="AG350" i="3"/>
  <c r="AH350" i="3"/>
  <c r="Y348" i="3"/>
  <c r="E350" i="3" l="1"/>
  <c r="H350" i="3" s="1"/>
  <c r="K350" i="3" s="1"/>
  <c r="AE350" i="3" s="1"/>
  <c r="G350" i="3"/>
  <c r="F350" i="3" l="1"/>
  <c r="V350" i="3"/>
  <c r="A351" i="3"/>
  <c r="B351" i="3" s="1"/>
  <c r="I350" i="3"/>
  <c r="J350" i="3"/>
  <c r="M350" i="3"/>
  <c r="N350" i="3" s="1"/>
  <c r="W350" i="3" l="1"/>
  <c r="L350" i="3"/>
  <c r="AA351" i="3"/>
  <c r="P351" i="3"/>
  <c r="Q351" i="3" s="1"/>
  <c r="R351" i="3" s="1"/>
  <c r="S351" i="3" s="1"/>
  <c r="Z351" i="3"/>
  <c r="AC351" i="3"/>
  <c r="AD351" i="3"/>
  <c r="U350" i="3" l="1"/>
  <c r="Y349" i="3"/>
  <c r="T351" i="3"/>
  <c r="D351" i="3" l="1"/>
  <c r="G351" i="3" s="1"/>
  <c r="AH351" i="3"/>
  <c r="E351" i="3"/>
  <c r="H351" i="3" s="1"/>
  <c r="K351" i="3" s="1"/>
  <c r="AE351" i="3" s="1"/>
  <c r="AG351" i="3"/>
  <c r="F351" i="3" l="1"/>
  <c r="V351" i="3"/>
  <c r="A352" i="3"/>
  <c r="B352" i="3" s="1"/>
  <c r="I351" i="3"/>
  <c r="J351" i="3"/>
  <c r="M351" i="3"/>
  <c r="N351" i="3" s="1"/>
  <c r="L351" i="3" l="1"/>
  <c r="W351" i="3"/>
  <c r="AC352" i="3"/>
  <c r="AD352" i="3"/>
  <c r="P352" i="3"/>
  <c r="Q352" i="3" s="1"/>
  <c r="R352" i="3" s="1"/>
  <c r="S352" i="3" s="1"/>
  <c r="AA352" i="3"/>
  <c r="Z352" i="3"/>
  <c r="U351" i="3" l="1"/>
  <c r="Y350" i="3"/>
  <c r="T352" i="3"/>
  <c r="E352" i="3" l="1"/>
  <c r="H352" i="3" s="1"/>
  <c r="K352" i="3" s="1"/>
  <c r="AE352" i="3" s="1"/>
  <c r="AH352" i="3"/>
  <c r="D352" i="3"/>
  <c r="AG352" i="3"/>
  <c r="F352" i="3" l="1"/>
  <c r="G352" i="3"/>
  <c r="V352" i="3"/>
  <c r="A353" i="3"/>
  <c r="B353" i="3" s="1"/>
  <c r="AC353" i="3" l="1"/>
  <c r="AD353" i="3"/>
  <c r="AA353" i="3"/>
  <c r="P353" i="3"/>
  <c r="Q353" i="3" s="1"/>
  <c r="R353" i="3" s="1"/>
  <c r="S353" i="3" s="1"/>
  <c r="Z353" i="3"/>
  <c r="I352" i="3"/>
  <c r="W352" i="3" s="1"/>
  <c r="J352" i="3"/>
  <c r="M352" i="3"/>
  <c r="N352" i="3" s="1"/>
  <c r="T353" i="3" l="1"/>
  <c r="L352" i="3"/>
  <c r="U352" i="3" l="1"/>
  <c r="D353" i="3" s="1"/>
  <c r="AH353" i="3"/>
  <c r="AG353" i="3"/>
  <c r="Y351" i="3"/>
  <c r="E353" i="3" l="1"/>
  <c r="H353" i="3" s="1"/>
  <c r="K353" i="3" s="1"/>
  <c r="AE353" i="3" s="1"/>
  <c r="G353" i="3"/>
  <c r="F353" i="3" l="1"/>
  <c r="I353" i="3"/>
  <c r="J353" i="3"/>
  <c r="M353" i="3"/>
  <c r="N353" i="3" s="1"/>
  <c r="V353" i="3"/>
  <c r="A354" i="3"/>
  <c r="B354" i="3" s="1"/>
  <c r="W353" i="3" l="1"/>
  <c r="L353" i="3"/>
  <c r="P354" i="3"/>
  <c r="Q354" i="3" s="1"/>
  <c r="R354" i="3" s="1"/>
  <c r="S354" i="3" s="1"/>
  <c r="AC354" i="3"/>
  <c r="Z354" i="3"/>
  <c r="AA354" i="3"/>
  <c r="U353" i="3" l="1"/>
  <c r="Y352" i="3"/>
  <c r="T354" i="3"/>
  <c r="AG354" i="3" s="1"/>
  <c r="D354" i="3" l="1"/>
  <c r="AH354" i="3"/>
  <c r="E354" i="3"/>
  <c r="H354" i="3" s="1"/>
  <c r="F354" i="3" l="1"/>
  <c r="G354" i="3"/>
  <c r="K354" i="3"/>
  <c r="AE354" i="3" s="1"/>
  <c r="V354" i="3" l="1"/>
  <c r="A355" i="3"/>
  <c r="B355" i="3" s="1"/>
  <c r="I354" i="3"/>
  <c r="J354" i="3"/>
  <c r="AD354" i="3" s="1"/>
  <c r="M354" i="3"/>
  <c r="N354" i="3" s="1"/>
  <c r="W354" i="3" l="1"/>
  <c r="L354" i="3"/>
  <c r="AA355" i="3"/>
  <c r="AC355" i="3"/>
  <c r="Z355" i="3"/>
  <c r="P355" i="3"/>
  <c r="Q355" i="3" s="1"/>
  <c r="R355" i="3" s="1"/>
  <c r="S355" i="3" s="1"/>
  <c r="T355" i="3" l="1"/>
  <c r="U354" i="3"/>
  <c r="Y353" i="3"/>
  <c r="D355" i="3" l="1"/>
  <c r="G355" i="3" s="1"/>
  <c r="AG355" i="3"/>
  <c r="E355" i="3"/>
  <c r="H355" i="3" s="1"/>
  <c r="K355" i="3" s="1"/>
  <c r="AE355" i="3" s="1"/>
  <c r="AH355" i="3"/>
  <c r="F355" i="3" l="1"/>
  <c r="V355" i="3"/>
  <c r="A356" i="3"/>
  <c r="B356" i="3" s="1"/>
  <c r="I355" i="3"/>
  <c r="J355" i="3"/>
  <c r="AD355" i="3" s="1"/>
  <c r="M355" i="3"/>
  <c r="N355" i="3" s="1"/>
  <c r="W355" i="3" l="1"/>
  <c r="L355" i="3"/>
  <c r="P356" i="3"/>
  <c r="Q356" i="3" s="1"/>
  <c r="R356" i="3" s="1"/>
  <c r="S356" i="3" s="1"/>
  <c r="AA356" i="3"/>
  <c r="Z356" i="3"/>
  <c r="AC356" i="3"/>
  <c r="U355" i="3" l="1"/>
  <c r="Y354" i="3"/>
  <c r="T356" i="3"/>
  <c r="AG356" i="3" s="1"/>
  <c r="AH356" i="3" l="1"/>
  <c r="D356" i="3"/>
  <c r="E356" i="3"/>
  <c r="H356" i="3" s="1"/>
  <c r="K356" i="3" s="1"/>
  <c r="AE356" i="3" s="1"/>
  <c r="F356" i="3" l="1"/>
  <c r="G356" i="3"/>
  <c r="M356" i="3" s="1"/>
  <c r="N356" i="3" s="1"/>
  <c r="V356" i="3"/>
  <c r="A357" i="3"/>
  <c r="B357" i="3" s="1"/>
  <c r="I356" i="3" l="1"/>
  <c r="W356" i="3" s="1"/>
  <c r="J356" i="3"/>
  <c r="Z357" i="3"/>
  <c r="P357" i="3"/>
  <c r="Q357" i="3" s="1"/>
  <c r="R357" i="3" s="1"/>
  <c r="S357" i="3" s="1"/>
  <c r="AC357" i="3"/>
  <c r="AA357" i="3"/>
  <c r="L356" i="3" l="1"/>
  <c r="U356" i="3" s="1"/>
  <c r="AD356" i="3"/>
  <c r="T357" i="3"/>
  <c r="Y355" i="3" l="1"/>
  <c r="AG357" i="3"/>
  <c r="AH357" i="3"/>
  <c r="E357" i="3"/>
  <c r="H357" i="3" s="1"/>
  <c r="D357" i="3"/>
  <c r="F357" i="3" l="1"/>
  <c r="G357" i="3"/>
  <c r="K357" i="3"/>
  <c r="AE357" i="3" s="1"/>
  <c r="V357" i="3" l="1"/>
  <c r="A358" i="3"/>
  <c r="B358" i="3" s="1"/>
  <c r="I357" i="3"/>
  <c r="J357" i="3"/>
  <c r="AD357" i="3" s="1"/>
  <c r="M357" i="3"/>
  <c r="N357" i="3" s="1"/>
  <c r="W357" i="3" l="1"/>
  <c r="L357" i="3"/>
  <c r="P358" i="3"/>
  <c r="Q358" i="3" s="1"/>
  <c r="R358" i="3" s="1"/>
  <c r="S358" i="3" s="1"/>
  <c r="Z358" i="3"/>
  <c r="AA358" i="3"/>
  <c r="AC358" i="3"/>
  <c r="T358" i="3" l="1"/>
  <c r="AH358" i="3" s="1"/>
  <c r="U357" i="3"/>
  <c r="Y356" i="3"/>
  <c r="D358" i="3" l="1"/>
  <c r="G358" i="3" s="1"/>
  <c r="E358" i="3"/>
  <c r="H358" i="3" s="1"/>
  <c r="AG358" i="3"/>
  <c r="I358" i="3" l="1"/>
  <c r="J358" i="3"/>
  <c r="AD358" i="3" s="1"/>
  <c r="M358" i="3"/>
  <c r="N358" i="3" s="1"/>
  <c r="F358" i="3"/>
  <c r="K358" i="3"/>
  <c r="AE358" i="3" s="1"/>
  <c r="V358" i="3" l="1"/>
  <c r="W358" i="3" s="1"/>
  <c r="A359" i="3"/>
  <c r="B359" i="3" s="1"/>
  <c r="L358" i="3"/>
  <c r="U358" i="3" l="1"/>
  <c r="Y357" i="3"/>
  <c r="P359" i="3"/>
  <c r="Q359" i="3" s="1"/>
  <c r="R359" i="3" s="1"/>
  <c r="S359" i="3" s="1"/>
  <c r="AC359" i="3"/>
  <c r="AA359" i="3"/>
  <c r="Z359" i="3"/>
  <c r="T359" i="3" l="1"/>
  <c r="AG359" i="3" s="1"/>
  <c r="AH359" i="3" l="1"/>
  <c r="E359" i="3"/>
  <c r="H359" i="3" s="1"/>
  <c r="D359" i="3"/>
  <c r="K359" i="3" l="1"/>
  <c r="AE359" i="3" s="1"/>
  <c r="F359" i="3"/>
  <c r="G359" i="3"/>
  <c r="I359" i="3" l="1"/>
  <c r="J359" i="3"/>
  <c r="AD359" i="3" s="1"/>
  <c r="M359" i="3"/>
  <c r="N359" i="3" s="1"/>
  <c r="V359" i="3"/>
  <c r="A360" i="3"/>
  <c r="B360" i="3" s="1"/>
  <c r="W359" i="3" l="1"/>
  <c r="L359" i="3"/>
  <c r="AC360" i="3"/>
  <c r="AA360" i="3"/>
  <c r="P360" i="3"/>
  <c r="Q360" i="3" s="1"/>
  <c r="R360" i="3" s="1"/>
  <c r="S360" i="3" s="1"/>
  <c r="Z360" i="3"/>
  <c r="T360" i="3" l="1"/>
  <c r="AH360" i="3" s="1"/>
  <c r="U359" i="3"/>
  <c r="Y358" i="3"/>
  <c r="E360" i="3" l="1"/>
  <c r="H360" i="3" s="1"/>
  <c r="K360" i="3" s="1"/>
  <c r="AE360" i="3" s="1"/>
  <c r="AG360" i="3"/>
  <c r="D360" i="3"/>
  <c r="F360" i="3" l="1"/>
  <c r="G360" i="3"/>
  <c r="V360" i="3"/>
  <c r="A361" i="3"/>
  <c r="B361" i="3" s="1"/>
  <c r="Z361" i="3" l="1"/>
  <c r="P361" i="3"/>
  <c r="Q361" i="3" s="1"/>
  <c r="R361" i="3" s="1"/>
  <c r="S361" i="3" s="1"/>
  <c r="AC361" i="3"/>
  <c r="AA361" i="3"/>
  <c r="I360" i="3"/>
  <c r="W360" i="3" s="1"/>
  <c r="J360" i="3"/>
  <c r="AD360" i="3" s="1"/>
  <c r="M360" i="3"/>
  <c r="N360" i="3" s="1"/>
  <c r="T361" i="3" l="1"/>
  <c r="L360" i="3"/>
  <c r="AG361" i="3" l="1"/>
  <c r="AH361" i="3"/>
  <c r="U360" i="3"/>
  <c r="E361" i="3" s="1"/>
  <c r="H361" i="3" s="1"/>
  <c r="Y359" i="3"/>
  <c r="D361" i="3" l="1"/>
  <c r="G361" i="3" s="1"/>
  <c r="K361" i="3"/>
  <c r="AE361" i="3" s="1"/>
  <c r="F361" i="3" l="1"/>
  <c r="I361" i="3"/>
  <c r="J361" i="3"/>
  <c r="AD361" i="3" s="1"/>
  <c r="M361" i="3"/>
  <c r="N361" i="3" s="1"/>
  <c r="V361" i="3"/>
  <c r="A362" i="3"/>
  <c r="B362" i="3" s="1"/>
  <c r="W361" i="3" l="1"/>
  <c r="L361" i="3"/>
  <c r="AC362" i="3"/>
  <c r="Z362" i="3"/>
  <c r="P362" i="3"/>
  <c r="Q362" i="3" s="1"/>
  <c r="R362" i="3" s="1"/>
  <c r="S362" i="3" s="1"/>
  <c r="AA362" i="3"/>
  <c r="U361" i="3" l="1"/>
  <c r="Y360" i="3"/>
  <c r="T362" i="3"/>
  <c r="AH362" i="3" s="1"/>
  <c r="D362" i="3" l="1"/>
  <c r="G362" i="3" s="1"/>
  <c r="E362" i="3"/>
  <c r="H362" i="3" s="1"/>
  <c r="K362" i="3" s="1"/>
  <c r="AE362" i="3" s="1"/>
  <c r="AG362" i="3"/>
  <c r="F362" i="3" l="1"/>
  <c r="I362" i="3"/>
  <c r="J362" i="3"/>
  <c r="AD362" i="3" s="1"/>
  <c r="M362" i="3"/>
  <c r="N362" i="3" s="1"/>
  <c r="V362" i="3"/>
  <c r="A363" i="3"/>
  <c r="B363" i="3" s="1"/>
  <c r="W362" i="3" l="1"/>
  <c r="L362" i="3"/>
  <c r="P363" i="3"/>
  <c r="Q363" i="3" s="1"/>
  <c r="R363" i="3" s="1"/>
  <c r="S363" i="3" s="1"/>
  <c r="AA363" i="3"/>
  <c r="Z363" i="3"/>
  <c r="AC363" i="3"/>
  <c r="T363" i="3" l="1"/>
  <c r="U362" i="3"/>
  <c r="Y361" i="3"/>
  <c r="E363" i="3" l="1"/>
  <c r="H363" i="3" s="1"/>
  <c r="K363" i="3" s="1"/>
  <c r="AE363" i="3" s="1"/>
  <c r="AH363" i="3"/>
  <c r="D363" i="3"/>
  <c r="AG363" i="3"/>
  <c r="F363" i="3" l="1"/>
  <c r="G363" i="3"/>
  <c r="M363" i="3" s="1"/>
  <c r="N363" i="3" s="1"/>
  <c r="V363" i="3"/>
  <c r="A364" i="3"/>
  <c r="B364" i="3" s="1"/>
  <c r="I363" i="3" l="1"/>
  <c r="W363" i="3" s="1"/>
  <c r="J363" i="3"/>
  <c r="P364" i="3"/>
  <c r="Q364" i="3" s="1"/>
  <c r="R364" i="3" s="1"/>
  <c r="S364" i="3" s="1"/>
  <c r="Z364" i="3"/>
  <c r="AC364" i="3"/>
  <c r="AA364" i="3"/>
  <c r="L363" i="3" l="1"/>
  <c r="U363" i="3" s="1"/>
  <c r="AD363" i="3"/>
  <c r="T364" i="3"/>
  <c r="Y362" i="3" l="1"/>
  <c r="D364" i="3"/>
  <c r="G364" i="3" s="1"/>
  <c r="E364" i="3"/>
  <c r="H364" i="3" s="1"/>
  <c r="K364" i="3" s="1"/>
  <c r="AE364" i="3" s="1"/>
  <c r="AG364" i="3"/>
  <c r="AH364" i="3"/>
  <c r="F364" i="3" l="1"/>
  <c r="V364" i="3"/>
  <c r="A365" i="3"/>
  <c r="B365" i="3" s="1"/>
  <c r="I364" i="3"/>
  <c r="J364" i="3"/>
  <c r="AD364" i="3" s="1"/>
  <c r="M364" i="3"/>
  <c r="N364" i="3" s="1"/>
  <c r="W364" i="3" l="1"/>
  <c r="L364" i="3"/>
  <c r="AC365" i="3"/>
  <c r="P365" i="3"/>
  <c r="Q365" i="3" s="1"/>
  <c r="R365" i="3" s="1"/>
  <c r="S365" i="3" s="1"/>
  <c r="AA365" i="3"/>
  <c r="Z365" i="3"/>
  <c r="U364" i="3" l="1"/>
  <c r="Y363" i="3"/>
  <c r="T365" i="3"/>
  <c r="AH365" i="3" s="1"/>
  <c r="D365" i="3" l="1"/>
  <c r="G365" i="3" s="1"/>
  <c r="AG365" i="3"/>
  <c r="E365" i="3"/>
  <c r="H365" i="3" s="1"/>
  <c r="K365" i="3" s="1"/>
  <c r="AE365" i="3" s="1"/>
  <c r="F365" i="3" l="1"/>
  <c r="I365" i="3"/>
  <c r="J365" i="3"/>
  <c r="AD365" i="3" s="1"/>
  <c r="M365" i="3"/>
  <c r="N365" i="3" s="1"/>
  <c r="V365" i="3"/>
  <c r="A366" i="3"/>
  <c r="B366" i="3" s="1"/>
  <c r="W365" i="3" l="1"/>
  <c r="L365" i="3"/>
  <c r="AC366" i="3"/>
  <c r="P366" i="3"/>
  <c r="Q366" i="3" s="1"/>
  <c r="R366" i="3" s="1"/>
  <c r="S366" i="3" s="1"/>
  <c r="AA366" i="3"/>
  <c r="Z366" i="3"/>
  <c r="U365" i="3" l="1"/>
  <c r="Y364" i="3"/>
  <c r="T366" i="3"/>
  <c r="E366" i="3" l="1"/>
  <c r="H366" i="3" s="1"/>
  <c r="K366" i="3" s="1"/>
  <c r="AE366" i="3" s="1"/>
  <c r="AH366" i="3"/>
  <c r="D366" i="3"/>
  <c r="G366" i="3" s="1"/>
  <c r="AG366" i="3"/>
  <c r="F366" i="3" l="1"/>
  <c r="V366" i="3"/>
  <c r="A367" i="3"/>
  <c r="B367" i="3" s="1"/>
  <c r="I366" i="3"/>
  <c r="J366" i="3"/>
  <c r="AD366" i="3" s="1"/>
  <c r="M366" i="3"/>
  <c r="N366" i="3" s="1"/>
  <c r="W366" i="3" l="1"/>
  <c r="L366" i="3"/>
  <c r="Z367" i="3"/>
  <c r="P367" i="3"/>
  <c r="Q367" i="3" s="1"/>
  <c r="R367" i="3" s="1"/>
  <c r="S367" i="3" s="1"/>
  <c r="AC367" i="3"/>
  <c r="AA367" i="3"/>
  <c r="T367" i="3" l="1"/>
  <c r="AG367" i="3" s="1"/>
  <c r="U366" i="3"/>
  <c r="Y365" i="3"/>
  <c r="D367" i="3" l="1"/>
  <c r="AH367" i="3"/>
  <c r="E367" i="3"/>
  <c r="H367" i="3" s="1"/>
  <c r="F367" i="3" l="1"/>
  <c r="G367" i="3"/>
  <c r="K367" i="3"/>
  <c r="AE367" i="3" s="1"/>
  <c r="I367" i="3" l="1"/>
  <c r="J367" i="3"/>
  <c r="AD367" i="3" s="1"/>
  <c r="M367" i="3"/>
  <c r="N367" i="3" s="1"/>
  <c r="V367" i="3"/>
  <c r="A368" i="3"/>
  <c r="B368" i="3" s="1"/>
  <c r="L367" i="3" l="1"/>
  <c r="W367" i="3"/>
  <c r="Z368" i="3"/>
  <c r="P368" i="3"/>
  <c r="Q368" i="3" s="1"/>
  <c r="R368" i="3" s="1"/>
  <c r="S368" i="3" s="1"/>
  <c r="AC368" i="3"/>
  <c r="AA368" i="3"/>
  <c r="T368" i="3" l="1"/>
  <c r="AH368" i="3" s="1"/>
  <c r="U367" i="3"/>
  <c r="Y366" i="3"/>
  <c r="E368" i="3" l="1"/>
  <c r="H368" i="3" s="1"/>
  <c r="K368" i="3" s="1"/>
  <c r="AE368" i="3" s="1"/>
  <c r="D368" i="3"/>
  <c r="AG368" i="3"/>
  <c r="V368" i="3" l="1"/>
  <c r="A369" i="3"/>
  <c r="B369" i="3" s="1"/>
  <c r="F368" i="3"/>
  <c r="G368" i="3"/>
  <c r="I368" i="3" l="1"/>
  <c r="W368" i="3" s="1"/>
  <c r="J368" i="3"/>
  <c r="AD368" i="3" s="1"/>
  <c r="M368" i="3"/>
  <c r="N368" i="3" s="1"/>
  <c r="Z369" i="3"/>
  <c r="AC369" i="3"/>
  <c r="P369" i="3"/>
  <c r="Q369" i="3" s="1"/>
  <c r="R369" i="3" s="1"/>
  <c r="S369" i="3" s="1"/>
  <c r="AA369" i="3"/>
  <c r="T369" i="3" l="1"/>
  <c r="L368" i="3"/>
  <c r="AH369" i="3" l="1"/>
  <c r="AG369" i="3"/>
  <c r="U368" i="3"/>
  <c r="E369" i="3" s="1"/>
  <c r="H369" i="3" s="1"/>
  <c r="Y367" i="3"/>
  <c r="D369" i="3" l="1"/>
  <c r="F369" i="3" s="1"/>
  <c r="K369" i="3"/>
  <c r="AE369" i="3" s="1"/>
  <c r="G369" i="3" l="1"/>
  <c r="M369" i="3" s="1"/>
  <c r="N369" i="3" s="1"/>
  <c r="V369" i="3"/>
  <c r="A370" i="3"/>
  <c r="B370" i="3" s="1"/>
  <c r="J369" i="3" l="1"/>
  <c r="I369" i="3"/>
  <c r="W369" i="3" s="1"/>
  <c r="AA370" i="3"/>
  <c r="P370" i="3"/>
  <c r="Q370" i="3" s="1"/>
  <c r="R370" i="3" s="1"/>
  <c r="S370" i="3" s="1"/>
  <c r="AC370" i="3"/>
  <c r="Z370" i="3"/>
  <c r="L369" i="3" l="1"/>
  <c r="U369" i="3" s="1"/>
  <c r="AD369" i="3"/>
  <c r="T370" i="3"/>
  <c r="AG370" i="3" l="1"/>
  <c r="Y368" i="3"/>
  <c r="E370" i="3"/>
  <c r="H370" i="3" s="1"/>
  <c r="K370" i="3" s="1"/>
  <c r="AE370" i="3" s="1"/>
  <c r="AH370" i="3"/>
  <c r="D370" i="3"/>
  <c r="F370" i="3" l="1"/>
  <c r="G370" i="3"/>
  <c r="M370" i="3" s="1"/>
  <c r="N370" i="3" s="1"/>
  <c r="V370" i="3"/>
  <c r="A371" i="3"/>
  <c r="B371" i="3" s="1"/>
  <c r="I370" i="3" l="1"/>
  <c r="W370" i="3" s="1"/>
  <c r="J370" i="3"/>
  <c r="AC371" i="3"/>
  <c r="P371" i="3"/>
  <c r="Q371" i="3" s="1"/>
  <c r="R371" i="3" s="1"/>
  <c r="S371" i="3" s="1"/>
  <c r="AA371" i="3"/>
  <c r="Z371" i="3"/>
  <c r="L370" i="3" l="1"/>
  <c r="U370" i="3" s="1"/>
  <c r="AD370" i="3"/>
  <c r="T371" i="3"/>
  <c r="Y369" i="3" l="1"/>
  <c r="AG371" i="3"/>
  <c r="E371" i="3"/>
  <c r="H371" i="3" s="1"/>
  <c r="K371" i="3" s="1"/>
  <c r="AE371" i="3" s="1"/>
  <c r="D371" i="3"/>
  <c r="AH371" i="3"/>
  <c r="V371" i="3" l="1"/>
  <c r="A372" i="3"/>
  <c r="B372" i="3" s="1"/>
  <c r="F371" i="3"/>
  <c r="G371" i="3"/>
  <c r="I371" i="3" l="1"/>
  <c r="W371" i="3" s="1"/>
  <c r="J371" i="3"/>
  <c r="AD371" i="3" s="1"/>
  <c r="M371" i="3"/>
  <c r="N371" i="3" s="1"/>
  <c r="P372" i="3"/>
  <c r="Q372" i="3" s="1"/>
  <c r="R372" i="3" s="1"/>
  <c r="S372" i="3" s="1"/>
  <c r="AA372" i="3"/>
  <c r="AC372" i="3"/>
  <c r="Z372" i="3"/>
  <c r="L371" i="3" l="1"/>
  <c r="T372" i="3"/>
  <c r="U371" i="3" l="1"/>
  <c r="E372" i="3" s="1"/>
  <c r="H372" i="3" s="1"/>
  <c r="AG372" i="3"/>
  <c r="AH372" i="3"/>
  <c r="Y370" i="3"/>
  <c r="D372" i="3" l="1"/>
  <c r="F372" i="3" s="1"/>
  <c r="K372" i="3"/>
  <c r="AE372" i="3" s="1"/>
  <c r="G372" i="3" l="1"/>
  <c r="M372" i="3" s="1"/>
  <c r="N372" i="3" s="1"/>
  <c r="V372" i="3"/>
  <c r="A373" i="3"/>
  <c r="B373" i="3" s="1"/>
  <c r="J372" i="3" l="1"/>
  <c r="I372" i="3"/>
  <c r="W372" i="3" s="1"/>
  <c r="Z373" i="3"/>
  <c r="AC373" i="3"/>
  <c r="P373" i="3"/>
  <c r="Q373" i="3" s="1"/>
  <c r="R373" i="3" s="1"/>
  <c r="S373" i="3" s="1"/>
  <c r="AA373" i="3"/>
  <c r="L372" i="3" l="1"/>
  <c r="U372" i="3" s="1"/>
  <c r="AD372" i="3"/>
  <c r="T373" i="3"/>
  <c r="AH373" i="3" l="1"/>
  <c r="Y371" i="3"/>
  <c r="D373" i="3"/>
  <c r="G373" i="3" s="1"/>
  <c r="E373" i="3"/>
  <c r="H373" i="3" s="1"/>
  <c r="AG373" i="3"/>
  <c r="F373" i="3" l="1"/>
  <c r="I373" i="3"/>
  <c r="J373" i="3"/>
  <c r="AD373" i="3" s="1"/>
  <c r="M373" i="3"/>
  <c r="N373" i="3" s="1"/>
  <c r="K373" i="3"/>
  <c r="AE373" i="3" s="1"/>
  <c r="V373" i="3" l="1"/>
  <c r="W373" i="3" s="1"/>
  <c r="A374" i="3"/>
  <c r="B374" i="3" s="1"/>
  <c r="L373" i="3"/>
  <c r="U373" i="3" l="1"/>
  <c r="Y372" i="3"/>
  <c r="AA374" i="3"/>
  <c r="AC374" i="3"/>
  <c r="Z374" i="3"/>
  <c r="P374" i="3"/>
  <c r="Q374" i="3" s="1"/>
  <c r="R374" i="3" s="1"/>
  <c r="S374" i="3" s="1"/>
  <c r="T374" i="3" l="1"/>
  <c r="AH374" i="3" s="1"/>
  <c r="AG374" i="3" l="1"/>
  <c r="E374" i="3"/>
  <c r="H374" i="3" s="1"/>
  <c r="K374" i="3" s="1"/>
  <c r="AE374" i="3" s="1"/>
  <c r="D374" i="3"/>
  <c r="F374" i="3" l="1"/>
  <c r="G374" i="3"/>
  <c r="I374" i="3" s="1"/>
  <c r="V374" i="3"/>
  <c r="A375" i="3"/>
  <c r="B375" i="3" s="1"/>
  <c r="J374" i="3" l="1"/>
  <c r="M374" i="3"/>
  <c r="N374" i="3" s="1"/>
  <c r="W374" i="3"/>
  <c r="P375" i="3"/>
  <c r="Q375" i="3" s="1"/>
  <c r="R375" i="3" s="1"/>
  <c r="S375" i="3" s="1"/>
  <c r="Z375" i="3"/>
  <c r="AC375" i="3"/>
  <c r="AA375" i="3"/>
  <c r="L374" i="3" l="1"/>
  <c r="Y373" i="3" s="1"/>
  <c r="AD374" i="3"/>
  <c r="T375" i="3"/>
  <c r="U374" i="3" l="1"/>
  <c r="E375" i="3" s="1"/>
  <c r="H375" i="3" s="1"/>
  <c r="K375" i="3" s="1"/>
  <c r="AE375" i="3" s="1"/>
  <c r="AG375" i="3"/>
  <c r="AH375" i="3"/>
  <c r="D375" i="3" l="1"/>
  <c r="G375" i="3" s="1"/>
  <c r="I375" i="3" s="1"/>
  <c r="V375" i="3"/>
  <c r="A376" i="3"/>
  <c r="B376" i="3" s="1"/>
  <c r="M375" i="3" l="1"/>
  <c r="N375" i="3" s="1"/>
  <c r="F375" i="3"/>
  <c r="J375" i="3"/>
  <c r="W375" i="3"/>
  <c r="AA376" i="3"/>
  <c r="P376" i="3"/>
  <c r="Q376" i="3" s="1"/>
  <c r="R376" i="3" s="1"/>
  <c r="S376" i="3" s="1"/>
  <c r="AC376" i="3"/>
  <c r="Z376" i="3"/>
  <c r="L375" i="3" l="1"/>
  <c r="U375" i="3" s="1"/>
  <c r="AD375" i="3"/>
  <c r="T376" i="3"/>
  <c r="Y374" i="3" l="1"/>
  <c r="D376" i="3"/>
  <c r="G376" i="3" s="1"/>
  <c r="AG376" i="3"/>
  <c r="AH376" i="3"/>
  <c r="E376" i="3"/>
  <c r="H376" i="3" s="1"/>
  <c r="F376" i="3" l="1"/>
  <c r="I376" i="3"/>
  <c r="J376" i="3"/>
  <c r="AD376" i="3" s="1"/>
  <c r="M376" i="3"/>
  <c r="N376" i="3" s="1"/>
  <c r="K376" i="3"/>
  <c r="AE376" i="3" s="1"/>
  <c r="V376" i="3" l="1"/>
  <c r="W376" i="3" s="1"/>
  <c r="A377" i="3"/>
  <c r="B377" i="3" s="1"/>
  <c r="L376" i="3"/>
  <c r="AC377" i="3" l="1"/>
  <c r="AA377" i="3"/>
  <c r="P377" i="3"/>
  <c r="Q377" i="3" s="1"/>
  <c r="R377" i="3" s="1"/>
  <c r="S377" i="3" s="1"/>
  <c r="Z377" i="3"/>
  <c r="U376" i="3"/>
  <c r="Y375" i="3"/>
  <c r="T377" i="3" l="1"/>
  <c r="AH377" i="3" s="1"/>
  <c r="E377" i="3" l="1"/>
  <c r="H377" i="3" s="1"/>
  <c r="K377" i="3" s="1"/>
  <c r="AE377" i="3" s="1"/>
  <c r="D377" i="3"/>
  <c r="AG377" i="3"/>
  <c r="F377" i="3" l="1"/>
  <c r="G377" i="3"/>
  <c r="M377" i="3" s="1"/>
  <c r="N377" i="3" s="1"/>
  <c r="V377" i="3"/>
  <c r="A378" i="3"/>
  <c r="B378" i="3" s="1"/>
  <c r="I377" i="3" l="1"/>
  <c r="W377" i="3" s="1"/>
  <c r="J377" i="3"/>
  <c r="Z378" i="3"/>
  <c r="AC378" i="3"/>
  <c r="P378" i="3"/>
  <c r="Q378" i="3" s="1"/>
  <c r="R378" i="3" s="1"/>
  <c r="S378" i="3" s="1"/>
  <c r="AA378" i="3"/>
  <c r="L377" i="3" l="1"/>
  <c r="U377" i="3" s="1"/>
  <c r="AD377" i="3"/>
  <c r="T378" i="3"/>
  <c r="Y376" i="3" l="1"/>
  <c r="D378" i="3"/>
  <c r="G378" i="3" s="1"/>
  <c r="AG378" i="3"/>
  <c r="E378" i="3"/>
  <c r="H378" i="3" s="1"/>
  <c r="K378" i="3" s="1"/>
  <c r="AE378" i="3" s="1"/>
  <c r="AH378" i="3"/>
  <c r="F378" i="3" l="1"/>
  <c r="V378" i="3"/>
  <c r="A379" i="3"/>
  <c r="B379" i="3" s="1"/>
  <c r="I378" i="3"/>
  <c r="J378" i="3"/>
  <c r="AD378" i="3" s="1"/>
  <c r="M378" i="3"/>
  <c r="N378" i="3" s="1"/>
  <c r="W378" i="3" l="1"/>
  <c r="L378" i="3"/>
  <c r="Z379" i="3"/>
  <c r="AA379" i="3"/>
  <c r="P379" i="3"/>
  <c r="Q379" i="3" s="1"/>
  <c r="R379" i="3" s="1"/>
  <c r="S379" i="3" s="1"/>
  <c r="AC379" i="3"/>
  <c r="U378" i="3" l="1"/>
  <c r="Y377" i="3"/>
  <c r="T379" i="3"/>
  <c r="AH379" i="3" s="1"/>
  <c r="E379" i="3" l="1"/>
  <c r="H379" i="3" s="1"/>
  <c r="K379" i="3" s="1"/>
  <c r="AE379" i="3" s="1"/>
  <c r="D379" i="3"/>
  <c r="G379" i="3" s="1"/>
  <c r="AG379" i="3"/>
  <c r="F379" i="3" l="1"/>
  <c r="I379" i="3"/>
  <c r="J379" i="3"/>
  <c r="AD379" i="3" s="1"/>
  <c r="M379" i="3"/>
  <c r="N379" i="3" s="1"/>
  <c r="V379" i="3"/>
  <c r="A380" i="3"/>
  <c r="B380" i="3" s="1"/>
  <c r="W379" i="3" l="1"/>
  <c r="L379" i="3"/>
  <c r="Z380" i="3"/>
  <c r="P380" i="3"/>
  <c r="Q380" i="3" s="1"/>
  <c r="R380" i="3" s="1"/>
  <c r="S380" i="3" s="1"/>
  <c r="AC380" i="3"/>
  <c r="AA380" i="3"/>
  <c r="T380" i="3" l="1"/>
  <c r="AH380" i="3" s="1"/>
  <c r="U379" i="3"/>
  <c r="Y378" i="3"/>
  <c r="AG380" i="3" l="1"/>
  <c r="E380" i="3"/>
  <c r="H380" i="3" s="1"/>
  <c r="K380" i="3" s="1"/>
  <c r="AE380" i="3" s="1"/>
  <c r="D380" i="3"/>
  <c r="V380" i="3" l="1"/>
  <c r="A381" i="3"/>
  <c r="B381" i="3" s="1"/>
  <c r="F380" i="3"/>
  <c r="G380" i="3"/>
  <c r="I380" i="3" l="1"/>
  <c r="W380" i="3" s="1"/>
  <c r="J380" i="3"/>
  <c r="AD380" i="3" s="1"/>
  <c r="M380" i="3"/>
  <c r="N380" i="3" s="1"/>
  <c r="Z381" i="3"/>
  <c r="AA381" i="3"/>
  <c r="AC381" i="3"/>
  <c r="P381" i="3"/>
  <c r="Q381" i="3" s="1"/>
  <c r="R381" i="3" s="1"/>
  <c r="S381" i="3" s="1"/>
  <c r="T381" i="3" l="1"/>
  <c r="L380" i="3"/>
  <c r="U380" i="3" l="1"/>
  <c r="E381" i="3" s="1"/>
  <c r="H381" i="3" s="1"/>
  <c r="AH381" i="3"/>
  <c r="AG381" i="3"/>
  <c r="Y379" i="3"/>
  <c r="K381" i="3" l="1"/>
  <c r="AE381" i="3" s="1"/>
  <c r="D381" i="3"/>
  <c r="V381" i="3" l="1"/>
  <c r="A382" i="3"/>
  <c r="B382" i="3" s="1"/>
  <c r="F381" i="3"/>
  <c r="G381" i="3"/>
  <c r="I381" i="3" l="1"/>
  <c r="W381" i="3" s="1"/>
  <c r="J381" i="3"/>
  <c r="AD381" i="3" s="1"/>
  <c r="M381" i="3"/>
  <c r="N381" i="3" s="1"/>
  <c r="AA382" i="3"/>
  <c r="Z382" i="3"/>
  <c r="P382" i="3"/>
  <c r="Q382" i="3" s="1"/>
  <c r="R382" i="3" s="1"/>
  <c r="S382" i="3" s="1"/>
  <c r="AC382" i="3"/>
  <c r="L381" i="3" l="1"/>
  <c r="T382" i="3"/>
  <c r="U381" i="3" l="1"/>
  <c r="E382" i="3" s="1"/>
  <c r="H382" i="3" s="1"/>
  <c r="AH382" i="3"/>
  <c r="AG382" i="3"/>
  <c r="Y380" i="3"/>
  <c r="D382" i="3" l="1"/>
  <c r="G382" i="3" s="1"/>
  <c r="K382" i="3"/>
  <c r="AE382" i="3" s="1"/>
  <c r="F382" i="3" l="1"/>
  <c r="I382" i="3"/>
  <c r="J382" i="3"/>
  <c r="AD382" i="3" s="1"/>
  <c r="M382" i="3"/>
  <c r="N382" i="3" s="1"/>
  <c r="V382" i="3"/>
  <c r="A383" i="3"/>
  <c r="B383" i="3" s="1"/>
  <c r="W382" i="3" l="1"/>
  <c r="L382" i="3"/>
  <c r="AA383" i="3"/>
  <c r="P383" i="3"/>
  <c r="Q383" i="3" s="1"/>
  <c r="R383" i="3" s="1"/>
  <c r="S383" i="3" s="1"/>
  <c r="Z383" i="3"/>
  <c r="AC383" i="3"/>
  <c r="U382" i="3" l="1"/>
  <c r="Y381" i="3"/>
  <c r="T383" i="3"/>
  <c r="E383" i="3" l="1"/>
  <c r="H383" i="3" s="1"/>
  <c r="K383" i="3" s="1"/>
  <c r="AE383" i="3" s="1"/>
  <c r="D383" i="3"/>
  <c r="AH383" i="3"/>
  <c r="AG383" i="3"/>
  <c r="V383" i="3" l="1"/>
  <c r="A384" i="3"/>
  <c r="B384" i="3" s="1"/>
  <c r="F383" i="3"/>
  <c r="G383" i="3"/>
  <c r="I383" i="3" l="1"/>
  <c r="W383" i="3" s="1"/>
  <c r="J383" i="3"/>
  <c r="AD383" i="3" s="1"/>
  <c r="M383" i="3"/>
  <c r="N383" i="3" s="1"/>
  <c r="P384" i="3"/>
  <c r="Q384" i="3" s="1"/>
  <c r="R384" i="3" s="1"/>
  <c r="S384" i="3" s="1"/>
  <c r="Z384" i="3"/>
  <c r="AC384" i="3"/>
  <c r="AA384" i="3"/>
  <c r="T384" i="3" l="1"/>
  <c r="L383" i="3"/>
  <c r="AG384" i="3" l="1"/>
  <c r="AH384" i="3"/>
  <c r="U383" i="3"/>
  <c r="D384" i="3" s="1"/>
  <c r="Y382" i="3"/>
  <c r="E384" i="3" l="1"/>
  <c r="H384" i="3" s="1"/>
  <c r="K384" i="3" s="1"/>
  <c r="AE384" i="3" s="1"/>
  <c r="G384" i="3"/>
  <c r="F384" i="3" l="1"/>
  <c r="I384" i="3"/>
  <c r="J384" i="3"/>
  <c r="AD384" i="3" s="1"/>
  <c r="M384" i="3"/>
  <c r="N384" i="3" s="1"/>
  <c r="V384" i="3"/>
  <c r="A385" i="3"/>
  <c r="B385" i="3" s="1"/>
  <c r="W384" i="3" l="1"/>
  <c r="L384" i="3"/>
  <c r="P385" i="3"/>
  <c r="Q385" i="3" s="1"/>
  <c r="R385" i="3" s="1"/>
  <c r="S385" i="3" s="1"/>
  <c r="AD385" i="3"/>
  <c r="Z385" i="3"/>
  <c r="AC385" i="3"/>
  <c r="AA385" i="3"/>
  <c r="U384" i="3" l="1"/>
  <c r="Y383" i="3"/>
  <c r="T385" i="3"/>
  <c r="AG385" i="3" s="1"/>
  <c r="D385" i="3" l="1"/>
  <c r="G385" i="3" s="1"/>
  <c r="E385" i="3"/>
  <c r="H385" i="3" s="1"/>
  <c r="K385" i="3" s="1"/>
  <c r="AE385" i="3" s="1"/>
  <c r="AH385" i="3"/>
  <c r="F385" i="3" l="1"/>
  <c r="V385" i="3"/>
  <c r="A386" i="3"/>
  <c r="B386" i="3" s="1"/>
  <c r="I385" i="3"/>
  <c r="J385" i="3"/>
  <c r="M385" i="3"/>
  <c r="N385" i="3" s="1"/>
  <c r="L385" i="3" l="1"/>
  <c r="W385" i="3"/>
  <c r="AC386" i="3"/>
  <c r="P386" i="3"/>
  <c r="Q386" i="3" s="1"/>
  <c r="R386" i="3" s="1"/>
  <c r="S386" i="3" s="1"/>
  <c r="AA386" i="3"/>
  <c r="AD386" i="3"/>
  <c r="Z386" i="3"/>
  <c r="T386" i="3" l="1"/>
  <c r="AH386" i="3" s="1"/>
  <c r="U385" i="3"/>
  <c r="Y384" i="3"/>
  <c r="D386" i="3" l="1"/>
  <c r="E386" i="3"/>
  <c r="H386" i="3" s="1"/>
  <c r="AG386" i="3"/>
  <c r="F386" i="3" l="1"/>
  <c r="G386" i="3"/>
  <c r="K386" i="3"/>
  <c r="AE386" i="3" s="1"/>
  <c r="I386" i="3" l="1"/>
  <c r="J386" i="3"/>
  <c r="M386" i="3"/>
  <c r="N386" i="3" s="1"/>
  <c r="V386" i="3"/>
  <c r="A387" i="3"/>
  <c r="B387" i="3" s="1"/>
  <c r="W386" i="3" l="1"/>
  <c r="L386" i="3"/>
  <c r="AA387" i="3"/>
  <c r="P387" i="3"/>
  <c r="Q387" i="3" s="1"/>
  <c r="R387" i="3" s="1"/>
  <c r="S387" i="3" s="1"/>
  <c r="AC387" i="3"/>
  <c r="Z387" i="3"/>
  <c r="U386" i="3" l="1"/>
  <c r="Y385" i="3"/>
  <c r="T387" i="3"/>
  <c r="AG387" i="3" s="1"/>
  <c r="AH387" i="3" l="1"/>
  <c r="D387" i="3"/>
  <c r="G387" i="3" s="1"/>
  <c r="E387" i="3"/>
  <c r="H387" i="3" s="1"/>
  <c r="F387" i="3" l="1"/>
  <c r="I387" i="3"/>
  <c r="J387" i="3"/>
  <c r="AD387" i="3" s="1"/>
  <c r="M387" i="3"/>
  <c r="N387" i="3" s="1"/>
  <c r="K387" i="3"/>
  <c r="AE387" i="3" s="1"/>
  <c r="V387" i="3" l="1"/>
  <c r="W387" i="3" s="1"/>
  <c r="A388" i="3"/>
  <c r="B388" i="3" s="1"/>
  <c r="L387" i="3"/>
  <c r="U387" i="3" l="1"/>
  <c r="Y386" i="3"/>
  <c r="AA388" i="3"/>
  <c r="Z388" i="3"/>
  <c r="P388" i="3"/>
  <c r="Q388" i="3" s="1"/>
  <c r="R388" i="3" s="1"/>
  <c r="S388" i="3" s="1"/>
  <c r="AD388" i="3"/>
  <c r="AC388" i="3"/>
  <c r="T388" i="3" l="1"/>
  <c r="E388" i="3" s="1"/>
  <c r="H388" i="3" s="1"/>
  <c r="K388" i="3" l="1"/>
  <c r="AE388" i="3" s="1"/>
  <c r="D388" i="3"/>
  <c r="AG388" i="3"/>
  <c r="AH388" i="3"/>
  <c r="V388" i="3" l="1"/>
  <c r="A389" i="3"/>
  <c r="B389" i="3" s="1"/>
  <c r="F388" i="3"/>
  <c r="G388" i="3"/>
  <c r="I388" i="3" l="1"/>
  <c r="W388" i="3" s="1"/>
  <c r="J388" i="3"/>
  <c r="M388" i="3"/>
  <c r="N388" i="3" s="1"/>
  <c r="P389" i="3"/>
  <c r="Q389" i="3" s="1"/>
  <c r="R389" i="3" s="1"/>
  <c r="S389" i="3" s="1"/>
  <c r="AA389" i="3"/>
  <c r="AD389" i="3"/>
  <c r="AC389" i="3"/>
  <c r="Z389" i="3"/>
  <c r="T389" i="3" l="1"/>
  <c r="L388" i="3"/>
  <c r="U388" i="3" l="1"/>
  <c r="E389" i="3" s="1"/>
  <c r="H389" i="3" s="1"/>
  <c r="AH389" i="3"/>
  <c r="AG389" i="3"/>
  <c r="Y387" i="3"/>
  <c r="D389" i="3" l="1"/>
  <c r="G389" i="3" s="1"/>
  <c r="K389" i="3"/>
  <c r="AE389" i="3" s="1"/>
  <c r="F389" i="3" l="1"/>
  <c r="V389" i="3"/>
  <c r="A390" i="3"/>
  <c r="B390" i="3" s="1"/>
  <c r="I389" i="3"/>
  <c r="J389" i="3"/>
  <c r="M389" i="3"/>
  <c r="N389" i="3" s="1"/>
  <c r="W389" i="3" l="1"/>
  <c r="L389" i="3"/>
  <c r="P390" i="3"/>
  <c r="Q390" i="3" s="1"/>
  <c r="R390" i="3" s="1"/>
  <c r="S390" i="3" s="1"/>
  <c r="AC390" i="3"/>
  <c r="AA390" i="3"/>
  <c r="Z390" i="3"/>
  <c r="AD390" i="3"/>
  <c r="U389" i="3" l="1"/>
  <c r="Y388" i="3"/>
  <c r="T390" i="3"/>
  <c r="AG390" i="3" s="1"/>
  <c r="D390" i="3" l="1"/>
  <c r="AH390" i="3"/>
  <c r="E390" i="3"/>
  <c r="H390" i="3" s="1"/>
  <c r="F390" i="3" l="1"/>
  <c r="G390" i="3"/>
  <c r="K390" i="3"/>
  <c r="AE390" i="3" s="1"/>
  <c r="I390" i="3" l="1"/>
  <c r="J390" i="3"/>
  <c r="M390" i="3"/>
  <c r="N390" i="3" s="1"/>
  <c r="V390" i="3"/>
  <c r="A391" i="3"/>
  <c r="B391" i="3" s="1"/>
  <c r="W390" i="3" l="1"/>
  <c r="L390" i="3"/>
  <c r="AC391" i="3"/>
  <c r="AA391" i="3"/>
  <c r="AD391" i="3"/>
  <c r="Z391" i="3"/>
  <c r="P391" i="3"/>
  <c r="Q391" i="3" s="1"/>
  <c r="R391" i="3" s="1"/>
  <c r="S391" i="3" s="1"/>
  <c r="U390" i="3" l="1"/>
  <c r="Y389" i="3"/>
  <c r="T391" i="3"/>
  <c r="E391" i="3" l="1"/>
  <c r="H391" i="3" s="1"/>
  <c r="K391" i="3" s="1"/>
  <c r="AE391" i="3" s="1"/>
  <c r="AG391" i="3"/>
  <c r="AH391" i="3"/>
  <c r="D391" i="3"/>
  <c r="V391" i="3" l="1"/>
  <c r="A392" i="3"/>
  <c r="B392" i="3" s="1"/>
  <c r="F391" i="3"/>
  <c r="G391" i="3"/>
  <c r="I391" i="3" l="1"/>
  <c r="W391" i="3" s="1"/>
  <c r="J391" i="3"/>
  <c r="M391" i="3"/>
  <c r="N391" i="3" s="1"/>
  <c r="AD392" i="3"/>
  <c r="Z392" i="3"/>
  <c r="P392" i="3"/>
  <c r="Q392" i="3" s="1"/>
  <c r="R392" i="3" s="1"/>
  <c r="S392" i="3" s="1"/>
  <c r="AA392" i="3"/>
  <c r="AC392" i="3"/>
  <c r="T392" i="3" l="1"/>
  <c r="L391" i="3"/>
  <c r="U391" i="3" l="1"/>
  <c r="D392" i="3" s="1"/>
  <c r="AH392" i="3"/>
  <c r="AG392" i="3"/>
  <c r="Y390" i="3"/>
  <c r="G392" i="3" l="1"/>
  <c r="E392" i="3"/>
  <c r="H392" i="3" s="1"/>
  <c r="F392" i="3" l="1"/>
  <c r="I392" i="3"/>
  <c r="J392" i="3"/>
  <c r="M392" i="3"/>
  <c r="N392" i="3" s="1"/>
  <c r="K392" i="3"/>
  <c r="AE392" i="3" s="1"/>
  <c r="V392" i="3" l="1"/>
  <c r="W392" i="3" s="1"/>
  <c r="A393" i="3"/>
  <c r="B393" i="3" s="1"/>
  <c r="L392" i="3"/>
  <c r="U392" i="3" l="1"/>
  <c r="Y391" i="3"/>
  <c r="AD393" i="3"/>
  <c r="Z393" i="3"/>
  <c r="AA393" i="3"/>
  <c r="P393" i="3"/>
  <c r="Q393" i="3" s="1"/>
  <c r="R393" i="3" s="1"/>
  <c r="S393" i="3" s="1"/>
  <c r="AC393" i="3"/>
  <c r="T393" i="3" l="1"/>
  <c r="AG393" i="3" s="1"/>
  <c r="E393" i="3" l="1"/>
  <c r="H393" i="3" s="1"/>
  <c r="K393" i="3" s="1"/>
  <c r="AE393" i="3" s="1"/>
  <c r="D393" i="3"/>
  <c r="AH393" i="3"/>
  <c r="V393" i="3" l="1"/>
  <c r="A394" i="3"/>
  <c r="B394" i="3" s="1"/>
  <c r="F393" i="3"/>
  <c r="G393" i="3"/>
  <c r="I393" i="3" l="1"/>
  <c r="W393" i="3" s="1"/>
  <c r="J393" i="3"/>
  <c r="M393" i="3"/>
  <c r="N393" i="3" s="1"/>
  <c r="P394" i="3"/>
  <c r="Q394" i="3" s="1"/>
  <c r="R394" i="3" s="1"/>
  <c r="S394" i="3" s="1"/>
  <c r="AC394" i="3"/>
  <c r="Z394" i="3"/>
  <c r="AA394" i="3"/>
  <c r="T394" i="3" l="1"/>
  <c r="L393" i="3"/>
  <c r="AH394" i="3" l="1"/>
  <c r="AG394" i="3"/>
  <c r="U393" i="3"/>
  <c r="D394" i="3" s="1"/>
  <c r="Y392" i="3"/>
  <c r="G394" i="3" l="1"/>
  <c r="E394" i="3"/>
  <c r="H394" i="3" s="1"/>
  <c r="F394" i="3" l="1"/>
  <c r="I394" i="3"/>
  <c r="J394" i="3"/>
  <c r="AD394" i="3" s="1"/>
  <c r="M394" i="3"/>
  <c r="N394" i="3" s="1"/>
  <c r="K394" i="3"/>
  <c r="AE394" i="3" s="1"/>
  <c r="L394" i="3" l="1"/>
  <c r="V394" i="3"/>
  <c r="W394" i="3" s="1"/>
  <c r="A395" i="3"/>
  <c r="B395" i="3" s="1"/>
  <c r="U394" i="3" l="1"/>
  <c r="Y393" i="3"/>
  <c r="AA395" i="3"/>
  <c r="P395" i="3"/>
  <c r="Q395" i="3" s="1"/>
  <c r="R395" i="3" s="1"/>
  <c r="S395" i="3" s="1"/>
  <c r="Z395" i="3"/>
  <c r="AC395" i="3"/>
  <c r="T395" i="3" l="1"/>
  <c r="AG395" i="3" s="1"/>
  <c r="AH395" i="3" l="1"/>
  <c r="E395" i="3"/>
  <c r="H395" i="3" s="1"/>
  <c r="K395" i="3" s="1"/>
  <c r="AE395" i="3" s="1"/>
  <c r="D395" i="3"/>
  <c r="G395" i="3" s="1"/>
  <c r="F395" i="3" l="1"/>
  <c r="V395" i="3"/>
  <c r="A396" i="3"/>
  <c r="B396" i="3" s="1"/>
  <c r="I395" i="3"/>
  <c r="J395" i="3"/>
  <c r="AD395" i="3" s="1"/>
  <c r="M395" i="3"/>
  <c r="N395" i="3" s="1"/>
  <c r="W395" i="3" l="1"/>
  <c r="L395" i="3"/>
  <c r="AA396" i="3"/>
  <c r="Z396" i="3"/>
  <c r="P396" i="3"/>
  <c r="Q396" i="3" s="1"/>
  <c r="R396" i="3" s="1"/>
  <c r="S396" i="3" s="1"/>
  <c r="AC396" i="3"/>
  <c r="U395" i="3" l="1"/>
  <c r="Y394" i="3"/>
  <c r="T396" i="3"/>
  <c r="E396" i="3" l="1"/>
  <c r="H396" i="3" s="1"/>
  <c r="K396" i="3" s="1"/>
  <c r="AE396" i="3" s="1"/>
  <c r="AG396" i="3"/>
  <c r="AH396" i="3"/>
  <c r="D396" i="3"/>
  <c r="F396" i="3" l="1"/>
  <c r="G396" i="3"/>
  <c r="V396" i="3"/>
  <c r="A397" i="3"/>
  <c r="B397" i="3" s="1"/>
  <c r="P397" i="3" l="1"/>
  <c r="Q397" i="3" s="1"/>
  <c r="R397" i="3" s="1"/>
  <c r="S397" i="3" s="1"/>
  <c r="AC397" i="3"/>
  <c r="AA397" i="3"/>
  <c r="Z397" i="3"/>
  <c r="I396" i="3"/>
  <c r="W396" i="3" s="1"/>
  <c r="J396" i="3"/>
  <c r="AD396" i="3" s="1"/>
  <c r="M396" i="3"/>
  <c r="N396" i="3" s="1"/>
  <c r="T397" i="3" l="1"/>
  <c r="L396" i="3"/>
  <c r="U396" i="3" l="1"/>
  <c r="E397" i="3" s="1"/>
  <c r="H397" i="3" s="1"/>
  <c r="AG397" i="3"/>
  <c r="AH397" i="3"/>
  <c r="Y395" i="3"/>
  <c r="D397" i="3" l="1"/>
  <c r="F397" i="3" s="1"/>
  <c r="K397" i="3"/>
  <c r="AE397" i="3" s="1"/>
  <c r="G397" i="3" l="1"/>
  <c r="M397" i="3" s="1"/>
  <c r="N397" i="3" s="1"/>
  <c r="V397" i="3"/>
  <c r="A398" i="3"/>
  <c r="B398" i="3" s="1"/>
  <c r="I397" i="3" l="1"/>
  <c r="W397" i="3" s="1"/>
  <c r="J397" i="3"/>
  <c r="AC398" i="3"/>
  <c r="AA398" i="3"/>
  <c r="P398" i="3"/>
  <c r="Q398" i="3" s="1"/>
  <c r="R398" i="3" s="1"/>
  <c r="S398" i="3" s="1"/>
  <c r="Z398" i="3"/>
  <c r="L397" i="3" l="1"/>
  <c r="U397" i="3" s="1"/>
  <c r="AD397" i="3"/>
  <c r="T398" i="3"/>
  <c r="Y396" i="3" l="1"/>
  <c r="E398" i="3"/>
  <c r="H398" i="3" s="1"/>
  <c r="K398" i="3" s="1"/>
  <c r="AE398" i="3" s="1"/>
  <c r="D398" i="3"/>
  <c r="G398" i="3" s="1"/>
  <c r="AH398" i="3"/>
  <c r="AG398" i="3"/>
  <c r="F398" i="3" l="1"/>
  <c r="V398" i="3"/>
  <c r="A399" i="3"/>
  <c r="B399" i="3" s="1"/>
  <c r="I398" i="3"/>
  <c r="J398" i="3"/>
  <c r="AD398" i="3" s="1"/>
  <c r="M398" i="3"/>
  <c r="N398" i="3" s="1"/>
  <c r="L398" i="3" l="1"/>
  <c r="W398" i="3"/>
  <c r="Z399" i="3"/>
  <c r="P399" i="3"/>
  <c r="Q399" i="3" s="1"/>
  <c r="R399" i="3" s="1"/>
  <c r="S399" i="3" s="1"/>
  <c r="AA399" i="3"/>
  <c r="AC399" i="3"/>
  <c r="U398" i="3" l="1"/>
  <c r="Y397" i="3"/>
  <c r="T399" i="3"/>
  <c r="AH399" i="3" s="1"/>
  <c r="D399" i="3" l="1"/>
  <c r="G399" i="3" s="1"/>
  <c r="AG399" i="3"/>
  <c r="E399" i="3"/>
  <c r="H399" i="3" s="1"/>
  <c r="F399" i="3" l="1"/>
  <c r="I399" i="3"/>
  <c r="J399" i="3"/>
  <c r="AD399" i="3" s="1"/>
  <c r="M399" i="3"/>
  <c r="N399" i="3" s="1"/>
  <c r="K399" i="3"/>
  <c r="AE399" i="3" s="1"/>
  <c r="V399" i="3" l="1"/>
  <c r="W399" i="3" s="1"/>
  <c r="A400" i="3"/>
  <c r="B400" i="3" s="1"/>
  <c r="L399" i="3"/>
  <c r="U399" i="3" l="1"/>
  <c r="Y398" i="3"/>
  <c r="AC400" i="3"/>
  <c r="Z400" i="3"/>
  <c r="P400" i="3"/>
  <c r="Q400" i="3" s="1"/>
  <c r="R400" i="3" s="1"/>
  <c r="S400" i="3" s="1"/>
  <c r="AA400" i="3"/>
  <c r="T400" i="3" l="1"/>
  <c r="AH400" i="3" s="1"/>
  <c r="AG400" i="3" l="1"/>
  <c r="D400" i="3"/>
  <c r="G400" i="3" s="1"/>
  <c r="E400" i="3"/>
  <c r="H400" i="3" s="1"/>
  <c r="K400" i="3" s="1"/>
  <c r="AE400" i="3" s="1"/>
  <c r="F400" i="3" l="1"/>
  <c r="V400" i="3"/>
  <c r="A401" i="3"/>
  <c r="B401" i="3" s="1"/>
  <c r="I400" i="3"/>
  <c r="J400" i="3"/>
  <c r="AD400" i="3" s="1"/>
  <c r="M400" i="3"/>
  <c r="N400" i="3" s="1"/>
  <c r="W400" i="3" l="1"/>
  <c r="L400" i="3"/>
  <c r="AA401" i="3"/>
  <c r="Z401" i="3"/>
  <c r="AC401" i="3"/>
  <c r="P401" i="3"/>
  <c r="Q401" i="3" s="1"/>
  <c r="R401" i="3" s="1"/>
  <c r="S401" i="3" s="1"/>
  <c r="U400" i="3" l="1"/>
  <c r="Y399" i="3"/>
  <c r="T401" i="3"/>
  <c r="AG401" i="3" s="1"/>
  <c r="D401" i="3" l="1"/>
  <c r="E401" i="3"/>
  <c r="H401" i="3" s="1"/>
  <c r="K401" i="3" s="1"/>
  <c r="AE401" i="3" s="1"/>
  <c r="AH401" i="3"/>
  <c r="F401" i="3" l="1"/>
  <c r="G401" i="3"/>
  <c r="J401" i="3" s="1"/>
  <c r="AD401" i="3" s="1"/>
  <c r="V401" i="3"/>
  <c r="A402" i="3"/>
  <c r="B402" i="3" s="1"/>
  <c r="M401" i="3" l="1"/>
  <c r="N401" i="3" s="1"/>
  <c r="I401" i="3"/>
  <c r="W401" i="3" s="1"/>
  <c r="L401" i="3"/>
  <c r="AA402" i="3"/>
  <c r="AC402" i="3"/>
  <c r="Z402" i="3"/>
  <c r="P402" i="3"/>
  <c r="Q402" i="3" s="1"/>
  <c r="R402" i="3" s="1"/>
  <c r="S402" i="3" s="1"/>
  <c r="U401" i="3" l="1"/>
  <c r="Y400" i="3"/>
  <c r="T402" i="3"/>
  <c r="AG402" i="3" s="1"/>
  <c r="AH402" i="3" l="1"/>
  <c r="E402" i="3"/>
  <c r="H402" i="3" s="1"/>
  <c r="K402" i="3" s="1"/>
  <c r="AE402" i="3" s="1"/>
  <c r="D402" i="3"/>
  <c r="G402" i="3" s="1"/>
  <c r="F402" i="3" l="1"/>
  <c r="I402" i="3"/>
  <c r="J402" i="3"/>
  <c r="AD402" i="3" s="1"/>
  <c r="M402" i="3"/>
  <c r="N402" i="3" s="1"/>
  <c r="V402" i="3"/>
  <c r="A403" i="3"/>
  <c r="B403" i="3" s="1"/>
  <c r="W402" i="3" l="1"/>
  <c r="L402" i="3"/>
  <c r="AC403" i="3"/>
  <c r="AA403" i="3"/>
  <c r="P403" i="3"/>
  <c r="Q403" i="3" s="1"/>
  <c r="R403" i="3" s="1"/>
  <c r="S403" i="3" s="1"/>
  <c r="Z403" i="3"/>
  <c r="T403" i="3" l="1"/>
  <c r="AH403" i="3" s="1"/>
  <c r="U402" i="3"/>
  <c r="Y401" i="3"/>
  <c r="AG403" i="3" l="1"/>
  <c r="D403" i="3"/>
  <c r="E403" i="3"/>
  <c r="H403" i="3" s="1"/>
  <c r="F403" i="3" l="1"/>
  <c r="G403" i="3"/>
  <c r="K403" i="3"/>
  <c r="AE403" i="3" s="1"/>
  <c r="V403" i="3" l="1"/>
  <c r="A404" i="3"/>
  <c r="B404" i="3" s="1"/>
  <c r="I403" i="3"/>
  <c r="J403" i="3"/>
  <c r="AD403" i="3" s="1"/>
  <c r="M403" i="3"/>
  <c r="N403" i="3" s="1"/>
  <c r="W403" i="3" l="1"/>
  <c r="L403" i="3"/>
  <c r="P404" i="3"/>
  <c r="Q404" i="3" s="1"/>
  <c r="R404" i="3" s="1"/>
  <c r="S404" i="3" s="1"/>
  <c r="AA404" i="3"/>
  <c r="Z404" i="3"/>
  <c r="AC404" i="3"/>
  <c r="U403" i="3" l="1"/>
  <c r="Y402" i="3"/>
  <c r="T404" i="3"/>
  <c r="AG404" i="3" s="1"/>
  <c r="E404" i="3" l="1"/>
  <c r="H404" i="3" s="1"/>
  <c r="K404" i="3" s="1"/>
  <c r="AE404" i="3" s="1"/>
  <c r="AH404" i="3"/>
  <c r="D404" i="3"/>
  <c r="G404" i="3" s="1"/>
  <c r="F404" i="3" l="1"/>
  <c r="I404" i="3"/>
  <c r="J404" i="3"/>
  <c r="AD404" i="3" s="1"/>
  <c r="M404" i="3"/>
  <c r="N404" i="3" s="1"/>
  <c r="V404" i="3"/>
  <c r="A405" i="3"/>
  <c r="B405" i="3" s="1"/>
  <c r="W404" i="3" l="1"/>
  <c r="L404" i="3"/>
  <c r="P405" i="3"/>
  <c r="Q405" i="3" s="1"/>
  <c r="R405" i="3" s="1"/>
  <c r="S405" i="3" s="1"/>
  <c r="AC405" i="3"/>
  <c r="Z405" i="3"/>
  <c r="AD405" i="3"/>
  <c r="AA405" i="3"/>
  <c r="U404" i="3" l="1"/>
  <c r="Y403" i="3"/>
  <c r="T405" i="3"/>
  <c r="E405" i="3" l="1"/>
  <c r="H405" i="3" s="1"/>
  <c r="K405" i="3" s="1"/>
  <c r="AE405" i="3" s="1"/>
  <c r="AH405" i="3"/>
  <c r="D405" i="3"/>
  <c r="AG405" i="3"/>
  <c r="F405" i="3" l="1"/>
  <c r="G405" i="3"/>
  <c r="V405" i="3"/>
  <c r="A406" i="3"/>
  <c r="B406" i="3" s="1"/>
  <c r="AD406" i="3" l="1"/>
  <c r="AA406" i="3"/>
  <c r="AC406" i="3"/>
  <c r="Z406" i="3"/>
  <c r="P406" i="3"/>
  <c r="Q406" i="3" s="1"/>
  <c r="R406" i="3" s="1"/>
  <c r="S406" i="3" s="1"/>
  <c r="I405" i="3"/>
  <c r="W405" i="3" s="1"/>
  <c r="J405" i="3"/>
  <c r="M405" i="3"/>
  <c r="N405" i="3" s="1"/>
  <c r="T406" i="3" l="1"/>
  <c r="L405" i="3"/>
  <c r="U405" i="3" l="1"/>
  <c r="E406" i="3" s="1"/>
  <c r="H406" i="3" s="1"/>
  <c r="AH406" i="3"/>
  <c r="AG406" i="3"/>
  <c r="Y404" i="3"/>
  <c r="K406" i="3" l="1"/>
  <c r="AE406" i="3" s="1"/>
  <c r="D406" i="3"/>
  <c r="V406" i="3" l="1"/>
  <c r="A407" i="3"/>
  <c r="B407" i="3" s="1"/>
  <c r="F406" i="3"/>
  <c r="G406" i="3"/>
  <c r="I406" i="3" l="1"/>
  <c r="W406" i="3" s="1"/>
  <c r="J406" i="3"/>
  <c r="M406" i="3"/>
  <c r="N406" i="3" s="1"/>
  <c r="AC407" i="3"/>
  <c r="Z407" i="3"/>
  <c r="P407" i="3"/>
  <c r="Q407" i="3" s="1"/>
  <c r="R407" i="3" s="1"/>
  <c r="S407" i="3" s="1"/>
  <c r="AA407" i="3"/>
  <c r="L406" i="3" l="1"/>
  <c r="T407" i="3"/>
  <c r="U406" i="3" l="1"/>
  <c r="D407" i="3" s="1"/>
  <c r="AG407" i="3"/>
  <c r="AH407" i="3"/>
  <c r="Y405" i="3"/>
  <c r="G407" i="3" l="1"/>
  <c r="E407" i="3"/>
  <c r="H407" i="3" s="1"/>
  <c r="F407" i="3" l="1"/>
  <c r="I407" i="3"/>
  <c r="J407" i="3"/>
  <c r="AD407" i="3" s="1"/>
  <c r="M407" i="3"/>
  <c r="N407" i="3" s="1"/>
  <c r="K407" i="3"/>
  <c r="AE407" i="3" s="1"/>
  <c r="V407" i="3" l="1"/>
  <c r="W407" i="3" s="1"/>
  <c r="A408" i="3"/>
  <c r="B408" i="3" s="1"/>
  <c r="L407" i="3"/>
  <c r="U407" i="3" l="1"/>
  <c r="Y406" i="3"/>
  <c r="Z408" i="3"/>
  <c r="AC408" i="3"/>
  <c r="AD408" i="3"/>
  <c r="P408" i="3"/>
  <c r="Q408" i="3" s="1"/>
  <c r="R408" i="3" s="1"/>
  <c r="S408" i="3" s="1"/>
  <c r="AA408" i="3"/>
  <c r="T408" i="3" l="1"/>
  <c r="AH408" i="3" s="1"/>
  <c r="E408" i="3" l="1"/>
  <c r="H408" i="3" s="1"/>
  <c r="K408" i="3" s="1"/>
  <c r="AE408" i="3" s="1"/>
  <c r="D408" i="3"/>
  <c r="G408" i="3" s="1"/>
  <c r="AG408" i="3"/>
  <c r="F408" i="3" l="1"/>
  <c r="I408" i="3"/>
  <c r="J408" i="3"/>
  <c r="M408" i="3"/>
  <c r="N408" i="3" s="1"/>
  <c r="V408" i="3"/>
  <c r="A409" i="3"/>
  <c r="B409" i="3" s="1"/>
  <c r="W408" i="3" l="1"/>
  <c r="L408" i="3"/>
  <c r="AA409" i="3"/>
  <c r="AC409" i="3"/>
  <c r="P409" i="3"/>
  <c r="Q409" i="3" s="1"/>
  <c r="R409" i="3" s="1"/>
  <c r="S409" i="3" s="1"/>
  <c r="AD409" i="3"/>
  <c r="Z409" i="3"/>
  <c r="U408" i="3" l="1"/>
  <c r="Y407" i="3"/>
  <c r="T409" i="3"/>
  <c r="E409" i="3" l="1"/>
  <c r="H409" i="3" s="1"/>
  <c r="K409" i="3" s="1"/>
  <c r="AE409" i="3" s="1"/>
  <c r="AH409" i="3"/>
  <c r="D409" i="3"/>
  <c r="AG409" i="3"/>
  <c r="F409" i="3" l="1"/>
  <c r="G409" i="3"/>
  <c r="V409" i="3"/>
  <c r="A410" i="3"/>
  <c r="B410" i="3" s="1"/>
  <c r="P410" i="3" l="1"/>
  <c r="Q410" i="3" s="1"/>
  <c r="R410" i="3" s="1"/>
  <c r="S410" i="3" s="1"/>
  <c r="AA410" i="3"/>
  <c r="AC410" i="3"/>
  <c r="AD410" i="3"/>
  <c r="Z410" i="3"/>
  <c r="I409" i="3"/>
  <c r="W409" i="3" s="1"/>
  <c r="J409" i="3"/>
  <c r="M409" i="3"/>
  <c r="N409" i="3" s="1"/>
  <c r="T410" i="3" l="1"/>
  <c r="L409" i="3"/>
  <c r="AG410" i="3" l="1"/>
  <c r="U409" i="3"/>
  <c r="D410" i="3" s="1"/>
  <c r="AH410" i="3"/>
  <c r="Y408" i="3"/>
  <c r="E410" i="3" l="1"/>
  <c r="H410" i="3" s="1"/>
  <c r="K410" i="3" s="1"/>
  <c r="AE410" i="3" s="1"/>
  <c r="G410" i="3"/>
  <c r="F410" i="3" l="1"/>
  <c r="I410" i="3"/>
  <c r="J410" i="3"/>
  <c r="M410" i="3"/>
  <c r="N410" i="3" s="1"/>
  <c r="V410" i="3"/>
  <c r="A411" i="3"/>
  <c r="B411" i="3" s="1"/>
  <c r="W410" i="3" l="1"/>
  <c r="L410" i="3"/>
  <c r="AC411" i="3"/>
  <c r="P411" i="3"/>
  <c r="Q411" i="3" s="1"/>
  <c r="R411" i="3" s="1"/>
  <c r="S411" i="3" s="1"/>
  <c r="AA411" i="3"/>
  <c r="Z411" i="3"/>
  <c r="AD411" i="3"/>
  <c r="U410" i="3" l="1"/>
  <c r="Y409" i="3"/>
  <c r="T411" i="3"/>
  <c r="AG411" i="3" s="1"/>
  <c r="E411" i="3" l="1"/>
  <c r="H411" i="3" s="1"/>
  <c r="K411" i="3" s="1"/>
  <c r="AE411" i="3" s="1"/>
  <c r="AH411" i="3"/>
  <c r="D411" i="3"/>
  <c r="F411" i="3" l="1"/>
  <c r="G411" i="3"/>
  <c r="V411" i="3"/>
  <c r="A412" i="3"/>
  <c r="B412" i="3" s="1"/>
  <c r="AA412" i="3" l="1"/>
  <c r="AC412" i="3"/>
  <c r="P412" i="3"/>
  <c r="Q412" i="3" s="1"/>
  <c r="R412" i="3" s="1"/>
  <c r="S412" i="3" s="1"/>
  <c r="Z412" i="3"/>
  <c r="AD412" i="3"/>
  <c r="I411" i="3"/>
  <c r="W411" i="3" s="1"/>
  <c r="J411" i="3"/>
  <c r="M411" i="3"/>
  <c r="N411" i="3" s="1"/>
  <c r="T412" i="3" l="1"/>
  <c r="L411" i="3"/>
  <c r="U411" i="3" l="1"/>
  <c r="D412" i="3" s="1"/>
  <c r="AG412" i="3"/>
  <c r="AH412" i="3"/>
  <c r="Y410" i="3"/>
  <c r="G412" i="3" l="1"/>
  <c r="E412" i="3"/>
  <c r="H412" i="3" s="1"/>
  <c r="F412" i="3" l="1"/>
  <c r="I412" i="3"/>
  <c r="J412" i="3"/>
  <c r="M412" i="3"/>
  <c r="N412" i="3" s="1"/>
  <c r="K412" i="3"/>
  <c r="AE412" i="3" s="1"/>
  <c r="V412" i="3" l="1"/>
  <c r="W412" i="3" s="1"/>
  <c r="A413" i="3"/>
  <c r="B413" i="3" s="1"/>
  <c r="L412" i="3"/>
  <c r="U412" i="3" l="1"/>
  <c r="Y411" i="3"/>
  <c r="Z413" i="3"/>
  <c r="P413" i="3"/>
  <c r="Q413" i="3" s="1"/>
  <c r="R413" i="3" s="1"/>
  <c r="S413" i="3" s="1"/>
  <c r="AA413" i="3"/>
  <c r="AC413" i="3"/>
  <c r="AD413" i="3"/>
  <c r="T413" i="3" l="1"/>
  <c r="D413" i="3" s="1"/>
  <c r="E413" i="3" l="1"/>
  <c r="H413" i="3" s="1"/>
  <c r="K413" i="3" s="1"/>
  <c r="AE413" i="3" s="1"/>
  <c r="AH413" i="3"/>
  <c r="G413" i="3"/>
  <c r="AG413" i="3"/>
  <c r="F413" i="3" l="1"/>
  <c r="I413" i="3"/>
  <c r="J413" i="3"/>
  <c r="M413" i="3"/>
  <c r="N413" i="3" s="1"/>
  <c r="V413" i="3"/>
  <c r="A414" i="3"/>
  <c r="B414" i="3" s="1"/>
  <c r="L413" i="3" l="1"/>
  <c r="P414" i="3"/>
  <c r="Q414" i="3" s="1"/>
  <c r="R414" i="3" s="1"/>
  <c r="S414" i="3" s="1"/>
  <c r="Z414" i="3"/>
  <c r="AA414" i="3"/>
  <c r="AC414" i="3"/>
  <c r="W413" i="3"/>
  <c r="U413" i="3" l="1"/>
  <c r="Y412" i="3"/>
  <c r="T414" i="3"/>
  <c r="D414" i="3" l="1"/>
  <c r="G414" i="3" s="1"/>
  <c r="E414" i="3"/>
  <c r="H414" i="3" s="1"/>
  <c r="K414" i="3" s="1"/>
  <c r="AE414" i="3" s="1"/>
  <c r="AG414" i="3"/>
  <c r="AH414" i="3"/>
  <c r="F414" i="3" l="1"/>
  <c r="I414" i="3"/>
  <c r="J414" i="3"/>
  <c r="AD414" i="3" s="1"/>
  <c r="M414" i="3"/>
  <c r="N414" i="3" s="1"/>
  <c r="V414" i="3"/>
  <c r="A415" i="3"/>
  <c r="B415" i="3" s="1"/>
  <c r="W414" i="3" l="1"/>
  <c r="L414" i="3"/>
  <c r="P415" i="3"/>
  <c r="Q415" i="3" s="1"/>
  <c r="R415" i="3" s="1"/>
  <c r="S415" i="3" s="1"/>
  <c r="AA415" i="3"/>
  <c r="Z415" i="3"/>
  <c r="AC415" i="3"/>
  <c r="U414" i="3" l="1"/>
  <c r="Y413" i="3"/>
  <c r="T415" i="3"/>
  <c r="D415" i="3" l="1"/>
  <c r="G415" i="3" s="1"/>
  <c r="AG415" i="3"/>
  <c r="AH415" i="3"/>
  <c r="E415" i="3"/>
  <c r="H415" i="3" s="1"/>
  <c r="F415" i="3" l="1"/>
  <c r="K415" i="3"/>
  <c r="AE415" i="3" s="1"/>
  <c r="I415" i="3"/>
  <c r="J415" i="3"/>
  <c r="AD415" i="3" s="1"/>
  <c r="M415" i="3"/>
  <c r="N415" i="3" s="1"/>
  <c r="L415" i="3" l="1"/>
  <c r="V415" i="3"/>
  <c r="W415" i="3" s="1"/>
  <c r="A416" i="3"/>
  <c r="B416" i="3" s="1"/>
  <c r="Z416" i="3" l="1"/>
  <c r="AA416" i="3"/>
  <c r="P416" i="3"/>
  <c r="Q416" i="3" s="1"/>
  <c r="R416" i="3" s="1"/>
  <c r="S416" i="3" s="1"/>
  <c r="AC416" i="3"/>
  <c r="U415" i="3"/>
  <c r="Y414" i="3"/>
  <c r="T416" i="3" l="1"/>
  <c r="AG416" i="3" s="1"/>
  <c r="D416" i="3" l="1"/>
  <c r="G416" i="3" s="1"/>
  <c r="E416" i="3"/>
  <c r="H416" i="3" s="1"/>
  <c r="K416" i="3" s="1"/>
  <c r="AE416" i="3" s="1"/>
  <c r="AH416" i="3"/>
  <c r="F416" i="3" l="1"/>
  <c r="V416" i="3"/>
  <c r="A417" i="3"/>
  <c r="B417" i="3" s="1"/>
  <c r="I416" i="3"/>
  <c r="J416" i="3"/>
  <c r="AD416" i="3" s="1"/>
  <c r="M416" i="3"/>
  <c r="N416" i="3" s="1"/>
  <c r="W416" i="3" l="1"/>
  <c r="L416" i="3"/>
  <c r="Z417" i="3"/>
  <c r="AC417" i="3"/>
  <c r="AA417" i="3"/>
  <c r="P417" i="3"/>
  <c r="Q417" i="3" s="1"/>
  <c r="R417" i="3" s="1"/>
  <c r="S417" i="3" s="1"/>
  <c r="U416" i="3" l="1"/>
  <c r="Y415" i="3"/>
  <c r="T417" i="3"/>
  <c r="D417" i="3" l="1"/>
  <c r="G417" i="3" s="1"/>
  <c r="AH417" i="3"/>
  <c r="E417" i="3"/>
  <c r="H417" i="3" s="1"/>
  <c r="K417" i="3" s="1"/>
  <c r="AE417" i="3" s="1"/>
  <c r="AG417" i="3"/>
  <c r="F417" i="3" l="1"/>
  <c r="V417" i="3"/>
  <c r="A418" i="3"/>
  <c r="B418" i="3" s="1"/>
  <c r="I417" i="3"/>
  <c r="J417" i="3"/>
  <c r="AD417" i="3" s="1"/>
  <c r="M417" i="3"/>
  <c r="N417" i="3" s="1"/>
  <c r="W417" i="3" l="1"/>
  <c r="L417" i="3"/>
  <c r="Z418" i="3"/>
  <c r="AA418" i="3"/>
  <c r="AC418" i="3"/>
  <c r="P418" i="3"/>
  <c r="Q418" i="3" s="1"/>
  <c r="R418" i="3" s="1"/>
  <c r="S418" i="3" s="1"/>
  <c r="T418" i="3" l="1"/>
  <c r="U417" i="3"/>
  <c r="Y416" i="3"/>
  <c r="D418" i="3" l="1"/>
  <c r="G418" i="3" s="1"/>
  <c r="E418" i="3"/>
  <c r="H418" i="3" s="1"/>
  <c r="AG418" i="3"/>
  <c r="AH418" i="3"/>
  <c r="F418" i="3" l="1"/>
  <c r="I418" i="3"/>
  <c r="J418" i="3"/>
  <c r="AD418" i="3" s="1"/>
  <c r="M418" i="3"/>
  <c r="N418" i="3" s="1"/>
  <c r="K418" i="3"/>
  <c r="AE418" i="3" s="1"/>
  <c r="V418" i="3" l="1"/>
  <c r="W418" i="3" s="1"/>
  <c r="A419" i="3"/>
  <c r="B419" i="3" s="1"/>
  <c r="L418" i="3"/>
  <c r="U418" i="3" l="1"/>
  <c r="Y417" i="3"/>
  <c r="AA419" i="3"/>
  <c r="P419" i="3"/>
  <c r="Q419" i="3" s="1"/>
  <c r="R419" i="3" s="1"/>
  <c r="S419" i="3" s="1"/>
  <c r="Z419" i="3"/>
  <c r="AC419" i="3"/>
  <c r="T419" i="3" l="1"/>
  <c r="AG419" i="3" s="1"/>
  <c r="AH419" i="3" l="1"/>
  <c r="E419" i="3"/>
  <c r="H419" i="3" s="1"/>
  <c r="K419" i="3" s="1"/>
  <c r="AE419" i="3" s="1"/>
  <c r="D419" i="3"/>
  <c r="F419" i="3" l="1"/>
  <c r="G419" i="3"/>
  <c r="J419" i="3" s="1"/>
  <c r="AD419" i="3" s="1"/>
  <c r="V419" i="3"/>
  <c r="A420" i="3"/>
  <c r="B420" i="3" s="1"/>
  <c r="I419" i="3" l="1"/>
  <c r="W419" i="3" s="1"/>
  <c r="M419" i="3"/>
  <c r="N419" i="3" s="1"/>
  <c r="L419" i="3"/>
  <c r="AC420" i="3"/>
  <c r="AA420" i="3"/>
  <c r="Z420" i="3"/>
  <c r="P420" i="3"/>
  <c r="Q420" i="3" s="1"/>
  <c r="R420" i="3" s="1"/>
  <c r="S420" i="3" s="1"/>
  <c r="T420" i="3" l="1"/>
  <c r="AH420" i="3" s="1"/>
  <c r="U419" i="3"/>
  <c r="Y418" i="3"/>
  <c r="E420" i="3" l="1"/>
  <c r="H420" i="3" s="1"/>
  <c r="K420" i="3" s="1"/>
  <c r="AE420" i="3" s="1"/>
  <c r="D420" i="3"/>
  <c r="AG420" i="3"/>
  <c r="V420" i="3" l="1"/>
  <c r="A421" i="3"/>
  <c r="B421" i="3" s="1"/>
  <c r="F420" i="3"/>
  <c r="G420" i="3"/>
  <c r="I420" i="3" l="1"/>
  <c r="W420" i="3" s="1"/>
  <c r="J420" i="3"/>
  <c r="AD420" i="3" s="1"/>
  <c r="M420" i="3"/>
  <c r="N420" i="3" s="1"/>
  <c r="Z421" i="3"/>
  <c r="P421" i="3"/>
  <c r="Q421" i="3" s="1"/>
  <c r="R421" i="3" s="1"/>
  <c r="S421" i="3" s="1"/>
  <c r="AC421" i="3"/>
  <c r="AA421" i="3"/>
  <c r="T421" i="3" l="1"/>
  <c r="L420" i="3"/>
  <c r="U420" i="3" l="1"/>
  <c r="D421" i="3" s="1"/>
  <c r="AH421" i="3"/>
  <c r="AG421" i="3"/>
  <c r="Y419" i="3"/>
  <c r="E421" i="3" l="1"/>
  <c r="H421" i="3" s="1"/>
  <c r="K421" i="3" s="1"/>
  <c r="AE421" i="3" s="1"/>
  <c r="G421" i="3"/>
  <c r="F421" i="3" l="1"/>
  <c r="V421" i="3"/>
  <c r="A422" i="3"/>
  <c r="B422" i="3" s="1"/>
  <c r="I421" i="3"/>
  <c r="J421" i="3"/>
  <c r="AD421" i="3" s="1"/>
  <c r="M421" i="3"/>
  <c r="N421" i="3" s="1"/>
  <c r="W421" i="3" l="1"/>
  <c r="L421" i="3"/>
  <c r="Z422" i="3"/>
  <c r="P422" i="3"/>
  <c r="Q422" i="3" s="1"/>
  <c r="R422" i="3" s="1"/>
  <c r="S422" i="3" s="1"/>
  <c r="AC422" i="3"/>
  <c r="AA422" i="3"/>
  <c r="U421" i="3" l="1"/>
  <c r="Y420" i="3"/>
  <c r="T422" i="3"/>
  <c r="D422" i="3" l="1"/>
  <c r="G422" i="3" s="1"/>
  <c r="AG422" i="3"/>
  <c r="E422" i="3"/>
  <c r="H422" i="3" s="1"/>
  <c r="K422" i="3" s="1"/>
  <c r="AE422" i="3" s="1"/>
  <c r="AH422" i="3"/>
  <c r="F422" i="3" l="1"/>
  <c r="V422" i="3"/>
  <c r="A423" i="3"/>
  <c r="B423" i="3" s="1"/>
  <c r="I422" i="3"/>
  <c r="J422" i="3"/>
  <c r="AD422" i="3" s="1"/>
  <c r="M422" i="3"/>
  <c r="N422" i="3" s="1"/>
  <c r="L422" i="3" l="1"/>
  <c r="W422" i="3"/>
  <c r="P423" i="3"/>
  <c r="Q423" i="3" s="1"/>
  <c r="R423" i="3" s="1"/>
  <c r="S423" i="3" s="1"/>
  <c r="Z423" i="3"/>
  <c r="AC423" i="3"/>
  <c r="AA423" i="3"/>
  <c r="U422" i="3" l="1"/>
  <c r="Y421" i="3"/>
  <c r="T423" i="3"/>
  <c r="D423" i="3" l="1"/>
  <c r="G423" i="3" s="1"/>
  <c r="AH423" i="3"/>
  <c r="E423" i="3"/>
  <c r="H423" i="3" s="1"/>
  <c r="K423" i="3" s="1"/>
  <c r="AE423" i="3" s="1"/>
  <c r="AG423" i="3"/>
  <c r="F423" i="3" l="1"/>
  <c r="V423" i="3"/>
  <c r="A424" i="3"/>
  <c r="B424" i="3" s="1"/>
  <c r="I423" i="3"/>
  <c r="J423" i="3"/>
  <c r="AD423" i="3" s="1"/>
  <c r="M423" i="3"/>
  <c r="N423" i="3" s="1"/>
  <c r="W423" i="3" l="1"/>
  <c r="L423" i="3"/>
  <c r="AA424" i="3"/>
  <c r="P424" i="3"/>
  <c r="Q424" i="3" s="1"/>
  <c r="R424" i="3" s="1"/>
  <c r="S424" i="3" s="1"/>
  <c r="Z424" i="3"/>
  <c r="AC424" i="3"/>
  <c r="T424" i="3" l="1"/>
  <c r="U423" i="3"/>
  <c r="Y422" i="3"/>
  <c r="D424" i="3" l="1"/>
  <c r="G424" i="3" s="1"/>
  <c r="E424" i="3"/>
  <c r="H424" i="3" s="1"/>
  <c r="K424" i="3" s="1"/>
  <c r="AE424" i="3" s="1"/>
  <c r="AG424" i="3"/>
  <c r="AH424" i="3"/>
  <c r="F424" i="3" l="1"/>
  <c r="V424" i="3"/>
  <c r="A425" i="3"/>
  <c r="B425" i="3" s="1"/>
  <c r="I424" i="3"/>
  <c r="J424" i="3"/>
  <c r="AD424" i="3" s="1"/>
  <c r="M424" i="3"/>
  <c r="N424" i="3" s="1"/>
  <c r="W424" i="3" l="1"/>
  <c r="L424" i="3"/>
  <c r="Z425" i="3"/>
  <c r="AA425" i="3"/>
  <c r="P425" i="3"/>
  <c r="Q425" i="3" s="1"/>
  <c r="R425" i="3" s="1"/>
  <c r="S425" i="3" s="1"/>
  <c r="AC425" i="3"/>
  <c r="AD425" i="3"/>
  <c r="U424" i="3" l="1"/>
  <c r="Y423" i="3"/>
  <c r="T425" i="3"/>
  <c r="E425" i="3" l="1"/>
  <c r="H425" i="3" s="1"/>
  <c r="K425" i="3" s="1"/>
  <c r="AE425" i="3" s="1"/>
  <c r="D425" i="3"/>
  <c r="G425" i="3" s="1"/>
  <c r="AH425" i="3"/>
  <c r="AG425" i="3"/>
  <c r="F425" i="3" l="1"/>
  <c r="I425" i="3"/>
  <c r="J425" i="3"/>
  <c r="M425" i="3"/>
  <c r="N425" i="3" s="1"/>
  <c r="V425" i="3"/>
  <c r="A426" i="3"/>
  <c r="B426" i="3" s="1"/>
  <c r="L425" i="3" l="1"/>
  <c r="W425" i="3"/>
  <c r="P426" i="3"/>
  <c r="Q426" i="3" s="1"/>
  <c r="R426" i="3" s="1"/>
  <c r="S426" i="3" s="1"/>
  <c r="AA426" i="3"/>
  <c r="AD426" i="3"/>
  <c r="Z426" i="3"/>
  <c r="AC426" i="3"/>
  <c r="U425" i="3" l="1"/>
  <c r="Y424" i="3"/>
  <c r="T426" i="3"/>
  <c r="AH426" i="3" s="1"/>
  <c r="E426" i="3" l="1"/>
  <c r="H426" i="3" s="1"/>
  <c r="D426" i="3"/>
  <c r="AG426" i="3"/>
  <c r="K426" i="3" l="1"/>
  <c r="AE426" i="3" s="1"/>
  <c r="F426" i="3"/>
  <c r="G426" i="3"/>
  <c r="V426" i="3" l="1"/>
  <c r="A427" i="3"/>
  <c r="B427" i="3" s="1"/>
  <c r="I426" i="3"/>
  <c r="J426" i="3"/>
  <c r="M426" i="3"/>
  <c r="N426" i="3" s="1"/>
  <c r="W426" i="3" l="1"/>
  <c r="L426" i="3"/>
  <c r="P427" i="3"/>
  <c r="Q427" i="3" s="1"/>
  <c r="R427" i="3" s="1"/>
  <c r="S427" i="3" s="1"/>
  <c r="AC427" i="3"/>
  <c r="Z427" i="3"/>
  <c r="AA427" i="3"/>
  <c r="U426" i="3" l="1"/>
  <c r="Y425" i="3"/>
  <c r="T427" i="3"/>
  <c r="AG427" i="3" s="1"/>
  <c r="D427" i="3" l="1"/>
  <c r="G427" i="3" s="1"/>
  <c r="E427" i="3"/>
  <c r="H427" i="3" s="1"/>
  <c r="K427" i="3" s="1"/>
  <c r="AE427" i="3" s="1"/>
  <c r="AH427" i="3"/>
  <c r="F427" i="3" l="1"/>
  <c r="I427" i="3"/>
  <c r="J427" i="3"/>
  <c r="AD427" i="3" s="1"/>
  <c r="M427" i="3"/>
  <c r="N427" i="3" s="1"/>
  <c r="V427" i="3"/>
  <c r="A428" i="3"/>
  <c r="B428" i="3" s="1"/>
  <c r="W427" i="3" l="1"/>
  <c r="L427" i="3"/>
  <c r="P428" i="3"/>
  <c r="Q428" i="3" s="1"/>
  <c r="R428" i="3" s="1"/>
  <c r="S428" i="3" s="1"/>
  <c r="AC428" i="3"/>
  <c r="Z428" i="3"/>
  <c r="AA428" i="3"/>
  <c r="AD428" i="3"/>
  <c r="U427" i="3" l="1"/>
  <c r="Y426" i="3"/>
  <c r="T428" i="3"/>
  <c r="AG428" i="3" s="1"/>
  <c r="E428" i="3" l="1"/>
  <c r="H428" i="3" s="1"/>
  <c r="AH428" i="3"/>
  <c r="D428" i="3"/>
  <c r="K428" i="3" l="1"/>
  <c r="AE428" i="3" s="1"/>
  <c r="F428" i="3"/>
  <c r="G428" i="3"/>
  <c r="I428" i="3" l="1"/>
  <c r="J428" i="3"/>
  <c r="M428" i="3"/>
  <c r="N428" i="3" s="1"/>
  <c r="V428" i="3"/>
  <c r="A429" i="3"/>
  <c r="B429" i="3" s="1"/>
  <c r="W428" i="3" l="1"/>
  <c r="AD429" i="3"/>
  <c r="Z429" i="3"/>
  <c r="AC429" i="3"/>
  <c r="P429" i="3"/>
  <c r="Q429" i="3" s="1"/>
  <c r="R429" i="3" s="1"/>
  <c r="S429" i="3" s="1"/>
  <c r="AA429" i="3"/>
  <c r="L428" i="3"/>
  <c r="U428" i="3" l="1"/>
  <c r="Y427" i="3"/>
  <c r="T429" i="3"/>
  <c r="D429" i="3" l="1"/>
  <c r="G429" i="3" s="1"/>
  <c r="E429" i="3"/>
  <c r="H429" i="3" s="1"/>
  <c r="K429" i="3" s="1"/>
  <c r="AE429" i="3" s="1"/>
  <c r="AG429" i="3"/>
  <c r="AH429" i="3"/>
  <c r="F429" i="3" l="1"/>
  <c r="I429" i="3"/>
  <c r="J429" i="3"/>
  <c r="M429" i="3"/>
  <c r="N429" i="3" s="1"/>
  <c r="V429" i="3"/>
  <c r="A430" i="3"/>
  <c r="B430" i="3" s="1"/>
  <c r="L429" i="3" l="1"/>
  <c r="W429" i="3"/>
  <c r="AA430" i="3"/>
  <c r="Z430" i="3"/>
  <c r="P430" i="3"/>
  <c r="Q430" i="3" s="1"/>
  <c r="R430" i="3" s="1"/>
  <c r="S430" i="3" s="1"/>
  <c r="AC430" i="3"/>
  <c r="AD430" i="3"/>
  <c r="U429" i="3" l="1"/>
  <c r="Y428" i="3"/>
  <c r="T430" i="3"/>
  <c r="D430" i="3" l="1"/>
  <c r="G430" i="3" s="1"/>
  <c r="AH430" i="3"/>
  <c r="E430" i="3"/>
  <c r="H430" i="3" s="1"/>
  <c r="AG430" i="3"/>
  <c r="F430" i="3" l="1"/>
  <c r="I430" i="3"/>
  <c r="J430" i="3"/>
  <c r="M430" i="3"/>
  <c r="N430" i="3" s="1"/>
  <c r="K430" i="3"/>
  <c r="AE430" i="3" s="1"/>
  <c r="V430" i="3" l="1"/>
  <c r="W430" i="3" s="1"/>
  <c r="A431" i="3"/>
  <c r="B431" i="3" s="1"/>
  <c r="L430" i="3"/>
  <c r="U430" i="3" l="1"/>
  <c r="Y429" i="3"/>
  <c r="AC431" i="3"/>
  <c r="Z431" i="3"/>
  <c r="P431" i="3"/>
  <c r="Q431" i="3" s="1"/>
  <c r="R431" i="3" s="1"/>
  <c r="S431" i="3" s="1"/>
  <c r="AA431" i="3"/>
  <c r="AD431" i="3"/>
  <c r="T431" i="3" l="1"/>
  <c r="AH431" i="3" s="1"/>
  <c r="E431" i="3" l="1"/>
  <c r="H431" i="3" s="1"/>
  <c r="AG431" i="3"/>
  <c r="D431" i="3"/>
  <c r="K431" i="3" l="1"/>
  <c r="AE431" i="3" s="1"/>
  <c r="F431" i="3"/>
  <c r="G431" i="3"/>
  <c r="V431" i="3" l="1"/>
  <c r="A432" i="3"/>
  <c r="B432" i="3" s="1"/>
  <c r="I431" i="3"/>
  <c r="J431" i="3"/>
  <c r="M431" i="3"/>
  <c r="N431" i="3" s="1"/>
  <c r="W431" i="3" l="1"/>
  <c r="L431" i="3"/>
  <c r="AA432" i="3"/>
  <c r="P432" i="3"/>
  <c r="Q432" i="3" s="1"/>
  <c r="R432" i="3" s="1"/>
  <c r="S432" i="3" s="1"/>
  <c r="AC432" i="3"/>
  <c r="Z432" i="3"/>
  <c r="AD432" i="3"/>
  <c r="T432" i="3" l="1"/>
  <c r="AH432" i="3" s="1"/>
  <c r="U431" i="3"/>
  <c r="Y430" i="3"/>
  <c r="AG432" i="3" l="1"/>
  <c r="E432" i="3"/>
  <c r="H432" i="3" s="1"/>
  <c r="D432" i="3"/>
  <c r="K432" i="3" l="1"/>
  <c r="AE432" i="3" s="1"/>
  <c r="F432" i="3"/>
  <c r="G432" i="3"/>
  <c r="I432" i="3" l="1"/>
  <c r="J432" i="3"/>
  <c r="M432" i="3"/>
  <c r="N432" i="3" s="1"/>
  <c r="V432" i="3"/>
  <c r="A433" i="3"/>
  <c r="B433" i="3" s="1"/>
  <c r="W432" i="3" l="1"/>
  <c r="L432" i="3"/>
  <c r="P433" i="3"/>
  <c r="Q433" i="3" s="1"/>
  <c r="R433" i="3" s="1"/>
  <c r="S433" i="3" s="1"/>
  <c r="AC433" i="3"/>
  <c r="Z433" i="3"/>
  <c r="AA433" i="3"/>
  <c r="AD433" i="3"/>
  <c r="U432" i="3" l="1"/>
  <c r="Y431" i="3"/>
  <c r="T433" i="3"/>
  <c r="E433" i="3" l="1"/>
  <c r="H433" i="3" s="1"/>
  <c r="K433" i="3" s="1"/>
  <c r="AE433" i="3" s="1"/>
  <c r="D433" i="3"/>
  <c r="AG433" i="3"/>
  <c r="AH433" i="3"/>
  <c r="F433" i="3" l="1"/>
  <c r="G433" i="3"/>
  <c r="M433" i="3" s="1"/>
  <c r="N433" i="3" s="1"/>
  <c r="V433" i="3"/>
  <c r="A434" i="3"/>
  <c r="B434" i="3" s="1"/>
  <c r="I433" i="3" l="1"/>
  <c r="W433" i="3" s="1"/>
  <c r="J433" i="3"/>
  <c r="L433" i="3" s="1"/>
  <c r="P434" i="3"/>
  <c r="Q434" i="3" s="1"/>
  <c r="R434" i="3" s="1"/>
  <c r="S434" i="3" s="1"/>
  <c r="Z434" i="3"/>
  <c r="AA434" i="3"/>
  <c r="AC434" i="3"/>
  <c r="U433" i="3" l="1"/>
  <c r="Y432" i="3"/>
  <c r="T434" i="3"/>
  <c r="AH434" i="3" s="1"/>
  <c r="E434" i="3" l="1"/>
  <c r="H434" i="3" s="1"/>
  <c r="K434" i="3" s="1"/>
  <c r="AE434" i="3" s="1"/>
  <c r="AG434" i="3"/>
  <c r="D434" i="3"/>
  <c r="F434" i="3" l="1"/>
  <c r="G434" i="3"/>
  <c r="M434" i="3" s="1"/>
  <c r="N434" i="3" s="1"/>
  <c r="V434" i="3"/>
  <c r="A435" i="3"/>
  <c r="B435" i="3" s="1"/>
  <c r="I434" i="3" l="1"/>
  <c r="W434" i="3" s="1"/>
  <c r="J434" i="3"/>
  <c r="P435" i="3"/>
  <c r="Q435" i="3" s="1"/>
  <c r="R435" i="3" s="1"/>
  <c r="S435" i="3" s="1"/>
  <c r="AA435" i="3"/>
  <c r="AD435" i="3"/>
  <c r="AC435" i="3"/>
  <c r="Z435" i="3"/>
  <c r="L434" i="3" l="1"/>
  <c r="Y433" i="3" s="1"/>
  <c r="AD434" i="3"/>
  <c r="T435" i="3"/>
  <c r="U434" i="3" l="1"/>
  <c r="E435" i="3" s="1"/>
  <c r="H435" i="3" s="1"/>
  <c r="AG435" i="3"/>
  <c r="AH435" i="3"/>
  <c r="D435" i="3" l="1"/>
  <c r="G435" i="3" s="1"/>
  <c r="I435" i="3" s="1"/>
  <c r="K435" i="3"/>
  <c r="AE435" i="3" s="1"/>
  <c r="J435" i="3" l="1"/>
  <c r="L435" i="3" s="1"/>
  <c r="M435" i="3"/>
  <c r="N435" i="3" s="1"/>
  <c r="F435" i="3"/>
  <c r="V435" i="3"/>
  <c r="W435" i="3" s="1"/>
  <c r="A436" i="3"/>
  <c r="B436" i="3" s="1"/>
  <c r="AC436" i="3" l="1"/>
  <c r="Z436" i="3"/>
  <c r="P436" i="3"/>
  <c r="Q436" i="3" s="1"/>
  <c r="R436" i="3" s="1"/>
  <c r="S436" i="3" s="1"/>
  <c r="AA436" i="3"/>
  <c r="AD436" i="3"/>
  <c r="U435" i="3"/>
  <c r="Y434" i="3"/>
  <c r="T436" i="3" l="1"/>
  <c r="E436" i="3" l="1"/>
  <c r="H436" i="3" s="1"/>
  <c r="D436" i="3"/>
  <c r="AH436" i="3"/>
  <c r="AG436" i="3"/>
  <c r="F436" i="3" l="1"/>
  <c r="G436" i="3"/>
  <c r="K436" i="3"/>
  <c r="AE436" i="3" s="1"/>
  <c r="I436" i="3" l="1"/>
  <c r="J436" i="3"/>
  <c r="M436" i="3"/>
  <c r="N436" i="3" s="1"/>
  <c r="V436" i="3"/>
  <c r="A437" i="3"/>
  <c r="B437" i="3" s="1"/>
  <c r="W436" i="3" l="1"/>
  <c r="L436" i="3"/>
  <c r="AC437" i="3"/>
  <c r="AA437" i="3"/>
  <c r="P437" i="3"/>
  <c r="Q437" i="3" s="1"/>
  <c r="R437" i="3" s="1"/>
  <c r="S437" i="3" s="1"/>
  <c r="Z437" i="3"/>
  <c r="U436" i="3" l="1"/>
  <c r="Y435" i="3"/>
  <c r="T437" i="3"/>
  <c r="AH437" i="3" s="1"/>
  <c r="D437" i="3" l="1"/>
  <c r="G437" i="3" s="1"/>
  <c r="E437" i="3"/>
  <c r="H437" i="3" s="1"/>
  <c r="K437" i="3" s="1"/>
  <c r="AE437" i="3" s="1"/>
  <c r="AG437" i="3"/>
  <c r="F437" i="3" l="1"/>
  <c r="I437" i="3"/>
  <c r="J437" i="3"/>
  <c r="AD437" i="3" s="1"/>
  <c r="M437" i="3"/>
  <c r="N437" i="3" s="1"/>
  <c r="V437" i="3"/>
  <c r="A438" i="3"/>
  <c r="B438" i="3" s="1"/>
  <c r="W437" i="3" l="1"/>
  <c r="L437" i="3"/>
  <c r="Z438" i="3"/>
  <c r="P438" i="3"/>
  <c r="Q438" i="3" s="1"/>
  <c r="R438" i="3" s="1"/>
  <c r="S438" i="3" s="1"/>
  <c r="AC438" i="3"/>
  <c r="AD438" i="3"/>
  <c r="AA438" i="3"/>
  <c r="U437" i="3" l="1"/>
  <c r="Y436" i="3"/>
  <c r="T438" i="3"/>
  <c r="E438" i="3" l="1"/>
  <c r="H438" i="3" s="1"/>
  <c r="K438" i="3" s="1"/>
  <c r="AE438" i="3" s="1"/>
  <c r="D438" i="3"/>
  <c r="AH438" i="3"/>
  <c r="AG438" i="3"/>
  <c r="V438" i="3" l="1"/>
  <c r="A439" i="3"/>
  <c r="B439" i="3" s="1"/>
  <c r="F438" i="3"/>
  <c r="G438" i="3"/>
  <c r="I438" i="3" l="1"/>
  <c r="W438" i="3" s="1"/>
  <c r="J438" i="3"/>
  <c r="M438" i="3"/>
  <c r="N438" i="3" s="1"/>
  <c r="Z439" i="3"/>
  <c r="P439" i="3"/>
  <c r="Q439" i="3" s="1"/>
  <c r="R439" i="3" s="1"/>
  <c r="S439" i="3" s="1"/>
  <c r="AD439" i="3"/>
  <c r="AC439" i="3"/>
  <c r="AA439" i="3"/>
  <c r="T439" i="3" l="1"/>
  <c r="L438" i="3"/>
  <c r="AG439" i="3" l="1"/>
  <c r="AH439" i="3"/>
  <c r="U438" i="3"/>
  <c r="E439" i="3" s="1"/>
  <c r="H439" i="3" s="1"/>
  <c r="Y437" i="3"/>
  <c r="D439" i="3" l="1"/>
  <c r="G439" i="3" s="1"/>
  <c r="K439" i="3"/>
  <c r="AE439" i="3" s="1"/>
  <c r="F439" i="3" l="1"/>
  <c r="V439" i="3"/>
  <c r="A440" i="3"/>
  <c r="B440" i="3" s="1"/>
  <c r="I439" i="3"/>
  <c r="J439" i="3"/>
  <c r="M439" i="3"/>
  <c r="N439" i="3" s="1"/>
  <c r="W439" i="3" l="1"/>
  <c r="L439" i="3"/>
  <c r="Z440" i="3"/>
  <c r="AC440" i="3"/>
  <c r="P440" i="3"/>
  <c r="Q440" i="3" s="1"/>
  <c r="R440" i="3" s="1"/>
  <c r="S440" i="3" s="1"/>
  <c r="AA440" i="3"/>
  <c r="AD440" i="3"/>
  <c r="T440" i="3" l="1"/>
  <c r="AH440" i="3" s="1"/>
  <c r="U439" i="3"/>
  <c r="Y438" i="3"/>
  <c r="AG440" i="3" l="1"/>
  <c r="D440" i="3"/>
  <c r="E440" i="3"/>
  <c r="H440" i="3" s="1"/>
  <c r="K440" i="3" l="1"/>
  <c r="AE440" i="3" s="1"/>
  <c r="F440" i="3"/>
  <c r="G440" i="3"/>
  <c r="I440" i="3" l="1"/>
  <c r="J440" i="3"/>
  <c r="M440" i="3"/>
  <c r="N440" i="3" s="1"/>
  <c r="V440" i="3"/>
  <c r="A441" i="3"/>
  <c r="B441" i="3" s="1"/>
  <c r="W440" i="3" l="1"/>
  <c r="L440" i="3"/>
  <c r="P441" i="3"/>
  <c r="Q441" i="3" s="1"/>
  <c r="R441" i="3" s="1"/>
  <c r="S441" i="3" s="1"/>
  <c r="AD441" i="3"/>
  <c r="AC441" i="3"/>
  <c r="Z441" i="3"/>
  <c r="AA441" i="3"/>
  <c r="T441" i="3" l="1"/>
  <c r="AH441" i="3" s="1"/>
  <c r="U440" i="3"/>
  <c r="Y439" i="3"/>
  <c r="E441" i="3" l="1"/>
  <c r="H441" i="3" s="1"/>
  <c r="K441" i="3" s="1"/>
  <c r="AE441" i="3" s="1"/>
  <c r="AG441" i="3"/>
  <c r="D441" i="3"/>
  <c r="V441" i="3" l="1"/>
  <c r="A442" i="3"/>
  <c r="B442" i="3" s="1"/>
  <c r="F441" i="3"/>
  <c r="G441" i="3"/>
  <c r="I441" i="3" l="1"/>
  <c r="W441" i="3" s="1"/>
  <c r="J441" i="3"/>
  <c r="M441" i="3"/>
  <c r="N441" i="3" s="1"/>
  <c r="AC442" i="3"/>
  <c r="AD442" i="3"/>
  <c r="AA442" i="3"/>
  <c r="P442" i="3"/>
  <c r="Q442" i="3" s="1"/>
  <c r="R442" i="3" s="1"/>
  <c r="S442" i="3" s="1"/>
  <c r="Z442" i="3"/>
  <c r="T442" i="3" l="1"/>
  <c r="L441" i="3"/>
  <c r="U441" i="3" l="1"/>
  <c r="D442" i="3" s="1"/>
  <c r="AH442" i="3"/>
  <c r="AG442" i="3"/>
  <c r="Y440" i="3"/>
  <c r="G442" i="3" l="1"/>
  <c r="E442" i="3"/>
  <c r="H442" i="3" s="1"/>
  <c r="I442" i="3" l="1"/>
  <c r="J442" i="3"/>
  <c r="M442" i="3"/>
  <c r="N442" i="3" s="1"/>
  <c r="F442" i="3"/>
  <c r="K442" i="3"/>
  <c r="AE442" i="3" s="1"/>
  <c r="V442" i="3" l="1"/>
  <c r="W442" i="3" s="1"/>
  <c r="A443" i="3"/>
  <c r="B443" i="3" s="1"/>
  <c r="L442" i="3"/>
  <c r="U442" i="3" l="1"/>
  <c r="Y441" i="3"/>
  <c r="Z443" i="3"/>
  <c r="P443" i="3"/>
  <c r="Q443" i="3" s="1"/>
  <c r="R443" i="3" s="1"/>
  <c r="S443" i="3" s="1"/>
  <c r="AD443" i="3"/>
  <c r="AC443" i="3"/>
  <c r="AA443" i="3"/>
  <c r="T443" i="3" l="1"/>
  <c r="D443" i="3" s="1"/>
  <c r="E443" i="3" l="1"/>
  <c r="H443" i="3" s="1"/>
  <c r="K443" i="3" s="1"/>
  <c r="AE443" i="3" s="1"/>
  <c r="G443" i="3"/>
  <c r="AG443" i="3"/>
  <c r="AH443" i="3"/>
  <c r="F443" i="3" l="1"/>
  <c r="V443" i="3"/>
  <c r="A444" i="3"/>
  <c r="B444" i="3" s="1"/>
  <c r="I443" i="3"/>
  <c r="J443" i="3"/>
  <c r="M443" i="3"/>
  <c r="N443" i="3" s="1"/>
  <c r="W443" i="3" l="1"/>
  <c r="L443" i="3"/>
  <c r="Z444" i="3"/>
  <c r="P444" i="3"/>
  <c r="Q444" i="3" s="1"/>
  <c r="R444" i="3" s="1"/>
  <c r="S444" i="3" s="1"/>
  <c r="AA444" i="3"/>
  <c r="AC444" i="3"/>
  <c r="U443" i="3" l="1"/>
  <c r="Y442" i="3"/>
  <c r="T444" i="3"/>
  <c r="AG444" i="3" s="1"/>
  <c r="AH444" i="3" l="1"/>
  <c r="D444" i="3"/>
  <c r="E444" i="3"/>
  <c r="H444" i="3" s="1"/>
  <c r="F444" i="3" l="1"/>
  <c r="G444" i="3"/>
  <c r="K444" i="3"/>
  <c r="AE444" i="3" s="1"/>
  <c r="I444" i="3" l="1"/>
  <c r="J444" i="3"/>
  <c r="AD444" i="3" s="1"/>
  <c r="M444" i="3"/>
  <c r="N444" i="3" s="1"/>
  <c r="V444" i="3"/>
  <c r="A445" i="3"/>
  <c r="B445" i="3" s="1"/>
  <c r="W444" i="3" l="1"/>
  <c r="L444" i="3"/>
  <c r="AA445" i="3"/>
  <c r="P445" i="3"/>
  <c r="Q445" i="3" s="1"/>
  <c r="R445" i="3" s="1"/>
  <c r="S445" i="3" s="1"/>
  <c r="Z445" i="3"/>
  <c r="AD445" i="3"/>
  <c r="AC445" i="3"/>
  <c r="T445" i="3" l="1"/>
  <c r="U444" i="3"/>
  <c r="Y443" i="3"/>
  <c r="D445" i="3" l="1"/>
  <c r="G445" i="3" s="1"/>
  <c r="AG445" i="3"/>
  <c r="E445" i="3"/>
  <c r="H445" i="3" s="1"/>
  <c r="AH445" i="3"/>
  <c r="K445" i="3" l="1"/>
  <c r="AE445" i="3" s="1"/>
  <c r="I445" i="3"/>
  <c r="J445" i="3"/>
  <c r="M445" i="3"/>
  <c r="N445" i="3" s="1"/>
  <c r="F445" i="3"/>
  <c r="L445" i="3" l="1"/>
  <c r="V445" i="3"/>
  <c r="W445" i="3" s="1"/>
  <c r="A446" i="3"/>
  <c r="B446" i="3" s="1"/>
  <c r="AD446" i="3" l="1"/>
  <c r="AC446" i="3"/>
  <c r="P446" i="3"/>
  <c r="Q446" i="3" s="1"/>
  <c r="R446" i="3" s="1"/>
  <c r="S446" i="3" s="1"/>
  <c r="Z446" i="3"/>
  <c r="AA446" i="3"/>
  <c r="U445" i="3"/>
  <c r="Y444" i="3"/>
  <c r="T446" i="3" l="1"/>
  <c r="D446" i="3" s="1"/>
  <c r="AG446" i="3" l="1"/>
  <c r="G446" i="3"/>
  <c r="E446" i="3"/>
  <c r="H446" i="3" s="1"/>
  <c r="AH446" i="3"/>
  <c r="K446" i="3" l="1"/>
  <c r="AE446" i="3" s="1"/>
  <c r="F446" i="3"/>
  <c r="I446" i="3"/>
  <c r="J446" i="3"/>
  <c r="M446" i="3"/>
  <c r="N446" i="3" s="1"/>
  <c r="L446" i="3" l="1"/>
  <c r="V446" i="3"/>
  <c r="W446" i="3" s="1"/>
  <c r="A447" i="3"/>
  <c r="B447" i="3" s="1"/>
  <c r="Z447" i="3" l="1"/>
  <c r="P447" i="3"/>
  <c r="Q447" i="3" s="1"/>
  <c r="R447" i="3" s="1"/>
  <c r="S447" i="3" s="1"/>
  <c r="AC447" i="3"/>
  <c r="AA447" i="3"/>
  <c r="U446" i="3"/>
  <c r="Y445" i="3"/>
  <c r="T447" i="3" l="1"/>
  <c r="AG447" i="3" s="1"/>
  <c r="D447" i="3" l="1"/>
  <c r="G447" i="3" s="1"/>
  <c r="AH447" i="3"/>
  <c r="E447" i="3"/>
  <c r="H447" i="3" s="1"/>
  <c r="K447" i="3" s="1"/>
  <c r="AE447" i="3" s="1"/>
  <c r="F447" i="3" l="1"/>
  <c r="I447" i="3"/>
  <c r="J447" i="3"/>
  <c r="AD447" i="3" s="1"/>
  <c r="M447" i="3"/>
  <c r="N447" i="3" s="1"/>
  <c r="V447" i="3"/>
  <c r="A448" i="3"/>
  <c r="B448" i="3" s="1"/>
  <c r="W447" i="3" l="1"/>
  <c r="L447" i="3"/>
  <c r="AD448" i="3"/>
  <c r="Z448" i="3"/>
  <c r="AA448" i="3"/>
  <c r="P448" i="3"/>
  <c r="Q448" i="3" s="1"/>
  <c r="R448" i="3" s="1"/>
  <c r="S448" i="3" s="1"/>
  <c r="AC448" i="3"/>
  <c r="T448" i="3" l="1"/>
  <c r="AG448" i="3" s="1"/>
  <c r="U447" i="3"/>
  <c r="Y446" i="3"/>
  <c r="D448" i="3" l="1"/>
  <c r="G448" i="3" s="1"/>
  <c r="E448" i="3"/>
  <c r="H448" i="3" s="1"/>
  <c r="AH448" i="3"/>
  <c r="F448" i="3" l="1"/>
  <c r="I448" i="3"/>
  <c r="J448" i="3"/>
  <c r="M448" i="3"/>
  <c r="N448" i="3" s="1"/>
  <c r="K448" i="3"/>
  <c r="AE448" i="3" s="1"/>
  <c r="V448" i="3" l="1"/>
  <c r="W448" i="3" s="1"/>
  <c r="A449" i="3"/>
  <c r="B449" i="3" s="1"/>
  <c r="L448" i="3"/>
  <c r="U448" i="3" l="1"/>
  <c r="Y447" i="3"/>
  <c r="P449" i="3"/>
  <c r="Q449" i="3" s="1"/>
  <c r="R449" i="3" s="1"/>
  <c r="S449" i="3" s="1"/>
  <c r="AD449" i="3"/>
  <c r="AA449" i="3"/>
  <c r="Z449" i="3"/>
  <c r="AC449" i="3"/>
  <c r="T449" i="3" l="1"/>
  <c r="D449" i="3" s="1"/>
  <c r="G449" i="3" l="1"/>
  <c r="AG449" i="3"/>
  <c r="AH449" i="3"/>
  <c r="E449" i="3"/>
  <c r="H449" i="3" s="1"/>
  <c r="K449" i="3" l="1"/>
  <c r="AE449" i="3" s="1"/>
  <c r="F449" i="3"/>
  <c r="I449" i="3"/>
  <c r="J449" i="3"/>
  <c r="M449" i="3"/>
  <c r="N449" i="3" s="1"/>
  <c r="L449" i="3" l="1"/>
  <c r="V449" i="3"/>
  <c r="W449" i="3" s="1"/>
  <c r="A450" i="3"/>
  <c r="B450" i="3" s="1"/>
  <c r="P450" i="3" l="1"/>
  <c r="Q450" i="3" s="1"/>
  <c r="R450" i="3" s="1"/>
  <c r="S450" i="3" s="1"/>
  <c r="AD450" i="3"/>
  <c r="Z450" i="3"/>
  <c r="AC450" i="3"/>
  <c r="AA450" i="3"/>
  <c r="U449" i="3"/>
  <c r="Y448" i="3"/>
  <c r="T450" i="3" l="1"/>
  <c r="D450" i="3" s="1"/>
  <c r="AH450" i="3" l="1"/>
  <c r="G450" i="3"/>
  <c r="E450" i="3"/>
  <c r="H450" i="3" s="1"/>
  <c r="AG450" i="3"/>
  <c r="F450" i="3" l="1"/>
  <c r="I450" i="3"/>
  <c r="J450" i="3"/>
  <c r="M450" i="3"/>
  <c r="N450" i="3" s="1"/>
  <c r="K450" i="3"/>
  <c r="AE450" i="3" s="1"/>
  <c r="V450" i="3" l="1"/>
  <c r="W450" i="3" s="1"/>
  <c r="A451" i="3"/>
  <c r="B451" i="3" s="1"/>
  <c r="L450" i="3"/>
  <c r="U450" i="3" l="1"/>
  <c r="Y449" i="3"/>
  <c r="P451" i="3"/>
  <c r="Q451" i="3" s="1"/>
  <c r="R451" i="3" s="1"/>
  <c r="S451" i="3" s="1"/>
  <c r="Z451" i="3"/>
  <c r="AD451" i="3"/>
  <c r="AA451" i="3"/>
  <c r="AC451" i="3"/>
  <c r="T451" i="3" l="1"/>
  <c r="AG451" i="3" s="1"/>
  <c r="E451" i="3" l="1"/>
  <c r="H451" i="3" s="1"/>
  <c r="K451" i="3" s="1"/>
  <c r="AE451" i="3" s="1"/>
  <c r="AH451" i="3"/>
  <c r="D451" i="3"/>
  <c r="V451" i="3" l="1"/>
  <c r="A452" i="3"/>
  <c r="B452" i="3" s="1"/>
  <c r="F451" i="3"/>
  <c r="G451" i="3"/>
  <c r="I451" i="3" l="1"/>
  <c r="W451" i="3" s="1"/>
  <c r="J451" i="3"/>
  <c r="M451" i="3"/>
  <c r="N451" i="3" s="1"/>
  <c r="AA452" i="3"/>
  <c r="P452" i="3"/>
  <c r="Q452" i="3" s="1"/>
  <c r="R452" i="3" s="1"/>
  <c r="S452" i="3" s="1"/>
  <c r="AC452" i="3"/>
  <c r="Z452" i="3"/>
  <c r="AD452" i="3"/>
  <c r="T452" i="3" l="1"/>
  <c r="L451" i="3"/>
  <c r="U451" i="3" l="1"/>
  <c r="D452" i="3" s="1"/>
  <c r="AH452" i="3"/>
  <c r="AG452" i="3"/>
  <c r="Y450" i="3"/>
  <c r="E452" i="3" l="1"/>
  <c r="H452" i="3" s="1"/>
  <c r="K452" i="3" s="1"/>
  <c r="AE452" i="3" s="1"/>
  <c r="G452" i="3"/>
  <c r="F452" i="3" l="1"/>
  <c r="I452" i="3"/>
  <c r="J452" i="3"/>
  <c r="M452" i="3"/>
  <c r="N452" i="3" s="1"/>
  <c r="V452" i="3"/>
  <c r="A453" i="3"/>
  <c r="B453" i="3" s="1"/>
  <c r="W452" i="3" l="1"/>
  <c r="L452" i="3"/>
  <c r="AA453" i="3"/>
  <c r="P453" i="3"/>
  <c r="Q453" i="3" s="1"/>
  <c r="R453" i="3" s="1"/>
  <c r="S453" i="3" s="1"/>
  <c r="AC453" i="3"/>
  <c r="AD453" i="3"/>
  <c r="Z453" i="3"/>
  <c r="U452" i="3" l="1"/>
  <c r="Y451" i="3"/>
  <c r="T453" i="3"/>
  <c r="AH453" i="3" s="1"/>
  <c r="AG453" i="3" l="1"/>
  <c r="E453" i="3"/>
  <c r="H453" i="3" s="1"/>
  <c r="D453" i="3"/>
  <c r="K453" i="3" l="1"/>
  <c r="AE453" i="3" s="1"/>
  <c r="F453" i="3"/>
  <c r="G453" i="3"/>
  <c r="I453" i="3" l="1"/>
  <c r="J453" i="3"/>
  <c r="M453" i="3"/>
  <c r="N453" i="3" s="1"/>
  <c r="V453" i="3"/>
  <c r="A454" i="3"/>
  <c r="B454" i="3" s="1"/>
  <c r="W453" i="3" l="1"/>
  <c r="AA454" i="3"/>
  <c r="AC454" i="3"/>
  <c r="Z454" i="3"/>
  <c r="P454" i="3"/>
  <c r="Q454" i="3" s="1"/>
  <c r="R454" i="3" s="1"/>
  <c r="S454" i="3" s="1"/>
  <c r="L453" i="3"/>
  <c r="U453" i="3" l="1"/>
  <c r="Y452" i="3"/>
  <c r="T454" i="3"/>
  <c r="E454" i="3" l="1"/>
  <c r="H454" i="3" s="1"/>
  <c r="K454" i="3" s="1"/>
  <c r="AE454" i="3" s="1"/>
  <c r="AH454" i="3"/>
  <c r="AG454" i="3"/>
  <c r="D454" i="3"/>
  <c r="F454" i="3" l="1"/>
  <c r="G454" i="3"/>
  <c r="V454" i="3"/>
  <c r="A455" i="3"/>
  <c r="B455" i="3" s="1"/>
  <c r="AC455" i="3" l="1"/>
  <c r="AD455" i="3"/>
  <c r="AA455" i="3"/>
  <c r="Z455" i="3"/>
  <c r="P455" i="3"/>
  <c r="Q455" i="3" s="1"/>
  <c r="R455" i="3" s="1"/>
  <c r="S455" i="3" s="1"/>
  <c r="I454" i="3"/>
  <c r="W454" i="3" s="1"/>
  <c r="J454" i="3"/>
  <c r="AD454" i="3" s="1"/>
  <c r="M454" i="3"/>
  <c r="N454" i="3" s="1"/>
  <c r="L454" i="3" l="1"/>
  <c r="T455" i="3"/>
  <c r="AH455" i="3" l="1"/>
  <c r="U454" i="3"/>
  <c r="D455" i="3" s="1"/>
  <c r="AG455" i="3"/>
  <c r="Y453" i="3"/>
  <c r="E455" i="3" l="1"/>
  <c r="H455" i="3" s="1"/>
  <c r="K455" i="3" s="1"/>
  <c r="AE455" i="3" s="1"/>
  <c r="G455" i="3"/>
  <c r="F455" i="3" l="1"/>
  <c r="I455" i="3"/>
  <c r="J455" i="3"/>
  <c r="M455" i="3"/>
  <c r="N455" i="3" s="1"/>
  <c r="V455" i="3"/>
  <c r="A456" i="3"/>
  <c r="B456" i="3" s="1"/>
  <c r="W455" i="3" l="1"/>
  <c r="L455" i="3"/>
  <c r="AC456" i="3"/>
  <c r="P456" i="3"/>
  <c r="Q456" i="3" s="1"/>
  <c r="R456" i="3" s="1"/>
  <c r="S456" i="3" s="1"/>
  <c r="AD456" i="3"/>
  <c r="Z456" i="3"/>
  <c r="AA456" i="3"/>
  <c r="U455" i="3" l="1"/>
  <c r="Y454" i="3"/>
  <c r="T456" i="3"/>
  <c r="AG456" i="3" s="1"/>
  <c r="D456" i="3" l="1"/>
  <c r="G456" i="3" s="1"/>
  <c r="AH456" i="3"/>
  <c r="E456" i="3"/>
  <c r="H456" i="3" s="1"/>
  <c r="I456" i="3" l="1"/>
  <c r="J456" i="3"/>
  <c r="M456" i="3"/>
  <c r="N456" i="3" s="1"/>
  <c r="K456" i="3"/>
  <c r="AE456" i="3" s="1"/>
  <c r="F456" i="3"/>
  <c r="V456" i="3" l="1"/>
  <c r="W456" i="3" s="1"/>
  <c r="A457" i="3"/>
  <c r="B457" i="3" s="1"/>
  <c r="L456" i="3"/>
  <c r="Z457" i="3" l="1"/>
  <c r="AC457" i="3"/>
  <c r="P457" i="3"/>
  <c r="Q457" i="3" s="1"/>
  <c r="R457" i="3" s="1"/>
  <c r="S457" i="3" s="1"/>
  <c r="AA457" i="3"/>
  <c r="U456" i="3"/>
  <c r="Y455" i="3"/>
  <c r="T457" i="3" l="1"/>
  <c r="D457" i="3" l="1"/>
  <c r="AH457" i="3"/>
  <c r="E457" i="3"/>
  <c r="H457" i="3" s="1"/>
  <c r="AG457" i="3"/>
  <c r="F457" i="3" l="1"/>
  <c r="G457" i="3"/>
  <c r="K457" i="3"/>
  <c r="AE457" i="3" s="1"/>
  <c r="I457" i="3" l="1"/>
  <c r="J457" i="3"/>
  <c r="AD457" i="3" s="1"/>
  <c r="M457" i="3"/>
  <c r="N457" i="3" s="1"/>
  <c r="V457" i="3"/>
  <c r="A458" i="3"/>
  <c r="B458" i="3" s="1"/>
  <c r="L457" i="3" l="1"/>
  <c r="W457" i="3"/>
  <c r="P458" i="3"/>
  <c r="Q458" i="3" s="1"/>
  <c r="R458" i="3" s="1"/>
  <c r="S458" i="3" s="1"/>
  <c r="AC458" i="3"/>
  <c r="Z458" i="3"/>
  <c r="AD458" i="3"/>
  <c r="AA458" i="3"/>
  <c r="U457" i="3" l="1"/>
  <c r="Y456" i="3"/>
  <c r="T458" i="3"/>
  <c r="AH458" i="3" s="1"/>
  <c r="AG458" i="3" l="1"/>
  <c r="E458" i="3"/>
  <c r="H458" i="3" s="1"/>
  <c r="D458" i="3"/>
  <c r="K458" i="3" l="1"/>
  <c r="AE458" i="3" s="1"/>
  <c r="F458" i="3"/>
  <c r="G458" i="3"/>
  <c r="V458" i="3" l="1"/>
  <c r="A459" i="3"/>
  <c r="B459" i="3" s="1"/>
  <c r="I458" i="3"/>
  <c r="J458" i="3"/>
  <c r="M458" i="3"/>
  <c r="N458" i="3" s="1"/>
  <c r="W458" i="3" l="1"/>
  <c r="L458" i="3"/>
  <c r="Z459" i="3"/>
  <c r="P459" i="3"/>
  <c r="Q459" i="3" s="1"/>
  <c r="R459" i="3" s="1"/>
  <c r="S459" i="3" s="1"/>
  <c r="AA459" i="3"/>
  <c r="AD459" i="3"/>
  <c r="AC459" i="3"/>
  <c r="T459" i="3" l="1"/>
  <c r="AH459" i="3" s="1"/>
  <c r="U458" i="3"/>
  <c r="Y457" i="3"/>
  <c r="AG459" i="3" l="1"/>
  <c r="D459" i="3"/>
  <c r="E459" i="3"/>
  <c r="H459" i="3" s="1"/>
  <c r="K459" i="3" l="1"/>
  <c r="AE459" i="3" s="1"/>
  <c r="F459" i="3"/>
  <c r="G459" i="3"/>
  <c r="I459" i="3" l="1"/>
  <c r="J459" i="3"/>
  <c r="M459" i="3"/>
  <c r="N459" i="3" s="1"/>
  <c r="V459" i="3"/>
  <c r="A460" i="3"/>
  <c r="B460" i="3" s="1"/>
  <c r="W459" i="3" l="1"/>
  <c r="L459" i="3"/>
  <c r="P460" i="3"/>
  <c r="Q460" i="3" s="1"/>
  <c r="R460" i="3" s="1"/>
  <c r="S460" i="3" s="1"/>
  <c r="AD460" i="3"/>
  <c r="Z460" i="3"/>
  <c r="AA460" i="3"/>
  <c r="AC460" i="3"/>
  <c r="U459" i="3" l="1"/>
  <c r="Y458" i="3"/>
  <c r="T460" i="3"/>
  <c r="D460" i="3" l="1"/>
  <c r="G460" i="3" s="1"/>
  <c r="AH460" i="3"/>
  <c r="E460" i="3"/>
  <c r="H460" i="3" s="1"/>
  <c r="AG460" i="3"/>
  <c r="F460" i="3" l="1"/>
  <c r="I460" i="3"/>
  <c r="J460" i="3"/>
  <c r="M460" i="3"/>
  <c r="N460" i="3" s="1"/>
  <c r="K460" i="3"/>
  <c r="AE460" i="3" s="1"/>
  <c r="V460" i="3" l="1"/>
  <c r="W460" i="3" s="1"/>
  <c r="A461" i="3"/>
  <c r="B461" i="3" s="1"/>
  <c r="L460" i="3"/>
  <c r="U460" i="3" l="1"/>
  <c r="Y459" i="3"/>
  <c r="AC461" i="3"/>
  <c r="Z461" i="3"/>
  <c r="P461" i="3"/>
  <c r="Q461" i="3" s="1"/>
  <c r="R461" i="3" s="1"/>
  <c r="S461" i="3" s="1"/>
  <c r="AA461" i="3"/>
  <c r="AD461" i="3"/>
  <c r="T461" i="3" l="1"/>
  <c r="D461" i="3" s="1"/>
  <c r="AG461" i="3" l="1"/>
  <c r="G461" i="3"/>
  <c r="AH461" i="3"/>
  <c r="E461" i="3"/>
  <c r="H461" i="3" s="1"/>
  <c r="F461" i="3" l="1"/>
  <c r="I461" i="3"/>
  <c r="J461" i="3"/>
  <c r="M461" i="3"/>
  <c r="N461" i="3" s="1"/>
  <c r="K461" i="3"/>
  <c r="AE461" i="3" s="1"/>
  <c r="V461" i="3" l="1"/>
  <c r="W461" i="3" s="1"/>
  <c r="A462" i="3"/>
  <c r="B462" i="3" s="1"/>
  <c r="L461" i="3"/>
  <c r="U461" i="3" l="1"/>
  <c r="Y460" i="3"/>
  <c r="Z462" i="3"/>
  <c r="P462" i="3"/>
  <c r="Q462" i="3" s="1"/>
  <c r="R462" i="3" s="1"/>
  <c r="S462" i="3" s="1"/>
  <c r="AD462" i="3"/>
  <c r="AA462" i="3"/>
  <c r="AC462" i="3"/>
  <c r="T462" i="3" l="1"/>
  <c r="E462" i="3" s="1"/>
  <c r="H462" i="3" s="1"/>
  <c r="AG462" i="3" l="1"/>
  <c r="AH462" i="3"/>
  <c r="D462" i="3"/>
  <c r="G462" i="3" s="1"/>
  <c r="K462" i="3"/>
  <c r="AE462" i="3" s="1"/>
  <c r="F462" i="3" l="1"/>
  <c r="V462" i="3"/>
  <c r="A463" i="3"/>
  <c r="B463" i="3" s="1"/>
  <c r="I462" i="3"/>
  <c r="J462" i="3"/>
  <c r="M462" i="3"/>
  <c r="N462" i="3" s="1"/>
  <c r="W462" i="3" l="1"/>
  <c r="L462" i="3"/>
  <c r="P463" i="3"/>
  <c r="Q463" i="3" s="1"/>
  <c r="R463" i="3" s="1"/>
  <c r="S463" i="3" s="1"/>
  <c r="AC463" i="3"/>
  <c r="Z463" i="3"/>
  <c r="AA463" i="3"/>
  <c r="AD463" i="3"/>
  <c r="U462" i="3" l="1"/>
  <c r="Y461" i="3"/>
  <c r="T463" i="3"/>
  <c r="AH463" i="3" s="1"/>
  <c r="AG463" i="3" l="1"/>
  <c r="D463" i="3"/>
  <c r="E463" i="3"/>
  <c r="H463" i="3" s="1"/>
  <c r="F463" i="3" l="1"/>
  <c r="G463" i="3"/>
  <c r="K463" i="3"/>
  <c r="AE463" i="3" s="1"/>
  <c r="V463" i="3" l="1"/>
  <c r="A464" i="3"/>
  <c r="B464" i="3" s="1"/>
  <c r="I463" i="3"/>
  <c r="J463" i="3"/>
  <c r="M463" i="3"/>
  <c r="N463" i="3" s="1"/>
  <c r="W463" i="3" l="1"/>
  <c r="L463" i="3"/>
  <c r="Z464" i="3"/>
  <c r="AC464" i="3"/>
  <c r="P464" i="3"/>
  <c r="Q464" i="3" s="1"/>
  <c r="R464" i="3" s="1"/>
  <c r="S464" i="3" s="1"/>
  <c r="AA464" i="3"/>
  <c r="T464" i="3" l="1"/>
  <c r="AG464" i="3" s="1"/>
  <c r="U463" i="3"/>
  <c r="Y462" i="3"/>
  <c r="AH464" i="3" l="1"/>
  <c r="D464" i="3"/>
  <c r="E464" i="3"/>
  <c r="H464" i="3" s="1"/>
  <c r="K464" i="3" l="1"/>
  <c r="AE464" i="3" s="1"/>
  <c r="F464" i="3"/>
  <c r="G464" i="3"/>
  <c r="I464" i="3" l="1"/>
  <c r="J464" i="3"/>
  <c r="AD464" i="3" s="1"/>
  <c r="M464" i="3"/>
  <c r="N464" i="3" s="1"/>
  <c r="V464" i="3"/>
  <c r="A465" i="3"/>
  <c r="B465" i="3" s="1"/>
  <c r="W464" i="3" l="1"/>
  <c r="L464" i="3"/>
  <c r="Z465" i="3"/>
  <c r="P465" i="3"/>
  <c r="Q465" i="3" s="1"/>
  <c r="R465" i="3" s="1"/>
  <c r="S465" i="3" s="1"/>
  <c r="AC465" i="3"/>
  <c r="AA465" i="3"/>
  <c r="AD465" i="3"/>
  <c r="T465" i="3" l="1"/>
  <c r="AH465" i="3" s="1"/>
  <c r="U464" i="3"/>
  <c r="Y463" i="3"/>
  <c r="D465" i="3" l="1"/>
  <c r="G465" i="3" s="1"/>
  <c r="E465" i="3"/>
  <c r="H465" i="3" s="1"/>
  <c r="AG465" i="3"/>
  <c r="F465" i="3" l="1"/>
  <c r="I465" i="3"/>
  <c r="J465" i="3"/>
  <c r="M465" i="3"/>
  <c r="N465" i="3" s="1"/>
  <c r="K465" i="3"/>
  <c r="AE465" i="3" s="1"/>
  <c r="V465" i="3" l="1"/>
  <c r="W465" i="3" s="1"/>
  <c r="A466" i="3"/>
  <c r="B466" i="3" s="1"/>
  <c r="L465" i="3"/>
  <c r="U465" i="3" l="1"/>
  <c r="Y464" i="3"/>
  <c r="AA466" i="3"/>
  <c r="AD466" i="3"/>
  <c r="AC466" i="3"/>
  <c r="Z466" i="3"/>
  <c r="P466" i="3"/>
  <c r="Q466" i="3" s="1"/>
  <c r="R466" i="3" s="1"/>
  <c r="S466" i="3" s="1"/>
  <c r="T466" i="3" l="1"/>
  <c r="AH466" i="3" s="1"/>
  <c r="AG466" i="3" l="1"/>
  <c r="E466" i="3"/>
  <c r="H466" i="3" s="1"/>
  <c r="K466" i="3" s="1"/>
  <c r="AE466" i="3" s="1"/>
  <c r="D466" i="3"/>
  <c r="G466" i="3" s="1"/>
  <c r="F466" i="3" l="1"/>
  <c r="I466" i="3"/>
  <c r="J466" i="3"/>
  <c r="M466" i="3"/>
  <c r="N466" i="3" s="1"/>
  <c r="V466" i="3"/>
  <c r="A467" i="3"/>
  <c r="B467" i="3" s="1"/>
  <c r="W466" i="3" l="1"/>
  <c r="L466" i="3"/>
  <c r="P467" i="3"/>
  <c r="Q467" i="3" s="1"/>
  <c r="R467" i="3" s="1"/>
  <c r="S467" i="3" s="1"/>
  <c r="AA467" i="3"/>
  <c r="Z467" i="3"/>
  <c r="AC467" i="3"/>
  <c r="U466" i="3" l="1"/>
  <c r="Y465" i="3"/>
  <c r="T467" i="3"/>
  <c r="E467" i="3" l="1"/>
  <c r="H467" i="3" s="1"/>
  <c r="K467" i="3" s="1"/>
  <c r="AE467" i="3" s="1"/>
  <c r="AG467" i="3"/>
  <c r="D467" i="3"/>
  <c r="AH467" i="3"/>
  <c r="F467" i="3" l="1"/>
  <c r="G467" i="3"/>
  <c r="V467" i="3"/>
  <c r="A468" i="3"/>
  <c r="B468" i="3" s="1"/>
  <c r="AC468" i="3" l="1"/>
  <c r="Z468" i="3"/>
  <c r="P468" i="3"/>
  <c r="Q468" i="3" s="1"/>
  <c r="R468" i="3" s="1"/>
  <c r="S468" i="3" s="1"/>
  <c r="AA468" i="3"/>
  <c r="AD468" i="3"/>
  <c r="I467" i="3"/>
  <c r="W467" i="3" s="1"/>
  <c r="J467" i="3"/>
  <c r="AD467" i="3" s="1"/>
  <c r="M467" i="3"/>
  <c r="N467" i="3" s="1"/>
  <c r="L467" i="3" l="1"/>
  <c r="T468" i="3"/>
  <c r="U467" i="3" l="1"/>
  <c r="D468" i="3" s="1"/>
  <c r="AH468" i="3"/>
  <c r="AG468" i="3"/>
  <c r="Y466" i="3"/>
  <c r="E468" i="3" l="1"/>
  <c r="H468" i="3" s="1"/>
  <c r="K468" i="3" s="1"/>
  <c r="AE468" i="3" s="1"/>
  <c r="G468" i="3"/>
  <c r="F468" i="3" l="1"/>
  <c r="I468" i="3"/>
  <c r="J468" i="3"/>
  <c r="M468" i="3"/>
  <c r="N468" i="3" s="1"/>
  <c r="V468" i="3"/>
  <c r="A469" i="3"/>
  <c r="B469" i="3" s="1"/>
  <c r="W468" i="3" l="1"/>
  <c r="L468" i="3"/>
  <c r="AD469" i="3"/>
  <c r="AA469" i="3"/>
  <c r="P469" i="3"/>
  <c r="Q469" i="3" s="1"/>
  <c r="R469" i="3" s="1"/>
  <c r="S469" i="3" s="1"/>
  <c r="Z469" i="3"/>
  <c r="AC469" i="3"/>
  <c r="U468" i="3" l="1"/>
  <c r="Y467" i="3"/>
  <c r="T469" i="3"/>
  <c r="AG469" i="3" s="1"/>
  <c r="D469" i="3" l="1"/>
  <c r="G469" i="3" s="1"/>
  <c r="AH469" i="3"/>
  <c r="E469" i="3"/>
  <c r="H469" i="3" s="1"/>
  <c r="K469" i="3" s="1"/>
  <c r="AE469" i="3" s="1"/>
  <c r="F469" i="3" l="1"/>
  <c r="I469" i="3"/>
  <c r="J469" i="3"/>
  <c r="M469" i="3"/>
  <c r="N469" i="3" s="1"/>
  <c r="V469" i="3"/>
  <c r="A470" i="3"/>
  <c r="B470" i="3" s="1"/>
  <c r="W469" i="3" l="1"/>
  <c r="L469" i="3"/>
  <c r="AC470" i="3"/>
  <c r="P470" i="3"/>
  <c r="Q470" i="3" s="1"/>
  <c r="R470" i="3" s="1"/>
  <c r="S470" i="3" s="1"/>
  <c r="AA470" i="3"/>
  <c r="Z470" i="3"/>
  <c r="AD470" i="3"/>
  <c r="U469" i="3" l="1"/>
  <c r="Y468" i="3"/>
  <c r="T470" i="3"/>
  <c r="D470" i="3" l="1"/>
  <c r="G470" i="3" s="1"/>
  <c r="AH470" i="3"/>
  <c r="AG470" i="3"/>
  <c r="E470" i="3"/>
  <c r="H470" i="3" s="1"/>
  <c r="K470" i="3" l="1"/>
  <c r="AE470" i="3" s="1"/>
  <c r="F470" i="3"/>
  <c r="I470" i="3"/>
  <c r="J470" i="3"/>
  <c r="M470" i="3"/>
  <c r="N470" i="3" s="1"/>
  <c r="V470" i="3" l="1"/>
  <c r="W470" i="3" s="1"/>
  <c r="A471" i="3"/>
  <c r="B471" i="3" s="1"/>
  <c r="L470" i="3"/>
  <c r="U470" i="3" l="1"/>
  <c r="Y469" i="3"/>
  <c r="Z471" i="3"/>
  <c r="AA471" i="3"/>
  <c r="AD471" i="3"/>
  <c r="AC471" i="3"/>
  <c r="P471" i="3"/>
  <c r="Q471" i="3" s="1"/>
  <c r="R471" i="3" s="1"/>
  <c r="S471" i="3" s="1"/>
  <c r="T471" i="3" l="1"/>
  <c r="AH471" i="3" s="1"/>
  <c r="AG471" i="3" l="1"/>
  <c r="E471" i="3"/>
  <c r="H471" i="3" s="1"/>
  <c r="D471" i="3"/>
  <c r="F471" i="3" l="1"/>
  <c r="G471" i="3"/>
  <c r="K471" i="3"/>
  <c r="AE471" i="3" s="1"/>
  <c r="V471" i="3" l="1"/>
  <c r="A472" i="3"/>
  <c r="B472" i="3" s="1"/>
  <c r="I471" i="3"/>
  <c r="J471" i="3"/>
  <c r="M471" i="3"/>
  <c r="N471" i="3" s="1"/>
  <c r="W471" i="3" l="1"/>
  <c r="L471" i="3"/>
  <c r="Z472" i="3"/>
  <c r="AA472" i="3"/>
  <c r="P472" i="3"/>
  <c r="Q472" i="3" s="1"/>
  <c r="R472" i="3" s="1"/>
  <c r="S472" i="3" s="1"/>
  <c r="AD472" i="3"/>
  <c r="AC472" i="3"/>
  <c r="U471" i="3" l="1"/>
  <c r="Y470" i="3"/>
  <c r="T472" i="3"/>
  <c r="E472" i="3" l="1"/>
  <c r="H472" i="3" s="1"/>
  <c r="K472" i="3" s="1"/>
  <c r="AE472" i="3" s="1"/>
  <c r="AG472" i="3"/>
  <c r="AH472" i="3"/>
  <c r="D472" i="3"/>
  <c r="V472" i="3" l="1"/>
  <c r="A473" i="3"/>
  <c r="B473" i="3" s="1"/>
  <c r="F472" i="3"/>
  <c r="G472" i="3"/>
  <c r="I472" i="3" l="1"/>
  <c r="W472" i="3" s="1"/>
  <c r="J472" i="3"/>
  <c r="M472" i="3"/>
  <c r="N472" i="3" s="1"/>
  <c r="AC473" i="3"/>
  <c r="P473" i="3"/>
  <c r="Q473" i="3" s="1"/>
  <c r="R473" i="3" s="1"/>
  <c r="S473" i="3" s="1"/>
  <c r="AD473" i="3"/>
  <c r="Z473" i="3"/>
  <c r="AA473" i="3"/>
  <c r="L472" i="3" l="1"/>
  <c r="T473" i="3"/>
  <c r="U472" i="3" l="1"/>
  <c r="D473" i="3" s="1"/>
  <c r="AH473" i="3"/>
  <c r="AG473" i="3"/>
  <c r="Y471" i="3"/>
  <c r="G473" i="3" l="1"/>
  <c r="E473" i="3"/>
  <c r="H473" i="3" s="1"/>
  <c r="F473" i="3" l="1"/>
  <c r="I473" i="3"/>
  <c r="J473" i="3"/>
  <c r="M473" i="3"/>
  <c r="N473" i="3" s="1"/>
  <c r="K473" i="3"/>
  <c r="AE473" i="3" s="1"/>
  <c r="V473" i="3" l="1"/>
  <c r="W473" i="3" s="1"/>
  <c r="A474" i="3"/>
  <c r="B474" i="3" s="1"/>
  <c r="L473" i="3"/>
  <c r="U473" i="3" l="1"/>
  <c r="Y472" i="3"/>
  <c r="P474" i="3"/>
  <c r="Q474" i="3" s="1"/>
  <c r="R474" i="3" s="1"/>
  <c r="S474" i="3" s="1"/>
  <c r="Z474" i="3"/>
  <c r="AA474" i="3"/>
  <c r="AC474" i="3"/>
  <c r="T474" i="3" l="1"/>
  <c r="D474" i="3" s="1"/>
  <c r="AG474" i="3" l="1"/>
  <c r="AH474" i="3"/>
  <c r="G474" i="3"/>
  <c r="E474" i="3"/>
  <c r="H474" i="3" s="1"/>
  <c r="I474" i="3" l="1"/>
  <c r="J474" i="3"/>
  <c r="AD474" i="3" s="1"/>
  <c r="M474" i="3"/>
  <c r="N474" i="3" s="1"/>
  <c r="F474" i="3"/>
  <c r="K474" i="3"/>
  <c r="AE474" i="3" s="1"/>
  <c r="V474" i="3" l="1"/>
  <c r="W474" i="3" s="1"/>
  <c r="A475" i="3"/>
  <c r="B475" i="3" s="1"/>
  <c r="L474" i="3"/>
  <c r="U474" i="3" l="1"/>
  <c r="Y473" i="3"/>
  <c r="AC475" i="3"/>
  <c r="Z475" i="3"/>
  <c r="P475" i="3"/>
  <c r="Q475" i="3" s="1"/>
  <c r="R475" i="3" s="1"/>
  <c r="S475" i="3" s="1"/>
  <c r="AD475" i="3"/>
  <c r="AA475" i="3"/>
  <c r="T475" i="3" l="1"/>
  <c r="AG475" i="3" s="1"/>
  <c r="AH475" i="3" l="1"/>
  <c r="E475" i="3"/>
  <c r="H475" i="3" s="1"/>
  <c r="K475" i="3" s="1"/>
  <c r="AE475" i="3" s="1"/>
  <c r="D475" i="3"/>
  <c r="F475" i="3" l="1"/>
  <c r="G475" i="3"/>
  <c r="M475" i="3" s="1"/>
  <c r="N475" i="3" s="1"/>
  <c r="V475" i="3"/>
  <c r="A476" i="3"/>
  <c r="B476" i="3" s="1"/>
  <c r="I475" i="3" l="1"/>
  <c r="W475" i="3" s="1"/>
  <c r="J475" i="3"/>
  <c r="L475" i="3" s="1"/>
  <c r="P476" i="3"/>
  <c r="Q476" i="3" s="1"/>
  <c r="R476" i="3" s="1"/>
  <c r="S476" i="3" s="1"/>
  <c r="AA476" i="3"/>
  <c r="AD476" i="3"/>
  <c r="Z476" i="3"/>
  <c r="AC476" i="3"/>
  <c r="U475" i="3" l="1"/>
  <c r="Y474" i="3"/>
  <c r="T476" i="3"/>
  <c r="AG476" i="3" s="1"/>
  <c r="D476" i="3" l="1"/>
  <c r="G476" i="3" s="1"/>
  <c r="E476" i="3"/>
  <c r="H476" i="3" s="1"/>
  <c r="K476" i="3" s="1"/>
  <c r="AE476" i="3" s="1"/>
  <c r="AH476" i="3"/>
  <c r="F476" i="3" l="1"/>
  <c r="V476" i="3"/>
  <c r="A477" i="3"/>
  <c r="B477" i="3" s="1"/>
  <c r="I476" i="3"/>
  <c r="J476" i="3"/>
  <c r="M476" i="3"/>
  <c r="N476" i="3" s="1"/>
  <c r="W476" i="3" l="1"/>
  <c r="L476" i="3"/>
  <c r="AA477" i="3"/>
  <c r="P477" i="3"/>
  <c r="Q477" i="3" s="1"/>
  <c r="R477" i="3" s="1"/>
  <c r="S477" i="3" s="1"/>
  <c r="AC477" i="3"/>
  <c r="Z477" i="3"/>
  <c r="U476" i="3" l="1"/>
  <c r="Y475" i="3"/>
  <c r="T477" i="3"/>
  <c r="D477" i="3" l="1"/>
  <c r="G477" i="3" s="1"/>
  <c r="AG477" i="3"/>
  <c r="E477" i="3"/>
  <c r="H477" i="3" s="1"/>
  <c r="K477" i="3" s="1"/>
  <c r="AE477" i="3" s="1"/>
  <c r="AH477" i="3"/>
  <c r="F477" i="3" l="1"/>
  <c r="V477" i="3"/>
  <c r="A478" i="3"/>
  <c r="B478" i="3" s="1"/>
  <c r="I477" i="3"/>
  <c r="J477" i="3"/>
  <c r="AD477" i="3" s="1"/>
  <c r="M477" i="3"/>
  <c r="N477" i="3" s="1"/>
  <c r="W477" i="3" l="1"/>
  <c r="L477" i="3"/>
  <c r="AA478" i="3"/>
  <c r="AD478" i="3"/>
  <c r="P478" i="3"/>
  <c r="Q478" i="3" s="1"/>
  <c r="R478" i="3" s="1"/>
  <c r="S478" i="3" s="1"/>
  <c r="AC478" i="3"/>
  <c r="Z478" i="3"/>
  <c r="T478" i="3" l="1"/>
  <c r="U477" i="3"/>
  <c r="Y476" i="3"/>
  <c r="E478" i="3" l="1"/>
  <c r="H478" i="3" s="1"/>
  <c r="K478" i="3" s="1"/>
  <c r="AE478" i="3" s="1"/>
  <c r="AG478" i="3"/>
  <c r="AH478" i="3"/>
  <c r="D478" i="3"/>
  <c r="F478" i="3" l="1"/>
  <c r="G478" i="3"/>
  <c r="V478" i="3"/>
  <c r="A479" i="3"/>
  <c r="B479" i="3" s="1"/>
  <c r="I478" i="3" l="1"/>
  <c r="W478" i="3" s="1"/>
  <c r="J478" i="3"/>
  <c r="M478" i="3"/>
  <c r="N478" i="3" s="1"/>
  <c r="P479" i="3"/>
  <c r="Q479" i="3" s="1"/>
  <c r="R479" i="3" s="1"/>
  <c r="S479" i="3" s="1"/>
  <c r="AD479" i="3"/>
  <c r="AC479" i="3"/>
  <c r="AA479" i="3"/>
  <c r="Z479" i="3"/>
  <c r="T479" i="3" l="1"/>
  <c r="L478" i="3"/>
  <c r="U478" i="3" l="1"/>
  <c r="E479" i="3" s="1"/>
  <c r="H479" i="3" s="1"/>
  <c r="AH479" i="3"/>
  <c r="AG479" i="3"/>
  <c r="Y477" i="3"/>
  <c r="D479" i="3" l="1"/>
  <c r="G479" i="3" s="1"/>
  <c r="K479" i="3"/>
  <c r="AE479" i="3" s="1"/>
  <c r="F479" i="3" l="1"/>
  <c r="I479" i="3"/>
  <c r="J479" i="3"/>
  <c r="M479" i="3"/>
  <c r="N479" i="3" s="1"/>
  <c r="V479" i="3"/>
  <c r="A480" i="3"/>
  <c r="B480" i="3" s="1"/>
  <c r="W479" i="3" l="1"/>
  <c r="AA480" i="3"/>
  <c r="P480" i="3"/>
  <c r="Q480" i="3" s="1"/>
  <c r="R480" i="3" s="1"/>
  <c r="S480" i="3" s="1"/>
  <c r="AD480" i="3"/>
  <c r="AC480" i="3"/>
  <c r="Z480" i="3"/>
  <c r="L479" i="3"/>
  <c r="U479" i="3" l="1"/>
  <c r="Y478" i="3"/>
  <c r="T480" i="3"/>
  <c r="E480" i="3" l="1"/>
  <c r="H480" i="3" s="1"/>
  <c r="K480" i="3" s="1"/>
  <c r="AE480" i="3" s="1"/>
  <c r="AH480" i="3"/>
  <c r="AG480" i="3"/>
  <c r="D480" i="3"/>
  <c r="V480" i="3" l="1"/>
  <c r="A481" i="3"/>
  <c r="B481" i="3" s="1"/>
  <c r="F480" i="3"/>
  <c r="G480" i="3"/>
  <c r="I480" i="3" l="1"/>
  <c r="W480" i="3" s="1"/>
  <c r="J480" i="3"/>
  <c r="M480" i="3"/>
  <c r="N480" i="3" s="1"/>
  <c r="P481" i="3"/>
  <c r="Q481" i="3" s="1"/>
  <c r="R481" i="3" s="1"/>
  <c r="S481" i="3" s="1"/>
  <c r="AC481" i="3"/>
  <c r="AA481" i="3"/>
  <c r="AD481" i="3"/>
  <c r="Z481" i="3"/>
  <c r="T481" i="3" l="1"/>
  <c r="L480" i="3"/>
  <c r="U480" i="3" l="1"/>
  <c r="D481" i="3" s="1"/>
  <c r="AG481" i="3"/>
  <c r="AH481" i="3"/>
  <c r="Y479" i="3"/>
  <c r="G481" i="3" l="1"/>
  <c r="E481" i="3"/>
  <c r="H481" i="3" s="1"/>
  <c r="K481" i="3" l="1"/>
  <c r="AE481" i="3" s="1"/>
  <c r="I481" i="3"/>
  <c r="J481" i="3"/>
  <c r="M481" i="3"/>
  <c r="N481" i="3" s="1"/>
  <c r="F481" i="3"/>
  <c r="V481" i="3" l="1"/>
  <c r="W481" i="3" s="1"/>
  <c r="A482" i="3"/>
  <c r="B482" i="3" s="1"/>
  <c r="L481" i="3"/>
  <c r="U481" i="3" l="1"/>
  <c r="Y480" i="3"/>
  <c r="AC482" i="3"/>
  <c r="AA482" i="3"/>
  <c r="P482" i="3"/>
  <c r="Q482" i="3" s="1"/>
  <c r="R482" i="3" s="1"/>
  <c r="S482" i="3" s="1"/>
  <c r="AD482" i="3"/>
  <c r="Z482" i="3"/>
  <c r="T482" i="3" l="1"/>
  <c r="D482" i="3" s="1"/>
  <c r="AG482" i="3" l="1"/>
  <c r="G482" i="3"/>
  <c r="AH482" i="3"/>
  <c r="E482" i="3"/>
  <c r="H482" i="3" s="1"/>
  <c r="F482" i="3" l="1"/>
  <c r="I482" i="3"/>
  <c r="J482" i="3"/>
  <c r="M482" i="3"/>
  <c r="N482" i="3" s="1"/>
  <c r="K482" i="3"/>
  <c r="AE482" i="3" s="1"/>
  <c r="V482" i="3" l="1"/>
  <c r="W482" i="3" s="1"/>
  <c r="A483" i="3"/>
  <c r="B483" i="3" s="1"/>
  <c r="L482" i="3"/>
  <c r="U482" i="3" l="1"/>
  <c r="Y481" i="3"/>
  <c r="P483" i="3"/>
  <c r="Q483" i="3" s="1"/>
  <c r="R483" i="3" s="1"/>
  <c r="S483" i="3" s="1"/>
  <c r="Z483" i="3"/>
  <c r="AC483" i="3"/>
  <c r="AD483" i="3"/>
  <c r="AA483" i="3"/>
  <c r="T483" i="3" l="1"/>
  <c r="E483" i="3" s="1"/>
  <c r="H483" i="3" s="1"/>
  <c r="AG483" i="3" l="1"/>
  <c r="AH483" i="3"/>
  <c r="D483" i="3"/>
  <c r="G483" i="3" s="1"/>
  <c r="K483" i="3"/>
  <c r="AE483" i="3" s="1"/>
  <c r="F483" i="3" l="1"/>
  <c r="I483" i="3"/>
  <c r="J483" i="3"/>
  <c r="M483" i="3"/>
  <c r="N483" i="3" s="1"/>
  <c r="V483" i="3"/>
  <c r="A484" i="3"/>
  <c r="B484" i="3" s="1"/>
  <c r="W483" i="3" l="1"/>
  <c r="L483" i="3"/>
  <c r="AC484" i="3"/>
  <c r="Z484" i="3"/>
  <c r="AA484" i="3"/>
  <c r="P484" i="3"/>
  <c r="Q484" i="3" s="1"/>
  <c r="R484" i="3" s="1"/>
  <c r="S484" i="3" s="1"/>
  <c r="T484" i="3" l="1"/>
  <c r="U483" i="3"/>
  <c r="Y482" i="3"/>
  <c r="E484" i="3" l="1"/>
  <c r="H484" i="3" s="1"/>
  <c r="K484" i="3" s="1"/>
  <c r="AE484" i="3" s="1"/>
  <c r="D484" i="3"/>
  <c r="G484" i="3" s="1"/>
  <c r="AG484" i="3"/>
  <c r="AH484" i="3"/>
  <c r="F484" i="3" l="1"/>
  <c r="V484" i="3"/>
  <c r="A485" i="3"/>
  <c r="B485" i="3" s="1"/>
  <c r="I484" i="3"/>
  <c r="J484" i="3"/>
  <c r="AD484" i="3" s="1"/>
  <c r="M484" i="3"/>
  <c r="N484" i="3" s="1"/>
  <c r="W484" i="3" l="1"/>
  <c r="L484" i="3"/>
  <c r="P485" i="3"/>
  <c r="Q485" i="3" s="1"/>
  <c r="R485" i="3" s="1"/>
  <c r="S485" i="3" s="1"/>
  <c r="AD485" i="3"/>
  <c r="AA485" i="3"/>
  <c r="AC485" i="3"/>
  <c r="Z485" i="3"/>
  <c r="U484" i="3" l="1"/>
  <c r="Y483" i="3"/>
  <c r="T485" i="3"/>
  <c r="D485" i="3" l="1"/>
  <c r="G485" i="3" s="1"/>
  <c r="AG485" i="3"/>
  <c r="AH485" i="3"/>
  <c r="E485" i="3"/>
  <c r="H485" i="3" s="1"/>
  <c r="K485" i="3" s="1"/>
  <c r="AE485" i="3" s="1"/>
  <c r="F485" i="3" l="1"/>
  <c r="I485" i="3"/>
  <c r="J485" i="3"/>
  <c r="M485" i="3"/>
  <c r="N485" i="3" s="1"/>
  <c r="V485" i="3"/>
  <c r="A486" i="3"/>
  <c r="B486" i="3" s="1"/>
  <c r="W485" i="3" l="1"/>
  <c r="L485" i="3"/>
  <c r="AA486" i="3"/>
  <c r="P486" i="3"/>
  <c r="Q486" i="3" s="1"/>
  <c r="R486" i="3" s="1"/>
  <c r="S486" i="3" s="1"/>
  <c r="AC486" i="3"/>
  <c r="AD486" i="3"/>
  <c r="Z486" i="3"/>
  <c r="T486" i="3" l="1"/>
  <c r="AH486" i="3" s="1"/>
  <c r="U485" i="3"/>
  <c r="Y484" i="3"/>
  <c r="D486" i="3" l="1"/>
  <c r="G486" i="3" s="1"/>
  <c r="AG486" i="3"/>
  <c r="E486" i="3"/>
  <c r="H486" i="3" s="1"/>
  <c r="K486" i="3" s="1"/>
  <c r="AE486" i="3" s="1"/>
  <c r="F486" i="3" l="1"/>
  <c r="V486" i="3"/>
  <c r="A487" i="3"/>
  <c r="B487" i="3" s="1"/>
  <c r="I486" i="3"/>
  <c r="J486" i="3"/>
  <c r="M486" i="3"/>
  <c r="N486" i="3" s="1"/>
  <c r="W486" i="3" l="1"/>
  <c r="L486" i="3"/>
  <c r="AA487" i="3"/>
  <c r="P487" i="3"/>
  <c r="Q487" i="3" s="1"/>
  <c r="R487" i="3" s="1"/>
  <c r="S487" i="3" s="1"/>
  <c r="AC487" i="3"/>
  <c r="Z487" i="3"/>
  <c r="T487" i="3" l="1"/>
  <c r="U486" i="3"/>
  <c r="Y485" i="3"/>
  <c r="E487" i="3" l="1"/>
  <c r="H487" i="3" s="1"/>
  <c r="K487" i="3" s="1"/>
  <c r="AE487" i="3" s="1"/>
  <c r="D487" i="3"/>
  <c r="AH487" i="3"/>
  <c r="AG487" i="3"/>
  <c r="V487" i="3" l="1"/>
  <c r="A488" i="3"/>
  <c r="B488" i="3" s="1"/>
  <c r="F487" i="3"/>
  <c r="G487" i="3"/>
  <c r="I487" i="3" l="1"/>
  <c r="W487" i="3" s="1"/>
  <c r="J487" i="3"/>
  <c r="AD487" i="3" s="1"/>
  <c r="M487" i="3"/>
  <c r="N487" i="3" s="1"/>
  <c r="AA488" i="3"/>
  <c r="AD488" i="3"/>
  <c r="Z488" i="3"/>
  <c r="P488" i="3"/>
  <c r="Q488" i="3" s="1"/>
  <c r="R488" i="3" s="1"/>
  <c r="S488" i="3" s="1"/>
  <c r="AC488" i="3"/>
  <c r="L487" i="3" l="1"/>
  <c r="T488" i="3"/>
  <c r="U487" i="3" l="1"/>
  <c r="D488" i="3" s="1"/>
  <c r="AG488" i="3"/>
  <c r="AH488" i="3"/>
  <c r="Y486" i="3"/>
  <c r="E488" i="3" l="1"/>
  <c r="H488" i="3" s="1"/>
  <c r="K488" i="3" s="1"/>
  <c r="AE488" i="3" s="1"/>
  <c r="G488" i="3"/>
  <c r="F488" i="3" l="1"/>
  <c r="I488" i="3"/>
  <c r="J488" i="3"/>
  <c r="M488" i="3"/>
  <c r="N488" i="3" s="1"/>
  <c r="V488" i="3"/>
  <c r="A489" i="3"/>
  <c r="B489" i="3" s="1"/>
  <c r="W488" i="3" l="1"/>
  <c r="L488" i="3"/>
  <c r="P489" i="3"/>
  <c r="Q489" i="3" s="1"/>
  <c r="R489" i="3" s="1"/>
  <c r="S489" i="3" s="1"/>
  <c r="AC489" i="3"/>
  <c r="AA489" i="3"/>
  <c r="AD489" i="3"/>
  <c r="Z489" i="3"/>
  <c r="U488" i="3" l="1"/>
  <c r="Y487" i="3"/>
  <c r="T489" i="3"/>
  <c r="AH489" i="3" s="1"/>
  <c r="AG489" i="3" l="1"/>
  <c r="D489" i="3"/>
  <c r="E489" i="3"/>
  <c r="H489" i="3" s="1"/>
  <c r="K489" i="3" s="1"/>
  <c r="AE489" i="3" s="1"/>
  <c r="F489" i="3" l="1"/>
  <c r="G489" i="3"/>
  <c r="M489" i="3" s="1"/>
  <c r="N489" i="3" s="1"/>
  <c r="V489" i="3"/>
  <c r="A490" i="3"/>
  <c r="B490" i="3" s="1"/>
  <c r="I489" i="3" l="1"/>
  <c r="W489" i="3" s="1"/>
  <c r="J489" i="3"/>
  <c r="L489" i="3" s="1"/>
  <c r="Z490" i="3"/>
  <c r="AC490" i="3"/>
  <c r="P490" i="3"/>
  <c r="Q490" i="3" s="1"/>
  <c r="R490" i="3" s="1"/>
  <c r="S490" i="3" s="1"/>
  <c r="AD490" i="3"/>
  <c r="AA490" i="3"/>
  <c r="T490" i="3" l="1"/>
  <c r="AH490" i="3" s="1"/>
  <c r="U489" i="3"/>
  <c r="Y488" i="3"/>
  <c r="E490" i="3" l="1"/>
  <c r="H490" i="3" s="1"/>
  <c r="K490" i="3" s="1"/>
  <c r="AE490" i="3" s="1"/>
  <c r="D490" i="3"/>
  <c r="AG490" i="3"/>
  <c r="V490" i="3" l="1"/>
  <c r="A491" i="3"/>
  <c r="B491" i="3" s="1"/>
  <c r="F490" i="3"/>
  <c r="G490" i="3"/>
  <c r="I490" i="3" l="1"/>
  <c r="W490" i="3" s="1"/>
  <c r="J490" i="3"/>
  <c r="M490" i="3"/>
  <c r="N490" i="3" s="1"/>
  <c r="P491" i="3"/>
  <c r="Q491" i="3" s="1"/>
  <c r="R491" i="3" s="1"/>
  <c r="S491" i="3" s="1"/>
  <c r="Z491" i="3"/>
  <c r="AD491" i="3"/>
  <c r="AC491" i="3"/>
  <c r="AA491" i="3"/>
  <c r="T491" i="3" l="1"/>
  <c r="L490" i="3"/>
  <c r="AH491" i="3" l="1"/>
  <c r="U490" i="3"/>
  <c r="D491" i="3" s="1"/>
  <c r="AG491" i="3"/>
  <c r="Y489" i="3"/>
  <c r="E491" i="3" l="1"/>
  <c r="H491" i="3" s="1"/>
  <c r="K491" i="3" s="1"/>
  <c r="AE491" i="3" s="1"/>
  <c r="G491" i="3"/>
  <c r="F491" i="3" l="1"/>
  <c r="I491" i="3"/>
  <c r="J491" i="3"/>
  <c r="M491" i="3"/>
  <c r="N491" i="3" s="1"/>
  <c r="V491" i="3"/>
  <c r="A492" i="3"/>
  <c r="B492" i="3" s="1"/>
  <c r="W491" i="3" l="1"/>
  <c r="L491" i="3"/>
  <c r="AC492" i="3"/>
  <c r="AA492" i="3"/>
  <c r="P492" i="3"/>
  <c r="Q492" i="3" s="1"/>
  <c r="R492" i="3" s="1"/>
  <c r="S492" i="3" s="1"/>
  <c r="Z492" i="3"/>
  <c r="AD492" i="3"/>
  <c r="T492" i="3" l="1"/>
  <c r="U491" i="3"/>
  <c r="Y490" i="3"/>
  <c r="D492" i="3" l="1"/>
  <c r="G492" i="3" s="1"/>
  <c r="AH492" i="3"/>
  <c r="AG492" i="3"/>
  <c r="E492" i="3"/>
  <c r="H492" i="3" s="1"/>
  <c r="F492" i="3" l="1"/>
  <c r="I492" i="3"/>
  <c r="J492" i="3"/>
  <c r="M492" i="3"/>
  <c r="N492" i="3" s="1"/>
  <c r="K492" i="3"/>
  <c r="AE492" i="3" s="1"/>
  <c r="L492" i="3" l="1"/>
  <c r="V492" i="3"/>
  <c r="W492" i="3" s="1"/>
  <c r="A493" i="3"/>
  <c r="B493" i="3" s="1"/>
  <c r="U492" i="3" l="1"/>
  <c r="Y491" i="3"/>
  <c r="P493" i="3"/>
  <c r="Q493" i="3" s="1"/>
  <c r="R493" i="3" s="1"/>
  <c r="S493" i="3" s="1"/>
  <c r="AC493" i="3"/>
  <c r="AA493" i="3"/>
  <c r="Z493" i="3"/>
  <c r="AD493" i="3"/>
  <c r="T493" i="3" l="1"/>
  <c r="AH493" i="3" s="1"/>
  <c r="AG493" i="3" l="1"/>
  <c r="E493" i="3"/>
  <c r="H493" i="3" s="1"/>
  <c r="K493" i="3" s="1"/>
  <c r="AE493" i="3" s="1"/>
  <c r="D493" i="3"/>
  <c r="F493" i="3" l="1"/>
  <c r="G493" i="3"/>
  <c r="J493" i="3" s="1"/>
  <c r="V493" i="3"/>
  <c r="A494" i="3"/>
  <c r="B494" i="3" s="1"/>
  <c r="M493" i="3" l="1"/>
  <c r="N493" i="3" s="1"/>
  <c r="I493" i="3"/>
  <c r="W493" i="3" s="1"/>
  <c r="L493" i="3"/>
  <c r="P494" i="3"/>
  <c r="Q494" i="3" s="1"/>
  <c r="R494" i="3" s="1"/>
  <c r="S494" i="3" s="1"/>
  <c r="AC494" i="3"/>
  <c r="Z494" i="3"/>
  <c r="AA494" i="3"/>
  <c r="T494" i="3" l="1"/>
  <c r="AH494" i="3" s="1"/>
  <c r="U493" i="3"/>
  <c r="Y492" i="3"/>
  <c r="E494" i="3" l="1"/>
  <c r="H494" i="3" s="1"/>
  <c r="K494" i="3" s="1"/>
  <c r="AE494" i="3" s="1"/>
  <c r="D494" i="3"/>
  <c r="AG494" i="3"/>
  <c r="F494" i="3" l="1"/>
  <c r="G494" i="3"/>
  <c r="V494" i="3"/>
  <c r="A495" i="3"/>
  <c r="B495" i="3" s="1"/>
  <c r="Z495" i="3" l="1"/>
  <c r="P495" i="3"/>
  <c r="Q495" i="3" s="1"/>
  <c r="R495" i="3" s="1"/>
  <c r="S495" i="3" s="1"/>
  <c r="AA495" i="3"/>
  <c r="AD495" i="3"/>
  <c r="AC495" i="3"/>
  <c r="I494" i="3"/>
  <c r="W494" i="3" s="1"/>
  <c r="J494" i="3"/>
  <c r="AD494" i="3" s="1"/>
  <c r="M494" i="3"/>
  <c r="N494" i="3" s="1"/>
  <c r="L494" i="3" l="1"/>
  <c r="T495" i="3"/>
  <c r="AG495" i="3" l="1"/>
  <c r="U494" i="3"/>
  <c r="D495" i="3" s="1"/>
  <c r="AH495" i="3"/>
  <c r="Y493" i="3"/>
  <c r="E495" i="3" l="1"/>
  <c r="H495" i="3" s="1"/>
  <c r="K495" i="3" s="1"/>
  <c r="AE495" i="3" s="1"/>
  <c r="G495" i="3"/>
  <c r="F495" i="3" l="1"/>
  <c r="V495" i="3"/>
  <c r="A496" i="3"/>
  <c r="B496" i="3" s="1"/>
  <c r="I495" i="3"/>
  <c r="J495" i="3"/>
  <c r="M495" i="3"/>
  <c r="N495" i="3" s="1"/>
  <c r="W495" i="3" l="1"/>
  <c r="L495" i="3"/>
  <c r="AD496" i="3"/>
  <c r="AA496" i="3"/>
  <c r="P496" i="3"/>
  <c r="Q496" i="3" s="1"/>
  <c r="R496" i="3" s="1"/>
  <c r="S496" i="3" s="1"/>
  <c r="Z496" i="3"/>
  <c r="AC496" i="3"/>
  <c r="U495" i="3" l="1"/>
  <c r="Y494" i="3"/>
  <c r="T496" i="3"/>
  <c r="AH496" i="3" s="1"/>
  <c r="D496" i="3" l="1"/>
  <c r="G496" i="3" s="1"/>
  <c r="AG496" i="3"/>
  <c r="E496" i="3"/>
  <c r="H496" i="3" s="1"/>
  <c r="K496" i="3" s="1"/>
  <c r="AE496" i="3" s="1"/>
  <c r="F496" i="3" l="1"/>
  <c r="V496" i="3"/>
  <c r="A497" i="3"/>
  <c r="B497" i="3" s="1"/>
  <c r="I496" i="3"/>
  <c r="J496" i="3"/>
  <c r="M496" i="3"/>
  <c r="N496" i="3" s="1"/>
  <c r="W496" i="3" l="1"/>
  <c r="L496" i="3"/>
  <c r="P497" i="3"/>
  <c r="Q497" i="3" s="1"/>
  <c r="R497" i="3" s="1"/>
  <c r="S497" i="3" s="1"/>
  <c r="AC497" i="3"/>
  <c r="AA497" i="3"/>
  <c r="Z497" i="3"/>
  <c r="U496" i="3" l="1"/>
  <c r="Y495" i="3"/>
  <c r="T497" i="3"/>
  <c r="AG497" i="3" s="1"/>
  <c r="E497" i="3" l="1"/>
  <c r="H497" i="3" s="1"/>
  <c r="D497" i="3"/>
  <c r="AH497" i="3"/>
  <c r="F497" i="3" l="1"/>
  <c r="G497" i="3"/>
  <c r="K497" i="3"/>
  <c r="AE497" i="3" s="1"/>
  <c r="I497" i="3" l="1"/>
  <c r="J497" i="3"/>
  <c r="AD497" i="3" s="1"/>
  <c r="M497" i="3"/>
  <c r="N497" i="3" s="1"/>
  <c r="V497" i="3"/>
  <c r="A498" i="3"/>
  <c r="B498" i="3" s="1"/>
  <c r="W497" i="3" l="1"/>
  <c r="L497" i="3"/>
  <c r="Z498" i="3"/>
  <c r="AC498" i="3"/>
  <c r="AD498" i="3"/>
  <c r="AA498" i="3"/>
  <c r="P498" i="3"/>
  <c r="Q498" i="3" s="1"/>
  <c r="R498" i="3" s="1"/>
  <c r="S498" i="3" s="1"/>
  <c r="U497" i="3" l="1"/>
  <c r="Y496" i="3"/>
  <c r="T498" i="3"/>
  <c r="AH498" i="3" s="1"/>
  <c r="AG498" i="3" l="1"/>
  <c r="D498" i="3"/>
  <c r="E498" i="3"/>
  <c r="H498" i="3" s="1"/>
  <c r="F498" i="3" l="1"/>
  <c r="G498" i="3"/>
  <c r="K498" i="3"/>
  <c r="AE498" i="3" s="1"/>
  <c r="I498" i="3" l="1"/>
  <c r="J498" i="3"/>
  <c r="M498" i="3"/>
  <c r="N498" i="3" s="1"/>
  <c r="V498" i="3"/>
  <c r="A499" i="3"/>
  <c r="B499" i="3" s="1"/>
  <c r="W498" i="3" l="1"/>
  <c r="L498" i="3"/>
  <c r="AC499" i="3"/>
  <c r="P499" i="3"/>
  <c r="Q499" i="3" s="1"/>
  <c r="R499" i="3" s="1"/>
  <c r="S499" i="3" s="1"/>
  <c r="AD499" i="3"/>
  <c r="AA499" i="3"/>
  <c r="Z499" i="3"/>
  <c r="T499" i="3" l="1"/>
  <c r="U498" i="3"/>
  <c r="Y497" i="3"/>
  <c r="D499" i="3" l="1"/>
  <c r="G499" i="3" s="1"/>
  <c r="AH499" i="3"/>
  <c r="E499" i="3"/>
  <c r="H499" i="3" s="1"/>
  <c r="AG499" i="3"/>
  <c r="F499" i="3" l="1"/>
  <c r="I499" i="3"/>
  <c r="J499" i="3"/>
  <c r="M499" i="3"/>
  <c r="N499" i="3" s="1"/>
  <c r="K499" i="3"/>
  <c r="AE499" i="3" s="1"/>
  <c r="V499" i="3" l="1"/>
  <c r="W499" i="3" s="1"/>
  <c r="A500" i="3"/>
  <c r="B500" i="3" s="1"/>
  <c r="L499" i="3"/>
  <c r="U499" i="3" l="1"/>
  <c r="Y498" i="3"/>
  <c r="AD500" i="3"/>
  <c r="AA500" i="3"/>
  <c r="AC500" i="3"/>
  <c r="P500" i="3"/>
  <c r="Q500" i="3" s="1"/>
  <c r="R500" i="3" s="1"/>
  <c r="S500" i="3" s="1"/>
  <c r="Z500" i="3"/>
  <c r="T500" i="3" l="1"/>
  <c r="AH500" i="3" s="1"/>
  <c r="D500" i="3" l="1"/>
  <c r="AG500" i="3"/>
  <c r="E500" i="3"/>
  <c r="H500" i="3" s="1"/>
  <c r="F500" i="3" l="1"/>
  <c r="G500" i="3"/>
  <c r="K500" i="3"/>
  <c r="AE500" i="3" s="1"/>
  <c r="I500" i="3" l="1"/>
  <c r="J500" i="3"/>
  <c r="M500" i="3"/>
  <c r="N500" i="3" s="1"/>
  <c r="V500" i="3"/>
  <c r="A501" i="3"/>
  <c r="B501" i="3" s="1"/>
  <c r="W500" i="3" l="1"/>
  <c r="L500" i="3"/>
  <c r="P501" i="3"/>
  <c r="Q501" i="3" s="1"/>
  <c r="R501" i="3" s="1"/>
  <c r="S501" i="3" s="1"/>
  <c r="AC501" i="3"/>
  <c r="AD501" i="3"/>
  <c r="Z501" i="3"/>
  <c r="AA501" i="3"/>
  <c r="U500" i="3" l="1"/>
  <c r="Y499" i="3"/>
  <c r="T501" i="3"/>
  <c r="D501" i="3" l="1"/>
  <c r="G501" i="3" s="1"/>
  <c r="E501" i="3"/>
  <c r="H501" i="3" s="1"/>
  <c r="K501" i="3" s="1"/>
  <c r="AE501" i="3" s="1"/>
  <c r="AG501" i="3"/>
  <c r="AH501" i="3"/>
  <c r="F501" i="3" l="1"/>
  <c r="I501" i="3"/>
  <c r="J501" i="3"/>
  <c r="M501" i="3"/>
  <c r="N501" i="3" s="1"/>
  <c r="V501" i="3"/>
  <c r="A502" i="3"/>
  <c r="B502" i="3" s="1"/>
  <c r="L501" i="3" l="1"/>
  <c r="W501" i="3"/>
  <c r="Z502" i="3"/>
  <c r="AA502" i="3"/>
  <c r="AC502" i="3"/>
  <c r="AD502" i="3"/>
  <c r="P502" i="3"/>
  <c r="Q502" i="3" s="1"/>
  <c r="R502" i="3" s="1"/>
  <c r="S502" i="3" s="1"/>
  <c r="U501" i="3" l="1"/>
  <c r="Y500" i="3"/>
  <c r="T502" i="3"/>
  <c r="E502" i="3" l="1"/>
  <c r="H502" i="3" s="1"/>
  <c r="K502" i="3" s="1"/>
  <c r="AE502" i="3" s="1"/>
  <c r="AG502" i="3"/>
  <c r="D502" i="3"/>
  <c r="AH502" i="3"/>
  <c r="F502" i="3" l="1"/>
  <c r="G502" i="3"/>
  <c r="V502" i="3"/>
  <c r="A503" i="3"/>
  <c r="B503" i="3" s="1"/>
  <c r="I502" i="3" l="1"/>
  <c r="W502" i="3" s="1"/>
  <c r="J502" i="3"/>
  <c r="M502" i="3"/>
  <c r="N502" i="3" s="1"/>
  <c r="AA503" i="3"/>
  <c r="P503" i="3"/>
  <c r="Q503" i="3" s="1"/>
  <c r="R503" i="3" s="1"/>
  <c r="S503" i="3" s="1"/>
  <c r="AD503" i="3"/>
  <c r="AC503" i="3"/>
  <c r="Z503" i="3"/>
  <c r="T503" i="3" l="1"/>
  <c r="L502" i="3"/>
  <c r="AG503" i="3" l="1"/>
  <c r="AH503" i="3"/>
  <c r="U502" i="3"/>
  <c r="E503" i="3" s="1"/>
  <c r="H503" i="3" s="1"/>
  <c r="Y501" i="3"/>
  <c r="D503" i="3" l="1"/>
  <c r="G503" i="3" s="1"/>
  <c r="K503" i="3"/>
  <c r="AE503" i="3" s="1"/>
  <c r="F503" i="3" l="1"/>
  <c r="V503" i="3"/>
  <c r="A504" i="3"/>
  <c r="B504" i="3" s="1"/>
  <c r="I503" i="3"/>
  <c r="J503" i="3"/>
  <c r="M503" i="3"/>
  <c r="N503" i="3" s="1"/>
  <c r="W503" i="3" l="1"/>
  <c r="L503" i="3"/>
  <c r="P504" i="3"/>
  <c r="Q504" i="3" s="1"/>
  <c r="R504" i="3" s="1"/>
  <c r="S504" i="3" s="1"/>
  <c r="Z504" i="3"/>
  <c r="AA504" i="3"/>
  <c r="AC504" i="3"/>
  <c r="U503" i="3" l="1"/>
  <c r="Y502" i="3"/>
  <c r="T504" i="3"/>
  <c r="AG504" i="3" s="1"/>
  <c r="E504" i="3" l="1"/>
  <c r="H504" i="3" s="1"/>
  <c r="K504" i="3" s="1"/>
  <c r="AE504" i="3" s="1"/>
  <c r="D504" i="3"/>
  <c r="AH504" i="3"/>
  <c r="F504" i="3" l="1"/>
  <c r="G504" i="3"/>
  <c r="I504" i="3" s="1"/>
  <c r="V504" i="3"/>
  <c r="A505" i="3"/>
  <c r="B505" i="3" s="1"/>
  <c r="J504" i="3" l="1"/>
  <c r="W504" i="3"/>
  <c r="M504" i="3"/>
  <c r="N504" i="3" s="1"/>
  <c r="P505" i="3"/>
  <c r="Q505" i="3" s="1"/>
  <c r="R505" i="3" s="1"/>
  <c r="S505" i="3" s="1"/>
  <c r="AC505" i="3"/>
  <c r="Z505" i="3"/>
  <c r="AD505" i="3"/>
  <c r="AA505" i="3"/>
  <c r="L504" i="3" l="1"/>
  <c r="Y503" i="3" s="1"/>
  <c r="AD504" i="3"/>
  <c r="T505" i="3"/>
  <c r="AH505" i="3" l="1"/>
  <c r="U504" i="3"/>
  <c r="D505" i="3" s="1"/>
  <c r="G505" i="3" s="1"/>
  <c r="AG505" i="3"/>
  <c r="E505" i="3" l="1"/>
  <c r="H505" i="3" s="1"/>
  <c r="K505" i="3" s="1"/>
  <c r="AE505" i="3" s="1"/>
  <c r="J505" i="3"/>
  <c r="I505" i="3" l="1"/>
  <c r="F505" i="3"/>
  <c r="V505" i="3"/>
  <c r="M505" i="3"/>
  <c r="N505" i="3" s="1"/>
  <c r="A506" i="3"/>
  <c r="B506" i="3" s="1"/>
  <c r="P506" i="3" s="1"/>
  <c r="Q506" i="3" s="1"/>
  <c r="R506" i="3" s="1"/>
  <c r="S506" i="3" s="1"/>
  <c r="L505" i="3"/>
  <c r="W505" i="3" l="1"/>
  <c r="AA506" i="3"/>
  <c r="AD506" i="3"/>
  <c r="AC506" i="3"/>
  <c r="Z506" i="3"/>
  <c r="U505" i="3"/>
  <c r="Y504" i="3"/>
  <c r="T506" i="3"/>
  <c r="AG506" i="3" l="1"/>
  <c r="D506" i="3"/>
  <c r="G506" i="3" s="1"/>
  <c r="AH506" i="3"/>
  <c r="E506" i="3"/>
  <c r="H506" i="3" s="1"/>
  <c r="K506" i="3" s="1"/>
  <c r="AE506" i="3" s="1"/>
  <c r="F506" i="3" l="1"/>
  <c r="I506" i="3"/>
  <c r="J506" i="3"/>
  <c r="M506" i="3"/>
  <c r="N506" i="3" s="1"/>
  <c r="V506" i="3"/>
  <c r="A507" i="3"/>
  <c r="B507" i="3" s="1"/>
  <c r="W506" i="3" l="1"/>
  <c r="L506" i="3"/>
  <c r="AC507" i="3"/>
  <c r="P507" i="3"/>
  <c r="Q507" i="3" s="1"/>
  <c r="R507" i="3" s="1"/>
  <c r="S507" i="3" s="1"/>
  <c r="AA507" i="3"/>
  <c r="Z507" i="3"/>
  <c r="U506" i="3" l="1"/>
  <c r="Y505" i="3"/>
  <c r="T507" i="3"/>
  <c r="AH507" i="3" s="1"/>
  <c r="AG507" i="3" l="1"/>
  <c r="E507" i="3"/>
  <c r="H507" i="3" s="1"/>
  <c r="D507" i="3"/>
  <c r="K507" i="3" l="1"/>
  <c r="AE507" i="3" s="1"/>
  <c r="F507" i="3"/>
  <c r="G507" i="3"/>
  <c r="I507" i="3" l="1"/>
  <c r="J507" i="3"/>
  <c r="AD507" i="3" s="1"/>
  <c r="M507" i="3"/>
  <c r="N507" i="3" s="1"/>
  <c r="V507" i="3"/>
  <c r="A508" i="3"/>
  <c r="B508" i="3" s="1"/>
  <c r="W507" i="3" l="1"/>
  <c r="L507" i="3"/>
  <c r="P508" i="3"/>
  <c r="Q508" i="3" s="1"/>
  <c r="R508" i="3" s="1"/>
  <c r="S508" i="3" s="1"/>
  <c r="AD508" i="3"/>
  <c r="AA508" i="3"/>
  <c r="Z508" i="3"/>
  <c r="AC508" i="3"/>
  <c r="U507" i="3" l="1"/>
  <c r="Y506" i="3"/>
  <c r="T508" i="3"/>
  <c r="E508" i="3" l="1"/>
  <c r="H508" i="3" s="1"/>
  <c r="K508" i="3" s="1"/>
  <c r="AE508" i="3" s="1"/>
  <c r="AH508" i="3"/>
  <c r="D508" i="3"/>
  <c r="AG508" i="3"/>
  <c r="F508" i="3" l="1"/>
  <c r="G508" i="3"/>
  <c r="V508" i="3"/>
  <c r="A509" i="3"/>
  <c r="B509" i="3" s="1"/>
  <c r="AD509" i="3" l="1"/>
  <c r="AC509" i="3"/>
  <c r="Z509" i="3"/>
  <c r="AA509" i="3"/>
  <c r="P509" i="3"/>
  <c r="Q509" i="3" s="1"/>
  <c r="R509" i="3" s="1"/>
  <c r="S509" i="3" s="1"/>
  <c r="I508" i="3"/>
  <c r="W508" i="3" s="1"/>
  <c r="J508" i="3"/>
  <c r="M508" i="3"/>
  <c r="N508" i="3" s="1"/>
  <c r="L508" i="3" l="1"/>
  <c r="T509" i="3"/>
  <c r="AG509" i="3" l="1"/>
  <c r="AH509" i="3"/>
  <c r="U508" i="3"/>
  <c r="D509" i="3" s="1"/>
  <c r="Y507" i="3"/>
  <c r="G509" i="3" l="1"/>
  <c r="E509" i="3"/>
  <c r="H509" i="3" s="1"/>
  <c r="F509" i="3" l="1"/>
  <c r="I509" i="3"/>
  <c r="J509" i="3"/>
  <c r="M509" i="3"/>
  <c r="N509" i="3" s="1"/>
  <c r="K509" i="3"/>
  <c r="AE509" i="3" s="1"/>
  <c r="V509" i="3" l="1"/>
  <c r="W509" i="3" s="1"/>
  <c r="A510" i="3"/>
  <c r="B510" i="3" s="1"/>
  <c r="L509" i="3"/>
  <c r="U509" i="3" l="1"/>
  <c r="Y508" i="3"/>
  <c r="AC510" i="3"/>
  <c r="Z510" i="3"/>
  <c r="AA510" i="3"/>
  <c r="AD510" i="3"/>
  <c r="P510" i="3"/>
  <c r="Q510" i="3" s="1"/>
  <c r="R510" i="3" s="1"/>
  <c r="S510" i="3" s="1"/>
  <c r="T510" i="3" l="1"/>
  <c r="AH510" i="3" l="1"/>
  <c r="E510" i="3"/>
  <c r="H510" i="3" s="1"/>
  <c r="D510" i="3"/>
  <c r="AG510" i="3"/>
  <c r="F510" i="3" l="1"/>
  <c r="G510" i="3"/>
  <c r="K510" i="3"/>
  <c r="AE510" i="3" s="1"/>
  <c r="V510" i="3" l="1"/>
  <c r="A511" i="3"/>
  <c r="B511" i="3" s="1"/>
  <c r="I510" i="3"/>
  <c r="J510" i="3"/>
  <c r="M510" i="3"/>
  <c r="N510" i="3" s="1"/>
  <c r="L510" i="3" l="1"/>
  <c r="AA511" i="3"/>
  <c r="AC511" i="3"/>
  <c r="P511" i="3"/>
  <c r="Q511" i="3" s="1"/>
  <c r="R511" i="3" s="1"/>
  <c r="S511" i="3" s="1"/>
  <c r="Z511" i="3"/>
  <c r="AD511" i="3"/>
  <c r="W510" i="3"/>
  <c r="U510" i="3" l="1"/>
  <c r="Y509" i="3"/>
  <c r="T511" i="3"/>
  <c r="AG511" i="3" s="1"/>
  <c r="AH511" i="3" l="1"/>
  <c r="D511" i="3"/>
  <c r="E511" i="3"/>
  <c r="H511" i="3" s="1"/>
  <c r="F511" i="3" l="1"/>
  <c r="G511" i="3"/>
  <c r="K511" i="3"/>
  <c r="AE511" i="3" s="1"/>
  <c r="V511" i="3" l="1"/>
  <c r="A512" i="3"/>
  <c r="B512" i="3" s="1"/>
  <c r="I511" i="3"/>
  <c r="J511" i="3"/>
  <c r="M511" i="3"/>
  <c r="N511" i="3" s="1"/>
  <c r="W511" i="3" l="1"/>
  <c r="L511" i="3"/>
  <c r="AC512" i="3"/>
  <c r="Z512" i="3"/>
  <c r="AA512" i="3"/>
  <c r="P512" i="3"/>
  <c r="Q512" i="3" s="1"/>
  <c r="R512" i="3" s="1"/>
  <c r="S512" i="3" s="1"/>
  <c r="AD512" i="3"/>
  <c r="T512" i="3" l="1"/>
  <c r="U511" i="3"/>
  <c r="Y510" i="3"/>
  <c r="D512" i="3" l="1"/>
  <c r="G512" i="3" s="1"/>
  <c r="AH512" i="3"/>
  <c r="E512" i="3"/>
  <c r="H512" i="3" s="1"/>
  <c r="K512" i="3" s="1"/>
  <c r="AE512" i="3" s="1"/>
  <c r="AG512" i="3"/>
  <c r="F512" i="3" l="1"/>
  <c r="I512" i="3"/>
  <c r="J512" i="3"/>
  <c r="M512" i="3"/>
  <c r="N512" i="3" s="1"/>
  <c r="V512" i="3"/>
  <c r="A513" i="3"/>
  <c r="B513" i="3" s="1"/>
  <c r="W512" i="3" l="1"/>
  <c r="L512" i="3"/>
  <c r="AA513" i="3"/>
  <c r="P513" i="3"/>
  <c r="Q513" i="3" s="1"/>
  <c r="R513" i="3" s="1"/>
  <c r="S513" i="3" s="1"/>
  <c r="AC513" i="3"/>
  <c r="AD513" i="3"/>
  <c r="Z513" i="3"/>
  <c r="T513" i="3" l="1"/>
  <c r="AG513" i="3" s="1"/>
  <c r="U512" i="3"/>
  <c r="Y511" i="3"/>
  <c r="AH513" i="3" l="1"/>
  <c r="E513" i="3"/>
  <c r="H513" i="3" s="1"/>
  <c r="D513" i="3"/>
  <c r="F513" i="3" l="1"/>
  <c r="G513" i="3"/>
  <c r="K513" i="3"/>
  <c r="AE513" i="3" s="1"/>
  <c r="V513" i="3" l="1"/>
  <c r="A514" i="3"/>
  <c r="B514" i="3" s="1"/>
  <c r="I513" i="3"/>
  <c r="J513" i="3"/>
  <c r="M513" i="3"/>
  <c r="N513" i="3" s="1"/>
  <c r="L513" i="3" l="1"/>
  <c r="Z514" i="3"/>
  <c r="AA514" i="3"/>
  <c r="AC514" i="3"/>
  <c r="P514" i="3"/>
  <c r="Q514" i="3" s="1"/>
  <c r="R514" i="3" s="1"/>
  <c r="S514" i="3" s="1"/>
  <c r="W513" i="3"/>
  <c r="T514" i="3" l="1"/>
  <c r="AH514" i="3" s="1"/>
  <c r="U513" i="3"/>
  <c r="Y512" i="3"/>
  <c r="AG514" i="3" l="1"/>
  <c r="E514" i="3"/>
  <c r="H514" i="3" s="1"/>
  <c r="D514" i="3"/>
  <c r="K514" i="3" l="1"/>
  <c r="AE514" i="3" s="1"/>
  <c r="F514" i="3"/>
  <c r="G514" i="3"/>
  <c r="V514" i="3" l="1"/>
  <c r="A515" i="3"/>
  <c r="B515" i="3" s="1"/>
  <c r="I514" i="3"/>
  <c r="J514" i="3"/>
  <c r="AD514" i="3" s="1"/>
  <c r="M514" i="3"/>
  <c r="N514" i="3" s="1"/>
  <c r="W514" i="3" l="1"/>
  <c r="L514" i="3"/>
  <c r="AD515" i="3"/>
  <c r="P515" i="3"/>
  <c r="Q515" i="3" s="1"/>
  <c r="R515" i="3" s="1"/>
  <c r="S515" i="3" s="1"/>
  <c r="AC515" i="3"/>
  <c r="Z515" i="3"/>
  <c r="AA515" i="3"/>
  <c r="U514" i="3" l="1"/>
  <c r="Y513" i="3"/>
  <c r="T515" i="3"/>
  <c r="D515" i="3" l="1"/>
  <c r="G515" i="3" s="1"/>
  <c r="AG515" i="3"/>
  <c r="AH515" i="3"/>
  <c r="E515" i="3"/>
  <c r="H515" i="3" s="1"/>
  <c r="K515" i="3" l="1"/>
  <c r="AE515" i="3" s="1"/>
  <c r="I515" i="3"/>
  <c r="J515" i="3"/>
  <c r="M515" i="3"/>
  <c r="N515" i="3" s="1"/>
  <c r="F515" i="3"/>
  <c r="L515" i="3" l="1"/>
  <c r="V515" i="3"/>
  <c r="W515" i="3" s="1"/>
  <c r="A516" i="3"/>
  <c r="B516" i="3" s="1"/>
  <c r="U515" i="3" l="1"/>
  <c r="Y514" i="3"/>
  <c r="AA516" i="3"/>
  <c r="Z516" i="3"/>
  <c r="AC516" i="3"/>
  <c r="P516" i="3"/>
  <c r="Q516" i="3" s="1"/>
  <c r="R516" i="3" s="1"/>
  <c r="S516" i="3" s="1"/>
  <c r="AD516" i="3"/>
  <c r="T516" i="3" l="1"/>
  <c r="AG516" i="3" s="1"/>
  <c r="D516" i="3" l="1"/>
  <c r="AH516" i="3"/>
  <c r="E516" i="3"/>
  <c r="H516" i="3" s="1"/>
  <c r="F516" i="3" l="1"/>
  <c r="G516" i="3"/>
  <c r="K516" i="3"/>
  <c r="AE516" i="3" s="1"/>
  <c r="I516" i="3" l="1"/>
  <c r="J516" i="3"/>
  <c r="M516" i="3"/>
  <c r="N516" i="3" s="1"/>
  <c r="V516" i="3"/>
  <c r="A517" i="3"/>
  <c r="B517" i="3" s="1"/>
  <c r="W516" i="3" l="1"/>
  <c r="L516" i="3"/>
  <c r="AC517" i="3"/>
  <c r="P517" i="3"/>
  <c r="Q517" i="3" s="1"/>
  <c r="R517" i="3" s="1"/>
  <c r="S517" i="3" s="1"/>
  <c r="AA517" i="3"/>
  <c r="Z517" i="3"/>
  <c r="U516" i="3" l="1"/>
  <c r="Y515" i="3"/>
  <c r="T517" i="3"/>
  <c r="AG517" i="3" s="1"/>
  <c r="D517" i="3" l="1"/>
  <c r="G517" i="3" s="1"/>
  <c r="AH517" i="3"/>
  <c r="E517" i="3"/>
  <c r="H517" i="3" s="1"/>
  <c r="K517" i="3" s="1"/>
  <c r="AE517" i="3" s="1"/>
  <c r="F517" i="3" l="1"/>
  <c r="I517" i="3"/>
  <c r="J517" i="3"/>
  <c r="AD517" i="3" s="1"/>
  <c r="M517" i="3"/>
  <c r="N517" i="3" s="1"/>
  <c r="V517" i="3"/>
  <c r="A518" i="3"/>
  <c r="B518" i="3" s="1"/>
  <c r="W517" i="3" l="1"/>
  <c r="L517" i="3"/>
  <c r="AD518" i="3"/>
  <c r="AA518" i="3"/>
  <c r="AC518" i="3"/>
  <c r="Z518" i="3"/>
  <c r="P518" i="3"/>
  <c r="Q518" i="3" s="1"/>
  <c r="R518" i="3" s="1"/>
  <c r="S518" i="3" s="1"/>
  <c r="U517" i="3" l="1"/>
  <c r="Y516" i="3"/>
  <c r="T518" i="3"/>
  <c r="D518" i="3" l="1"/>
  <c r="G518" i="3" s="1"/>
  <c r="E518" i="3"/>
  <c r="H518" i="3" s="1"/>
  <c r="AH518" i="3"/>
  <c r="AG518" i="3"/>
  <c r="F518" i="3" l="1"/>
  <c r="I518" i="3"/>
  <c r="J518" i="3"/>
  <c r="M518" i="3"/>
  <c r="N518" i="3" s="1"/>
  <c r="K518" i="3"/>
  <c r="AE518" i="3" s="1"/>
  <c r="V518" i="3" l="1"/>
  <c r="W518" i="3" s="1"/>
  <c r="A519" i="3"/>
  <c r="B519" i="3" s="1"/>
  <c r="L518" i="3"/>
  <c r="U518" i="3" l="1"/>
  <c r="Y517" i="3"/>
  <c r="AD519" i="3"/>
  <c r="AA519" i="3"/>
  <c r="Z519" i="3"/>
  <c r="AC519" i="3"/>
  <c r="P519" i="3"/>
  <c r="Q519" i="3" s="1"/>
  <c r="R519" i="3" s="1"/>
  <c r="S519" i="3" s="1"/>
  <c r="T519" i="3" l="1"/>
  <c r="D519" i="3" s="1"/>
  <c r="AG519" i="3" l="1"/>
  <c r="G519" i="3"/>
  <c r="AH519" i="3"/>
  <c r="E519" i="3"/>
  <c r="H519" i="3" s="1"/>
  <c r="F519" i="3" l="1"/>
  <c r="I519" i="3"/>
  <c r="J519" i="3"/>
  <c r="M519" i="3"/>
  <c r="N519" i="3" s="1"/>
  <c r="K519" i="3"/>
  <c r="AE519" i="3" s="1"/>
  <c r="V519" i="3" l="1"/>
  <c r="W519" i="3" s="1"/>
  <c r="A520" i="3"/>
  <c r="B520" i="3" s="1"/>
  <c r="L519" i="3"/>
  <c r="U519" i="3" l="1"/>
  <c r="Y518" i="3"/>
  <c r="AA520" i="3"/>
  <c r="AC520" i="3"/>
  <c r="Z520" i="3"/>
  <c r="AD520" i="3"/>
  <c r="P520" i="3"/>
  <c r="Q520" i="3" s="1"/>
  <c r="R520" i="3" s="1"/>
  <c r="S520" i="3" s="1"/>
  <c r="T520" i="3" l="1"/>
  <c r="D520" i="3" s="1"/>
  <c r="AG520" i="3" l="1"/>
  <c r="E520" i="3"/>
  <c r="H520" i="3" s="1"/>
  <c r="K520" i="3" s="1"/>
  <c r="AE520" i="3" s="1"/>
  <c r="AH520" i="3"/>
  <c r="G520" i="3"/>
  <c r="F520" i="3" l="1"/>
  <c r="I520" i="3"/>
  <c r="J520" i="3"/>
  <c r="M520" i="3"/>
  <c r="N520" i="3" s="1"/>
  <c r="V520" i="3"/>
  <c r="A521" i="3"/>
  <c r="B521" i="3" s="1"/>
  <c r="W520" i="3" l="1"/>
  <c r="L520" i="3"/>
  <c r="P521" i="3"/>
  <c r="Q521" i="3" s="1"/>
  <c r="R521" i="3" s="1"/>
  <c r="S521" i="3" s="1"/>
  <c r="AC521" i="3"/>
  <c r="AA521" i="3"/>
  <c r="AD521" i="3"/>
  <c r="Z521" i="3"/>
  <c r="U520" i="3" l="1"/>
  <c r="Y519" i="3"/>
  <c r="T521" i="3"/>
  <c r="AH521" i="3" s="1"/>
  <c r="AG521" i="3" l="1"/>
  <c r="D521" i="3"/>
  <c r="E521" i="3"/>
  <c r="H521" i="3" s="1"/>
  <c r="K521" i="3" s="1"/>
  <c r="AE521" i="3" s="1"/>
  <c r="F521" i="3" l="1"/>
  <c r="G521" i="3"/>
  <c r="I521" i="3" s="1"/>
  <c r="V521" i="3"/>
  <c r="A522" i="3"/>
  <c r="B522" i="3" s="1"/>
  <c r="M521" i="3" l="1"/>
  <c r="N521" i="3" s="1"/>
  <c r="J521" i="3"/>
  <c r="L521" i="3" s="1"/>
  <c r="W521" i="3"/>
  <c r="AC522" i="3"/>
  <c r="P522" i="3"/>
  <c r="Q522" i="3" s="1"/>
  <c r="R522" i="3" s="1"/>
  <c r="S522" i="3" s="1"/>
  <c r="AA522" i="3"/>
  <c r="AD522" i="3"/>
  <c r="Z522" i="3"/>
  <c r="U521" i="3" l="1"/>
  <c r="Y520" i="3"/>
  <c r="T522" i="3"/>
  <c r="AG522" i="3" s="1"/>
  <c r="AH522" i="3" l="1"/>
  <c r="E522" i="3"/>
  <c r="H522" i="3" s="1"/>
  <c r="D522" i="3"/>
  <c r="K522" i="3" l="1"/>
  <c r="AE522" i="3" s="1"/>
  <c r="F522" i="3"/>
  <c r="G522" i="3"/>
  <c r="I522" i="3" l="1"/>
  <c r="J522" i="3"/>
  <c r="M522" i="3"/>
  <c r="N522" i="3" s="1"/>
  <c r="V522" i="3"/>
  <c r="A523" i="3"/>
  <c r="B523" i="3" s="1"/>
  <c r="W522" i="3" l="1"/>
  <c r="L522" i="3"/>
  <c r="AC523" i="3"/>
  <c r="Z523" i="3"/>
  <c r="AD523" i="3"/>
  <c r="AA523" i="3"/>
  <c r="P523" i="3"/>
  <c r="Q523" i="3" s="1"/>
  <c r="R523" i="3" s="1"/>
  <c r="S523" i="3" s="1"/>
  <c r="U522" i="3" l="1"/>
  <c r="Y521" i="3"/>
  <c r="T523" i="3"/>
  <c r="AG523" i="3" s="1"/>
  <c r="AH523" i="3" l="1"/>
  <c r="D523" i="3"/>
  <c r="G523" i="3" s="1"/>
  <c r="E523" i="3"/>
  <c r="H523" i="3" s="1"/>
  <c r="F523" i="3" l="1"/>
  <c r="I523" i="3"/>
  <c r="J523" i="3"/>
  <c r="M523" i="3"/>
  <c r="N523" i="3" s="1"/>
  <c r="K523" i="3"/>
  <c r="AE523" i="3" s="1"/>
  <c r="V523" i="3" l="1"/>
  <c r="W523" i="3" s="1"/>
  <c r="A524" i="3"/>
  <c r="B524" i="3" s="1"/>
  <c r="L523" i="3"/>
  <c r="U523" i="3" l="1"/>
  <c r="Y522" i="3"/>
  <c r="Z524" i="3"/>
  <c r="P524" i="3"/>
  <c r="Q524" i="3" s="1"/>
  <c r="R524" i="3" s="1"/>
  <c r="S524" i="3" s="1"/>
  <c r="AC524" i="3"/>
  <c r="AA524" i="3"/>
  <c r="T524" i="3" l="1"/>
  <c r="E524" i="3" s="1"/>
  <c r="H524" i="3" s="1"/>
  <c r="D524" i="3" l="1"/>
  <c r="G524" i="3" s="1"/>
  <c r="K524" i="3"/>
  <c r="AE524" i="3" s="1"/>
  <c r="AH524" i="3"/>
  <c r="AG524" i="3"/>
  <c r="F524" i="3" l="1"/>
  <c r="I524" i="3"/>
  <c r="J524" i="3"/>
  <c r="AD524" i="3" s="1"/>
  <c r="M524" i="3"/>
  <c r="N524" i="3" s="1"/>
  <c r="V524" i="3"/>
  <c r="A525" i="3"/>
  <c r="B525" i="3" s="1"/>
  <c r="W524" i="3" l="1"/>
  <c r="L524" i="3"/>
  <c r="AA525" i="3"/>
  <c r="AC525" i="3"/>
  <c r="AD525" i="3"/>
  <c r="Z525" i="3"/>
  <c r="P525" i="3"/>
  <c r="Q525" i="3" s="1"/>
  <c r="R525" i="3" s="1"/>
  <c r="S525" i="3" s="1"/>
  <c r="T525" i="3" l="1"/>
  <c r="AH525" i="3" s="1"/>
  <c r="U524" i="3"/>
  <c r="Y523" i="3"/>
  <c r="AG525" i="3" l="1"/>
  <c r="D525" i="3"/>
  <c r="E525" i="3"/>
  <c r="H525" i="3" s="1"/>
  <c r="F525" i="3" l="1"/>
  <c r="G525" i="3"/>
  <c r="K525" i="3"/>
  <c r="AE525" i="3" s="1"/>
  <c r="I525" i="3" l="1"/>
  <c r="J525" i="3"/>
  <c r="M525" i="3"/>
  <c r="N525" i="3" s="1"/>
  <c r="V525" i="3"/>
  <c r="A526" i="3"/>
  <c r="B526" i="3" s="1"/>
  <c r="L525" i="3" l="1"/>
  <c r="W525" i="3"/>
  <c r="AA526" i="3"/>
  <c r="P526" i="3"/>
  <c r="Q526" i="3" s="1"/>
  <c r="R526" i="3" s="1"/>
  <c r="S526" i="3" s="1"/>
  <c r="Z526" i="3"/>
  <c r="AD526" i="3"/>
  <c r="AC526" i="3"/>
  <c r="T526" i="3" l="1"/>
  <c r="U525" i="3"/>
  <c r="Y524" i="3"/>
  <c r="D526" i="3" l="1"/>
  <c r="G526" i="3" s="1"/>
  <c r="AH526" i="3"/>
  <c r="E526" i="3"/>
  <c r="H526" i="3" s="1"/>
  <c r="K526" i="3" s="1"/>
  <c r="AE526" i="3" s="1"/>
  <c r="AG526" i="3"/>
  <c r="F526" i="3" l="1"/>
  <c r="V526" i="3"/>
  <c r="A527" i="3"/>
  <c r="B527" i="3" s="1"/>
  <c r="I526" i="3"/>
  <c r="J526" i="3"/>
  <c r="M526" i="3"/>
  <c r="N526" i="3" s="1"/>
  <c r="W526" i="3" l="1"/>
  <c r="L526" i="3"/>
  <c r="Z527" i="3"/>
  <c r="AC527" i="3"/>
  <c r="P527" i="3"/>
  <c r="Q527" i="3" s="1"/>
  <c r="R527" i="3" s="1"/>
  <c r="S527" i="3" s="1"/>
  <c r="AA527" i="3"/>
  <c r="U526" i="3" l="1"/>
  <c r="Y525" i="3"/>
  <c r="T527" i="3"/>
  <c r="D527" i="3" l="1"/>
  <c r="G527" i="3" s="1"/>
  <c r="E527" i="3"/>
  <c r="H527" i="3" s="1"/>
  <c r="AG527" i="3"/>
  <c r="AH527" i="3"/>
  <c r="F527" i="3" l="1"/>
  <c r="I527" i="3"/>
  <c r="J527" i="3"/>
  <c r="AD527" i="3" s="1"/>
  <c r="M527" i="3"/>
  <c r="N527" i="3" s="1"/>
  <c r="K527" i="3"/>
  <c r="AE527" i="3" s="1"/>
  <c r="V527" i="3" l="1"/>
  <c r="W527" i="3" s="1"/>
  <c r="A528" i="3"/>
  <c r="B528" i="3" s="1"/>
  <c r="L527" i="3"/>
  <c r="U527" i="3" l="1"/>
  <c r="Y526" i="3"/>
  <c r="Z528" i="3"/>
  <c r="P528" i="3"/>
  <c r="Q528" i="3" s="1"/>
  <c r="R528" i="3" s="1"/>
  <c r="S528" i="3" s="1"/>
  <c r="AC528" i="3"/>
  <c r="AD528" i="3"/>
  <c r="AA528" i="3"/>
  <c r="T528" i="3" l="1"/>
  <c r="AH528" i="3" s="1"/>
  <c r="D528" i="3" l="1"/>
  <c r="E528" i="3"/>
  <c r="H528" i="3" s="1"/>
  <c r="K528" i="3" s="1"/>
  <c r="AE528" i="3" s="1"/>
  <c r="AG528" i="3"/>
  <c r="F528" i="3" l="1"/>
  <c r="G528" i="3"/>
  <c r="M528" i="3" s="1"/>
  <c r="N528" i="3" s="1"/>
  <c r="V528" i="3"/>
  <c r="A529" i="3"/>
  <c r="B529" i="3" s="1"/>
  <c r="I528" i="3" l="1"/>
  <c r="W528" i="3" s="1"/>
  <c r="J528" i="3"/>
  <c r="L528" i="3" s="1"/>
  <c r="Z529" i="3"/>
  <c r="AC529" i="3"/>
  <c r="AD529" i="3"/>
  <c r="P529" i="3"/>
  <c r="Q529" i="3" s="1"/>
  <c r="R529" i="3" s="1"/>
  <c r="S529" i="3" s="1"/>
  <c r="AA529" i="3"/>
  <c r="U528" i="3" l="1"/>
  <c r="Y527" i="3"/>
  <c r="T529" i="3"/>
  <c r="AG529" i="3" s="1"/>
  <c r="D529" i="3" l="1"/>
  <c r="G529" i="3" s="1"/>
  <c r="AH529" i="3"/>
  <c r="E529" i="3"/>
  <c r="H529" i="3" s="1"/>
  <c r="K529" i="3" s="1"/>
  <c r="AE529" i="3" s="1"/>
  <c r="F529" i="3" l="1"/>
  <c r="I529" i="3"/>
  <c r="J529" i="3"/>
  <c r="M529" i="3"/>
  <c r="N529" i="3" s="1"/>
  <c r="V529" i="3"/>
  <c r="A530" i="3"/>
  <c r="B530" i="3" s="1"/>
  <c r="W529" i="3" l="1"/>
  <c r="L529" i="3"/>
  <c r="Z530" i="3"/>
  <c r="AD530" i="3"/>
  <c r="P530" i="3"/>
  <c r="Q530" i="3" s="1"/>
  <c r="R530" i="3" s="1"/>
  <c r="S530" i="3" s="1"/>
  <c r="AC530" i="3"/>
  <c r="AA530" i="3"/>
  <c r="T530" i="3" l="1"/>
  <c r="AG530" i="3" s="1"/>
  <c r="U529" i="3"/>
  <c r="Y528" i="3"/>
  <c r="D530" i="3" l="1"/>
  <c r="G530" i="3" s="1"/>
  <c r="AH530" i="3"/>
  <c r="E530" i="3"/>
  <c r="H530" i="3" s="1"/>
  <c r="F530" i="3" l="1"/>
  <c r="I530" i="3"/>
  <c r="J530" i="3"/>
  <c r="M530" i="3"/>
  <c r="N530" i="3" s="1"/>
  <c r="K530" i="3"/>
  <c r="AE530" i="3" s="1"/>
  <c r="V530" i="3" l="1"/>
  <c r="W530" i="3" s="1"/>
  <c r="A531" i="3"/>
  <c r="B531" i="3" s="1"/>
  <c r="L530" i="3"/>
  <c r="U530" i="3" l="1"/>
  <c r="Y529" i="3"/>
  <c r="Z531" i="3"/>
  <c r="AD531" i="3"/>
  <c r="AC531" i="3"/>
  <c r="AA531" i="3"/>
  <c r="P531" i="3"/>
  <c r="Q531" i="3" s="1"/>
  <c r="R531" i="3" s="1"/>
  <c r="S531" i="3" s="1"/>
  <c r="T531" i="3" l="1"/>
  <c r="AG531" i="3" s="1"/>
  <c r="AH531" i="3" l="1"/>
  <c r="D531" i="3"/>
  <c r="E531" i="3"/>
  <c r="H531" i="3" s="1"/>
  <c r="K531" i="3" l="1"/>
  <c r="AE531" i="3" s="1"/>
  <c r="F531" i="3"/>
  <c r="G531" i="3"/>
  <c r="I531" i="3" l="1"/>
  <c r="J531" i="3"/>
  <c r="M531" i="3"/>
  <c r="N531" i="3" s="1"/>
  <c r="V531" i="3"/>
  <c r="A532" i="3"/>
  <c r="B532" i="3" s="1"/>
  <c r="W531" i="3" l="1"/>
  <c r="L531" i="3"/>
  <c r="AD532" i="3"/>
  <c r="AC532" i="3"/>
  <c r="Z532" i="3"/>
  <c r="P532" i="3"/>
  <c r="Q532" i="3" s="1"/>
  <c r="R532" i="3" s="1"/>
  <c r="S532" i="3" s="1"/>
  <c r="AA532" i="3"/>
  <c r="U531" i="3" l="1"/>
  <c r="Y530" i="3"/>
  <c r="T532" i="3"/>
  <c r="AH532" i="3" s="1"/>
  <c r="D532" i="3" l="1"/>
  <c r="G532" i="3" s="1"/>
  <c r="AG532" i="3"/>
  <c r="E532" i="3"/>
  <c r="H532" i="3" s="1"/>
  <c r="K532" i="3" s="1"/>
  <c r="AE532" i="3" s="1"/>
  <c r="F532" i="3" l="1"/>
  <c r="V532" i="3"/>
  <c r="A533" i="3"/>
  <c r="B533" i="3" s="1"/>
  <c r="I532" i="3"/>
  <c r="J532" i="3"/>
  <c r="M532" i="3"/>
  <c r="N532" i="3" s="1"/>
  <c r="W532" i="3" l="1"/>
  <c r="L532" i="3"/>
  <c r="P533" i="3"/>
  <c r="Q533" i="3" s="1"/>
  <c r="R533" i="3" s="1"/>
  <c r="S533" i="3" s="1"/>
  <c r="AD533" i="3"/>
  <c r="AA533" i="3"/>
  <c r="Z533" i="3"/>
  <c r="AC533" i="3"/>
  <c r="T533" i="3" l="1"/>
  <c r="U532" i="3"/>
  <c r="Y531" i="3"/>
  <c r="E533" i="3" l="1"/>
  <c r="H533" i="3" s="1"/>
  <c r="K533" i="3" s="1"/>
  <c r="AE533" i="3" s="1"/>
  <c r="AH533" i="3"/>
  <c r="AG533" i="3"/>
  <c r="D533" i="3"/>
  <c r="F533" i="3" l="1"/>
  <c r="G533" i="3"/>
  <c r="V533" i="3"/>
  <c r="A534" i="3"/>
  <c r="B534" i="3" s="1"/>
  <c r="Z534" i="3" l="1"/>
  <c r="AC534" i="3"/>
  <c r="AA534" i="3"/>
  <c r="P534" i="3"/>
  <c r="Q534" i="3" s="1"/>
  <c r="R534" i="3" s="1"/>
  <c r="S534" i="3" s="1"/>
  <c r="I533" i="3"/>
  <c r="W533" i="3" s="1"/>
  <c r="J533" i="3"/>
  <c r="M533" i="3"/>
  <c r="N533" i="3" s="1"/>
  <c r="L533" i="3" l="1"/>
  <c r="T534" i="3"/>
  <c r="U533" i="3" l="1"/>
  <c r="D534" i="3" s="1"/>
  <c r="AG534" i="3"/>
  <c r="AH534" i="3"/>
  <c r="Y532" i="3"/>
  <c r="E534" i="3" l="1"/>
  <c r="H534" i="3" s="1"/>
  <c r="K534" i="3" s="1"/>
  <c r="AE534" i="3" s="1"/>
  <c r="G534" i="3"/>
  <c r="F534" i="3" l="1"/>
  <c r="V534" i="3"/>
  <c r="A535" i="3"/>
  <c r="B535" i="3" s="1"/>
  <c r="I534" i="3"/>
  <c r="J534" i="3"/>
  <c r="AD534" i="3" s="1"/>
  <c r="M534" i="3"/>
  <c r="N534" i="3" s="1"/>
  <c r="W534" i="3" l="1"/>
  <c r="L534" i="3"/>
  <c r="AA535" i="3"/>
  <c r="AC535" i="3"/>
  <c r="AD535" i="3"/>
  <c r="Z535" i="3"/>
  <c r="P535" i="3"/>
  <c r="Q535" i="3" s="1"/>
  <c r="R535" i="3" s="1"/>
  <c r="S535" i="3" s="1"/>
  <c r="T535" i="3" l="1"/>
  <c r="U534" i="3"/>
  <c r="Y533" i="3"/>
  <c r="D535" i="3" l="1"/>
  <c r="G535" i="3" s="1"/>
  <c r="E535" i="3"/>
  <c r="H535" i="3" s="1"/>
  <c r="K535" i="3" s="1"/>
  <c r="AE535" i="3" s="1"/>
  <c r="AG535" i="3"/>
  <c r="AH535" i="3"/>
  <c r="F535" i="3" l="1"/>
  <c r="V535" i="3"/>
  <c r="A536" i="3"/>
  <c r="B536" i="3" s="1"/>
  <c r="I535" i="3"/>
  <c r="J535" i="3"/>
  <c r="M535" i="3"/>
  <c r="N535" i="3" s="1"/>
  <c r="W535" i="3" l="1"/>
  <c r="L535" i="3"/>
  <c r="AC536" i="3"/>
  <c r="AA536" i="3"/>
  <c r="Z536" i="3"/>
  <c r="P536" i="3"/>
  <c r="Q536" i="3" s="1"/>
  <c r="R536" i="3" s="1"/>
  <c r="S536" i="3" s="1"/>
  <c r="AD536" i="3"/>
  <c r="U535" i="3" l="1"/>
  <c r="Y534" i="3"/>
  <c r="T536" i="3"/>
  <c r="AH536" i="3" s="1"/>
  <c r="AG536" i="3" l="1"/>
  <c r="E536" i="3"/>
  <c r="H536" i="3" s="1"/>
  <c r="D536" i="3"/>
  <c r="K536" i="3" l="1"/>
  <c r="AE536" i="3" s="1"/>
  <c r="F536" i="3"/>
  <c r="G536" i="3"/>
  <c r="I536" i="3" l="1"/>
  <c r="J536" i="3"/>
  <c r="M536" i="3"/>
  <c r="N536" i="3" s="1"/>
  <c r="V536" i="3"/>
  <c r="A537" i="3"/>
  <c r="B537" i="3" s="1"/>
  <c r="W536" i="3" l="1"/>
  <c r="L536" i="3"/>
  <c r="AC537" i="3"/>
  <c r="P537" i="3"/>
  <c r="Q537" i="3" s="1"/>
  <c r="R537" i="3" s="1"/>
  <c r="S537" i="3" s="1"/>
  <c r="Z537" i="3"/>
  <c r="AA537" i="3"/>
  <c r="U536" i="3" l="1"/>
  <c r="Y535" i="3"/>
  <c r="T537" i="3"/>
  <c r="AH537" i="3" s="1"/>
  <c r="AG537" i="3" l="1"/>
  <c r="E537" i="3"/>
  <c r="H537" i="3" s="1"/>
  <c r="D537" i="3"/>
  <c r="K537" i="3" l="1"/>
  <c r="AE537" i="3" s="1"/>
  <c r="F537" i="3"/>
  <c r="G537" i="3"/>
  <c r="I537" i="3" l="1"/>
  <c r="J537" i="3"/>
  <c r="AD537" i="3" s="1"/>
  <c r="M537" i="3"/>
  <c r="N537" i="3" s="1"/>
  <c r="V537" i="3"/>
  <c r="A538" i="3"/>
  <c r="B538" i="3" s="1"/>
  <c r="W537" i="3" l="1"/>
  <c r="L537" i="3"/>
  <c r="AA538" i="3"/>
  <c r="AC538" i="3"/>
  <c r="AD538" i="3"/>
  <c r="Z538" i="3"/>
  <c r="P538" i="3"/>
  <c r="Q538" i="3" s="1"/>
  <c r="R538" i="3" s="1"/>
  <c r="S538" i="3" s="1"/>
  <c r="T538" i="3" l="1"/>
  <c r="U537" i="3"/>
  <c r="Y536" i="3"/>
  <c r="D538" i="3" l="1"/>
  <c r="G538" i="3" s="1"/>
  <c r="AH538" i="3"/>
  <c r="AG538" i="3"/>
  <c r="E538" i="3"/>
  <c r="H538" i="3" s="1"/>
  <c r="F538" i="3" l="1"/>
  <c r="I538" i="3"/>
  <c r="J538" i="3"/>
  <c r="M538" i="3"/>
  <c r="N538" i="3" s="1"/>
  <c r="K538" i="3"/>
  <c r="AE538" i="3" s="1"/>
  <c r="V538" i="3" l="1"/>
  <c r="W538" i="3" s="1"/>
  <c r="A539" i="3"/>
  <c r="B539" i="3" s="1"/>
  <c r="L538" i="3"/>
  <c r="U538" i="3" l="1"/>
  <c r="Y537" i="3"/>
  <c r="Z539" i="3"/>
  <c r="P539" i="3"/>
  <c r="Q539" i="3" s="1"/>
  <c r="R539" i="3" s="1"/>
  <c r="S539" i="3" s="1"/>
  <c r="AD539" i="3"/>
  <c r="AA539" i="3"/>
  <c r="AC539" i="3"/>
  <c r="T539" i="3" l="1"/>
  <c r="AH539" i="3" s="1"/>
  <c r="AG539" i="3" l="1"/>
  <c r="E539" i="3"/>
  <c r="H539" i="3" s="1"/>
  <c r="K539" i="3" s="1"/>
  <c r="AE539" i="3" s="1"/>
  <c r="D539" i="3"/>
  <c r="G539" i="3" s="1"/>
  <c r="F539" i="3" l="1"/>
  <c r="V539" i="3"/>
  <c r="A540" i="3"/>
  <c r="B540" i="3" s="1"/>
  <c r="I539" i="3"/>
  <c r="J539" i="3"/>
  <c r="M539" i="3"/>
  <c r="N539" i="3" s="1"/>
  <c r="W539" i="3" l="1"/>
  <c r="L539" i="3"/>
  <c r="AA540" i="3"/>
  <c r="AC540" i="3"/>
  <c r="Z540" i="3"/>
  <c r="AD540" i="3"/>
  <c r="P540" i="3"/>
  <c r="Q540" i="3" s="1"/>
  <c r="R540" i="3" s="1"/>
  <c r="S540" i="3" s="1"/>
  <c r="U539" i="3" l="1"/>
  <c r="Y538" i="3"/>
  <c r="T540" i="3"/>
  <c r="AG540" i="3" s="1"/>
  <c r="E540" i="3" l="1"/>
  <c r="H540" i="3" s="1"/>
  <c r="D540" i="3"/>
  <c r="AH540" i="3"/>
  <c r="K540" i="3" l="1"/>
  <c r="AE540" i="3" s="1"/>
  <c r="F540" i="3"/>
  <c r="G540" i="3"/>
  <c r="V540" i="3" l="1"/>
  <c r="A541" i="3"/>
  <c r="B541" i="3" s="1"/>
  <c r="I540" i="3"/>
  <c r="J540" i="3"/>
  <c r="M540" i="3"/>
  <c r="N540" i="3" s="1"/>
  <c r="W540" i="3" l="1"/>
  <c r="L540" i="3"/>
  <c r="P541" i="3"/>
  <c r="Q541" i="3" s="1"/>
  <c r="R541" i="3" s="1"/>
  <c r="S541" i="3" s="1"/>
  <c r="AA541" i="3"/>
  <c r="AD541" i="3"/>
  <c r="Z541" i="3"/>
  <c r="AC541" i="3"/>
  <c r="U540" i="3" l="1"/>
  <c r="Y539" i="3"/>
  <c r="T541" i="3"/>
  <c r="AG541" i="3" s="1"/>
  <c r="AH541" i="3" l="1"/>
  <c r="E541" i="3"/>
  <c r="H541" i="3" s="1"/>
  <c r="D541" i="3"/>
  <c r="K541" i="3" l="1"/>
  <c r="AE541" i="3" s="1"/>
  <c r="F541" i="3"/>
  <c r="G541" i="3"/>
  <c r="I541" i="3" l="1"/>
  <c r="J541" i="3"/>
  <c r="M541" i="3"/>
  <c r="N541" i="3" s="1"/>
  <c r="V541" i="3"/>
  <c r="A542" i="3"/>
  <c r="B542" i="3" s="1"/>
  <c r="W541" i="3" l="1"/>
  <c r="L541" i="3"/>
  <c r="AC542" i="3"/>
  <c r="P542" i="3"/>
  <c r="Q542" i="3" s="1"/>
  <c r="R542" i="3" s="1"/>
  <c r="S542" i="3" s="1"/>
  <c r="AA542" i="3"/>
  <c r="Z542" i="3"/>
  <c r="AD542" i="3"/>
  <c r="T542" i="3" l="1"/>
  <c r="AH542" i="3" s="1"/>
  <c r="U541" i="3"/>
  <c r="Y540" i="3"/>
  <c r="E542" i="3" l="1"/>
  <c r="H542" i="3" s="1"/>
  <c r="K542" i="3" s="1"/>
  <c r="AE542" i="3" s="1"/>
  <c r="AG542" i="3"/>
  <c r="D542" i="3"/>
  <c r="F542" i="3" l="1"/>
  <c r="G542" i="3"/>
  <c r="V542" i="3"/>
  <c r="A543" i="3"/>
  <c r="B543" i="3" s="1"/>
  <c r="P543" i="3" l="1"/>
  <c r="Q543" i="3" s="1"/>
  <c r="R543" i="3" s="1"/>
  <c r="S543" i="3" s="1"/>
  <c r="AD543" i="3"/>
  <c r="Z543" i="3"/>
  <c r="AA543" i="3"/>
  <c r="AC543" i="3"/>
  <c r="I542" i="3"/>
  <c r="W542" i="3" s="1"/>
  <c r="J542" i="3"/>
  <c r="M542" i="3"/>
  <c r="N542" i="3" s="1"/>
  <c r="T543" i="3" l="1"/>
  <c r="L542" i="3"/>
  <c r="AH543" i="3" l="1"/>
  <c r="U542" i="3"/>
  <c r="E543" i="3" s="1"/>
  <c r="H543" i="3" s="1"/>
  <c r="AG543" i="3"/>
  <c r="Y541" i="3"/>
  <c r="D543" i="3" l="1"/>
  <c r="G543" i="3" s="1"/>
  <c r="K543" i="3"/>
  <c r="AE543" i="3" s="1"/>
  <c r="F543" i="3" l="1"/>
  <c r="I543" i="3"/>
  <c r="J543" i="3"/>
  <c r="M543" i="3"/>
  <c r="N543" i="3" s="1"/>
  <c r="V543" i="3"/>
  <c r="A544" i="3"/>
  <c r="B544" i="3" s="1"/>
  <c r="W543" i="3" l="1"/>
  <c r="L543" i="3"/>
  <c r="P544" i="3"/>
  <c r="Q544" i="3" s="1"/>
  <c r="R544" i="3" s="1"/>
  <c r="S544" i="3" s="1"/>
  <c r="Z544" i="3"/>
  <c r="AC544" i="3"/>
  <c r="AA544" i="3"/>
  <c r="U543" i="3" l="1"/>
  <c r="Y542" i="3"/>
  <c r="T544" i="3"/>
  <c r="AG544" i="3" s="1"/>
  <c r="E544" i="3" l="1"/>
  <c r="H544" i="3" s="1"/>
  <c r="D544" i="3"/>
  <c r="AH544" i="3"/>
  <c r="K544" i="3" l="1"/>
  <c r="AE544" i="3" s="1"/>
  <c r="F544" i="3"/>
  <c r="G544" i="3"/>
  <c r="I544" i="3" l="1"/>
  <c r="J544" i="3"/>
  <c r="AD544" i="3" s="1"/>
  <c r="M544" i="3"/>
  <c r="N544" i="3" s="1"/>
  <c r="V544" i="3"/>
  <c r="A545" i="3"/>
  <c r="B545" i="3" s="1"/>
  <c r="W544" i="3" l="1"/>
  <c r="L544" i="3"/>
  <c r="Z545" i="3"/>
  <c r="AA545" i="3"/>
  <c r="AD545" i="3"/>
  <c r="AC545" i="3"/>
  <c r="P545" i="3"/>
  <c r="Q545" i="3" s="1"/>
  <c r="R545" i="3" s="1"/>
  <c r="S545" i="3" s="1"/>
  <c r="U544" i="3" l="1"/>
  <c r="Y543" i="3"/>
  <c r="T545" i="3"/>
  <c r="AH545" i="3" s="1"/>
  <c r="E545" i="3" l="1"/>
  <c r="H545" i="3" s="1"/>
  <c r="K545" i="3" s="1"/>
  <c r="AE545" i="3" s="1"/>
  <c r="D545" i="3"/>
  <c r="AG545" i="3"/>
  <c r="V545" i="3" l="1"/>
  <c r="A546" i="3"/>
  <c r="B546" i="3" s="1"/>
  <c r="F545" i="3"/>
  <c r="G545" i="3"/>
  <c r="I545" i="3" l="1"/>
  <c r="W545" i="3" s="1"/>
  <c r="J545" i="3"/>
  <c r="M545" i="3"/>
  <c r="N545" i="3" s="1"/>
  <c r="AC546" i="3"/>
  <c r="P546" i="3"/>
  <c r="Q546" i="3" s="1"/>
  <c r="R546" i="3" s="1"/>
  <c r="S546" i="3" s="1"/>
  <c r="Z546" i="3"/>
  <c r="AA546" i="3"/>
  <c r="AD546" i="3"/>
  <c r="T546" i="3" l="1"/>
  <c r="L545" i="3"/>
  <c r="U545" i="3" l="1"/>
  <c r="D546" i="3" s="1"/>
  <c r="AG546" i="3"/>
  <c r="AH546" i="3"/>
  <c r="Y544" i="3"/>
  <c r="E546" i="3" l="1"/>
  <c r="H546" i="3" s="1"/>
  <c r="K546" i="3" s="1"/>
  <c r="AE546" i="3" s="1"/>
  <c r="G546" i="3"/>
  <c r="F546" i="3" l="1"/>
  <c r="V546" i="3"/>
  <c r="A547" i="3"/>
  <c r="B547" i="3" s="1"/>
  <c r="I546" i="3"/>
  <c r="J546" i="3"/>
  <c r="M546" i="3"/>
  <c r="N546" i="3" s="1"/>
  <c r="W546" i="3" l="1"/>
  <c r="L546" i="3"/>
  <c r="AC547" i="3"/>
  <c r="P547" i="3"/>
  <c r="Q547" i="3" s="1"/>
  <c r="R547" i="3" s="1"/>
  <c r="S547" i="3" s="1"/>
  <c r="AA547" i="3"/>
  <c r="Z547" i="3"/>
  <c r="U546" i="3" l="1"/>
  <c r="Y545" i="3"/>
  <c r="T547" i="3"/>
  <c r="AG547" i="3" s="1"/>
  <c r="E547" i="3" l="1"/>
  <c r="H547" i="3" s="1"/>
  <c r="K547" i="3" s="1"/>
  <c r="AE547" i="3" s="1"/>
  <c r="D547" i="3"/>
  <c r="G547" i="3" s="1"/>
  <c r="AH547" i="3"/>
  <c r="F547" i="3" l="1"/>
  <c r="I547" i="3"/>
  <c r="J547" i="3"/>
  <c r="AD547" i="3" s="1"/>
  <c r="M547" i="3"/>
  <c r="N547" i="3" s="1"/>
  <c r="V547" i="3"/>
  <c r="A548" i="3"/>
  <c r="B548" i="3" s="1"/>
  <c r="W547" i="3" l="1"/>
  <c r="L547" i="3"/>
  <c r="Z548" i="3"/>
  <c r="AA548" i="3"/>
  <c r="P548" i="3"/>
  <c r="Q548" i="3" s="1"/>
  <c r="R548" i="3" s="1"/>
  <c r="S548" i="3" s="1"/>
  <c r="AC548" i="3"/>
  <c r="AD548" i="3"/>
  <c r="U547" i="3" l="1"/>
  <c r="Y546" i="3"/>
  <c r="T548" i="3"/>
  <c r="E548" i="3" l="1"/>
  <c r="H548" i="3" s="1"/>
  <c r="K548" i="3" s="1"/>
  <c r="AE548" i="3" s="1"/>
  <c r="D548" i="3"/>
  <c r="AG548" i="3"/>
  <c r="AH548" i="3"/>
  <c r="V548" i="3" l="1"/>
  <c r="A549" i="3"/>
  <c r="B549" i="3" s="1"/>
  <c r="F548" i="3"/>
  <c r="G548" i="3"/>
  <c r="I548" i="3" l="1"/>
  <c r="W548" i="3" s="1"/>
  <c r="J548" i="3"/>
  <c r="M548" i="3"/>
  <c r="N548" i="3" s="1"/>
  <c r="P549" i="3"/>
  <c r="Q549" i="3" s="1"/>
  <c r="R549" i="3" s="1"/>
  <c r="S549" i="3" s="1"/>
  <c r="AC549" i="3"/>
  <c r="AA549" i="3"/>
  <c r="Z549" i="3"/>
  <c r="AD549" i="3"/>
  <c r="T549" i="3" l="1"/>
  <c r="L548" i="3"/>
  <c r="AH549" i="3" l="1"/>
  <c r="U548" i="3"/>
  <c r="E549" i="3" s="1"/>
  <c r="H549" i="3" s="1"/>
  <c r="AG549" i="3"/>
  <c r="Y547" i="3"/>
  <c r="K549" i="3" l="1"/>
  <c r="AE549" i="3" s="1"/>
  <c r="D549" i="3"/>
  <c r="V549" i="3" l="1"/>
  <c r="A550" i="3"/>
  <c r="B550" i="3" s="1"/>
  <c r="F549" i="3"/>
  <c r="G549" i="3"/>
  <c r="I549" i="3" l="1"/>
  <c r="W549" i="3" s="1"/>
  <c r="J549" i="3"/>
  <c r="M549" i="3"/>
  <c r="N549" i="3" s="1"/>
  <c r="P550" i="3"/>
  <c r="Q550" i="3" s="1"/>
  <c r="R550" i="3" s="1"/>
  <c r="S550" i="3" s="1"/>
  <c r="AA550" i="3"/>
  <c r="AC550" i="3"/>
  <c r="Z550" i="3"/>
  <c r="AD550" i="3"/>
  <c r="T550" i="3" l="1"/>
  <c r="L549" i="3"/>
  <c r="U549" i="3" l="1"/>
  <c r="D550" i="3" s="1"/>
  <c r="AH550" i="3"/>
  <c r="AG550" i="3"/>
  <c r="Y548" i="3"/>
  <c r="E550" i="3" l="1"/>
  <c r="H550" i="3" s="1"/>
  <c r="K550" i="3" s="1"/>
  <c r="AE550" i="3" s="1"/>
  <c r="G550" i="3"/>
  <c r="F550" i="3" l="1"/>
  <c r="I550" i="3"/>
  <c r="J550" i="3"/>
  <c r="M550" i="3"/>
  <c r="N550" i="3" s="1"/>
  <c r="V550" i="3"/>
  <c r="A551" i="3"/>
  <c r="B551" i="3" s="1"/>
  <c r="W550" i="3" l="1"/>
  <c r="L550" i="3"/>
  <c r="AD551" i="3"/>
  <c r="P551" i="3"/>
  <c r="Q551" i="3" s="1"/>
  <c r="R551" i="3" s="1"/>
  <c r="S551" i="3" s="1"/>
  <c r="AC551" i="3"/>
  <c r="AA551" i="3"/>
  <c r="Z551" i="3"/>
  <c r="T551" i="3" l="1"/>
  <c r="AG551" i="3" s="1"/>
  <c r="U550" i="3"/>
  <c r="Y549" i="3"/>
  <c r="D551" i="3" l="1"/>
  <c r="G551" i="3" s="1"/>
  <c r="AH551" i="3"/>
  <c r="E551" i="3"/>
  <c r="H551" i="3" s="1"/>
  <c r="F551" i="3" l="1"/>
  <c r="I551" i="3"/>
  <c r="J551" i="3"/>
  <c r="M551" i="3"/>
  <c r="N551" i="3" s="1"/>
  <c r="K551" i="3"/>
  <c r="AE551" i="3" s="1"/>
  <c r="V551" i="3" l="1"/>
  <c r="W551" i="3" s="1"/>
  <c r="A552" i="3"/>
  <c r="B552" i="3" s="1"/>
  <c r="L551" i="3"/>
  <c r="U551" i="3" l="1"/>
  <c r="Y550" i="3"/>
  <c r="AA552" i="3"/>
  <c r="P552" i="3"/>
  <c r="Q552" i="3" s="1"/>
  <c r="R552" i="3" s="1"/>
  <c r="S552" i="3" s="1"/>
  <c r="AC552" i="3"/>
  <c r="Z552" i="3"/>
  <c r="AD552" i="3"/>
  <c r="T552" i="3" l="1"/>
  <c r="D552" i="3" s="1"/>
  <c r="AG552" i="3" l="1"/>
  <c r="AH552" i="3"/>
  <c r="E552" i="3"/>
  <c r="H552" i="3" s="1"/>
  <c r="K552" i="3" s="1"/>
  <c r="AE552" i="3" s="1"/>
  <c r="G552" i="3"/>
  <c r="F552" i="3" l="1"/>
  <c r="I552" i="3"/>
  <c r="J552" i="3"/>
  <c r="M552" i="3"/>
  <c r="N552" i="3" s="1"/>
  <c r="V552" i="3"/>
  <c r="A553" i="3"/>
  <c r="B553" i="3" s="1"/>
  <c r="W552" i="3" l="1"/>
  <c r="L552" i="3"/>
  <c r="P553" i="3"/>
  <c r="Q553" i="3" s="1"/>
  <c r="R553" i="3" s="1"/>
  <c r="S553" i="3" s="1"/>
  <c r="Z553" i="3"/>
  <c r="AC553" i="3"/>
  <c r="AA553" i="3"/>
  <c r="AD553" i="3"/>
  <c r="T553" i="3" l="1"/>
  <c r="U552" i="3"/>
  <c r="Y551" i="3"/>
  <c r="D553" i="3" l="1"/>
  <c r="G553" i="3" s="1"/>
  <c r="AH553" i="3"/>
  <c r="AG553" i="3"/>
  <c r="E553" i="3"/>
  <c r="H553" i="3" s="1"/>
  <c r="K553" i="3" l="1"/>
  <c r="AE553" i="3" s="1"/>
  <c r="F553" i="3"/>
  <c r="I553" i="3"/>
  <c r="J553" i="3"/>
  <c r="M553" i="3"/>
  <c r="N553" i="3" s="1"/>
  <c r="V553" i="3" l="1"/>
  <c r="W553" i="3" s="1"/>
  <c r="A554" i="3"/>
  <c r="B554" i="3" s="1"/>
  <c r="L553" i="3"/>
  <c r="U553" i="3" l="1"/>
  <c r="Y552" i="3"/>
  <c r="AA554" i="3"/>
  <c r="AC554" i="3"/>
  <c r="P554" i="3"/>
  <c r="Q554" i="3" s="1"/>
  <c r="R554" i="3" s="1"/>
  <c r="S554" i="3" s="1"/>
  <c r="Z554" i="3"/>
  <c r="T554" i="3" l="1"/>
  <c r="AH554" i="3" s="1"/>
  <c r="E554" i="3" l="1"/>
  <c r="H554" i="3" s="1"/>
  <c r="K554" i="3" s="1"/>
  <c r="AE554" i="3" s="1"/>
  <c r="AG554" i="3"/>
  <c r="D554" i="3"/>
  <c r="V554" i="3" l="1"/>
  <c r="A555" i="3"/>
  <c r="B555" i="3" s="1"/>
  <c r="F554" i="3"/>
  <c r="G554" i="3"/>
  <c r="I554" i="3" l="1"/>
  <c r="W554" i="3" s="1"/>
  <c r="J554" i="3"/>
  <c r="AD554" i="3" s="1"/>
  <c r="M554" i="3"/>
  <c r="N554" i="3" s="1"/>
  <c r="AA555" i="3"/>
  <c r="Z555" i="3"/>
  <c r="AC555" i="3"/>
  <c r="P555" i="3"/>
  <c r="Q555" i="3" s="1"/>
  <c r="R555" i="3" s="1"/>
  <c r="S555" i="3" s="1"/>
  <c r="AD555" i="3"/>
  <c r="L554" i="3" l="1"/>
  <c r="T555" i="3"/>
  <c r="U554" i="3" l="1"/>
  <c r="E555" i="3" s="1"/>
  <c r="H555" i="3" s="1"/>
  <c r="AG555" i="3"/>
  <c r="AH555" i="3"/>
  <c r="Y553" i="3"/>
  <c r="K555" i="3" l="1"/>
  <c r="AE555" i="3" s="1"/>
  <c r="D555" i="3"/>
  <c r="F555" i="3" l="1"/>
  <c r="G555" i="3"/>
  <c r="V555" i="3"/>
  <c r="A556" i="3"/>
  <c r="B556" i="3" s="1"/>
  <c r="P556" i="3" l="1"/>
  <c r="Q556" i="3" s="1"/>
  <c r="R556" i="3" s="1"/>
  <c r="S556" i="3" s="1"/>
  <c r="AA556" i="3"/>
  <c r="AD556" i="3"/>
  <c r="Z556" i="3"/>
  <c r="AC556" i="3"/>
  <c r="I555" i="3"/>
  <c r="W555" i="3" s="1"/>
  <c r="J555" i="3"/>
  <c r="M555" i="3"/>
  <c r="N555" i="3" s="1"/>
  <c r="T556" i="3" l="1"/>
  <c r="L555" i="3"/>
  <c r="AH556" i="3" l="1"/>
  <c r="U555" i="3"/>
  <c r="D556" i="3" s="1"/>
  <c r="AG556" i="3"/>
  <c r="Y554" i="3"/>
  <c r="E556" i="3" l="1"/>
  <c r="H556" i="3" s="1"/>
  <c r="K556" i="3" s="1"/>
  <c r="AE556" i="3" s="1"/>
  <c r="G556" i="3"/>
  <c r="F556" i="3" l="1"/>
  <c r="I556" i="3"/>
  <c r="J556" i="3"/>
  <c r="M556" i="3"/>
  <c r="N556" i="3" s="1"/>
  <c r="V556" i="3"/>
  <c r="A557" i="3"/>
  <c r="B557" i="3" s="1"/>
  <c r="W556" i="3" l="1"/>
  <c r="L556" i="3"/>
  <c r="P557" i="3"/>
  <c r="Q557" i="3" s="1"/>
  <c r="R557" i="3" s="1"/>
  <c r="S557" i="3" s="1"/>
  <c r="AA557" i="3"/>
  <c r="AC557" i="3"/>
  <c r="Z557" i="3"/>
  <c r="U556" i="3" l="1"/>
  <c r="Y555" i="3"/>
  <c r="T557" i="3"/>
  <c r="AH557" i="3" s="1"/>
  <c r="D557" i="3" l="1"/>
  <c r="G557" i="3" s="1"/>
  <c r="AG557" i="3"/>
  <c r="E557" i="3"/>
  <c r="H557" i="3" s="1"/>
  <c r="K557" i="3" s="1"/>
  <c r="AE557" i="3" s="1"/>
  <c r="F557" i="3" l="1"/>
  <c r="I557" i="3"/>
  <c r="J557" i="3"/>
  <c r="AD557" i="3" s="1"/>
  <c r="M557" i="3"/>
  <c r="N557" i="3" s="1"/>
  <c r="V557" i="3"/>
  <c r="A558" i="3"/>
  <c r="B558" i="3" s="1"/>
  <c r="W557" i="3" l="1"/>
  <c r="L557" i="3"/>
  <c r="AA558" i="3"/>
  <c r="AD558" i="3"/>
  <c r="P558" i="3"/>
  <c r="Q558" i="3" s="1"/>
  <c r="R558" i="3" s="1"/>
  <c r="S558" i="3" s="1"/>
  <c r="Z558" i="3"/>
  <c r="AC558" i="3"/>
  <c r="T558" i="3" l="1"/>
  <c r="AG558" i="3" s="1"/>
  <c r="U557" i="3"/>
  <c r="Y556" i="3"/>
  <c r="E558" i="3" l="1"/>
  <c r="H558" i="3" s="1"/>
  <c r="AH558" i="3"/>
  <c r="D558" i="3"/>
  <c r="F558" i="3" l="1"/>
  <c r="G558" i="3"/>
  <c r="K558" i="3"/>
  <c r="AE558" i="3" s="1"/>
  <c r="I558" i="3" l="1"/>
  <c r="J558" i="3"/>
  <c r="M558" i="3"/>
  <c r="N558" i="3" s="1"/>
  <c r="V558" i="3"/>
  <c r="A559" i="3"/>
  <c r="B559" i="3" s="1"/>
  <c r="W558" i="3" l="1"/>
  <c r="L558" i="3"/>
  <c r="AC559" i="3"/>
  <c r="P559" i="3"/>
  <c r="Q559" i="3" s="1"/>
  <c r="R559" i="3" s="1"/>
  <c r="S559" i="3" s="1"/>
  <c r="AA559" i="3"/>
  <c r="Z559" i="3"/>
  <c r="AD559" i="3"/>
  <c r="T559" i="3" l="1"/>
  <c r="U558" i="3"/>
  <c r="Y557" i="3"/>
  <c r="E559" i="3" l="1"/>
  <c r="H559" i="3" s="1"/>
  <c r="K559" i="3" s="1"/>
  <c r="AE559" i="3" s="1"/>
  <c r="AH559" i="3"/>
  <c r="AG559" i="3"/>
  <c r="D559" i="3"/>
  <c r="V559" i="3" l="1"/>
  <c r="A560" i="3"/>
  <c r="B560" i="3" s="1"/>
  <c r="F559" i="3"/>
  <c r="G559" i="3"/>
  <c r="I559" i="3" l="1"/>
  <c r="W559" i="3" s="1"/>
  <c r="J559" i="3"/>
  <c r="M559" i="3"/>
  <c r="N559" i="3" s="1"/>
  <c r="AD560" i="3"/>
  <c r="Z560" i="3"/>
  <c r="AC560" i="3"/>
  <c r="AA560" i="3"/>
  <c r="P560" i="3"/>
  <c r="Q560" i="3" s="1"/>
  <c r="R560" i="3" s="1"/>
  <c r="S560" i="3" s="1"/>
  <c r="T560" i="3" l="1"/>
  <c r="L559" i="3"/>
  <c r="AG560" i="3" l="1"/>
  <c r="U559" i="3"/>
  <c r="D560" i="3" s="1"/>
  <c r="AH560" i="3"/>
  <c r="Y558" i="3"/>
  <c r="E560" i="3" l="1"/>
  <c r="H560" i="3" s="1"/>
  <c r="K560" i="3" s="1"/>
  <c r="AE560" i="3" s="1"/>
  <c r="G560" i="3"/>
  <c r="F560" i="3" l="1"/>
  <c r="V560" i="3"/>
  <c r="A561" i="3"/>
  <c r="B561" i="3" s="1"/>
  <c r="I560" i="3"/>
  <c r="J560" i="3"/>
  <c r="M560" i="3"/>
  <c r="N560" i="3" s="1"/>
  <c r="W560" i="3" l="1"/>
  <c r="L560" i="3"/>
  <c r="AA561" i="3"/>
  <c r="P561" i="3"/>
  <c r="Q561" i="3" s="1"/>
  <c r="R561" i="3" s="1"/>
  <c r="S561" i="3" s="1"/>
  <c r="Z561" i="3"/>
  <c r="AD561" i="3"/>
  <c r="AC561" i="3"/>
  <c r="U560" i="3" l="1"/>
  <c r="Y559" i="3"/>
  <c r="T561" i="3"/>
  <c r="E561" i="3" l="1"/>
  <c r="H561" i="3" s="1"/>
  <c r="K561" i="3" s="1"/>
  <c r="AE561" i="3" s="1"/>
  <c r="D561" i="3"/>
  <c r="AH561" i="3"/>
  <c r="AG561" i="3"/>
  <c r="F561" i="3" l="1"/>
  <c r="G561" i="3"/>
  <c r="M561" i="3" s="1"/>
  <c r="N561" i="3" s="1"/>
  <c r="V561" i="3"/>
  <c r="A562" i="3"/>
  <c r="B562" i="3" s="1"/>
  <c r="I561" i="3" l="1"/>
  <c r="W561" i="3" s="1"/>
  <c r="J561" i="3"/>
  <c r="L561" i="3" s="1"/>
  <c r="Z562" i="3"/>
  <c r="AA562" i="3"/>
  <c r="AD562" i="3"/>
  <c r="P562" i="3"/>
  <c r="Q562" i="3" s="1"/>
  <c r="R562" i="3" s="1"/>
  <c r="S562" i="3" s="1"/>
  <c r="AC562" i="3"/>
  <c r="U561" i="3" l="1"/>
  <c r="Y560" i="3"/>
  <c r="T562" i="3"/>
  <c r="AH562" i="3" s="1"/>
  <c r="AG562" i="3" l="1"/>
  <c r="E562" i="3"/>
  <c r="H562" i="3" s="1"/>
  <c r="K562" i="3" s="1"/>
  <c r="AE562" i="3" s="1"/>
  <c r="D562" i="3"/>
  <c r="F562" i="3" l="1"/>
  <c r="G562" i="3"/>
  <c r="J562" i="3" s="1"/>
  <c r="V562" i="3"/>
  <c r="A563" i="3"/>
  <c r="B563" i="3" s="1"/>
  <c r="M562" i="3" l="1"/>
  <c r="N562" i="3" s="1"/>
  <c r="I562" i="3"/>
  <c r="W562" i="3" s="1"/>
  <c r="L562" i="3"/>
  <c r="Z563" i="3"/>
  <c r="P563" i="3"/>
  <c r="Q563" i="3" s="1"/>
  <c r="R563" i="3" s="1"/>
  <c r="S563" i="3" s="1"/>
  <c r="AC563" i="3"/>
  <c r="AA563" i="3"/>
  <c r="AD563" i="3"/>
  <c r="U562" i="3" l="1"/>
  <c r="Y561" i="3"/>
  <c r="T563" i="3"/>
  <c r="AH563" i="3" s="1"/>
  <c r="AG563" i="3" l="1"/>
  <c r="D563" i="3"/>
  <c r="E563" i="3"/>
  <c r="H563" i="3" s="1"/>
  <c r="K563" i="3" s="1"/>
  <c r="AE563" i="3" s="1"/>
  <c r="F563" i="3" l="1"/>
  <c r="G563" i="3"/>
  <c r="M563" i="3" s="1"/>
  <c r="N563" i="3" s="1"/>
  <c r="V563" i="3"/>
  <c r="A564" i="3"/>
  <c r="B564" i="3" s="1"/>
  <c r="I563" i="3" l="1"/>
  <c r="W563" i="3" s="1"/>
  <c r="J563" i="3"/>
  <c r="L563" i="3" s="1"/>
  <c r="Z564" i="3"/>
  <c r="P564" i="3"/>
  <c r="Q564" i="3" s="1"/>
  <c r="R564" i="3" s="1"/>
  <c r="S564" i="3" s="1"/>
  <c r="AC564" i="3"/>
  <c r="AA564" i="3"/>
  <c r="U563" i="3" l="1"/>
  <c r="Y562" i="3"/>
  <c r="T564" i="3"/>
  <c r="AH564" i="3" s="1"/>
  <c r="D564" i="3" l="1"/>
  <c r="E564" i="3"/>
  <c r="H564" i="3" s="1"/>
  <c r="AG564" i="3"/>
  <c r="K564" i="3" l="1"/>
  <c r="AE564" i="3" s="1"/>
  <c r="F564" i="3"/>
  <c r="G564" i="3"/>
  <c r="V564" i="3" l="1"/>
  <c r="A565" i="3"/>
  <c r="B565" i="3" s="1"/>
  <c r="I564" i="3"/>
  <c r="J564" i="3"/>
  <c r="AD564" i="3" s="1"/>
  <c r="M564" i="3"/>
  <c r="N564" i="3" s="1"/>
  <c r="W564" i="3" l="1"/>
  <c r="L564" i="3"/>
  <c r="Z565" i="3"/>
  <c r="AC565" i="3"/>
  <c r="P565" i="3"/>
  <c r="Q565" i="3" s="1"/>
  <c r="R565" i="3" s="1"/>
  <c r="S565" i="3" s="1"/>
  <c r="AA565" i="3"/>
  <c r="AD565" i="3"/>
  <c r="U564" i="3" l="1"/>
  <c r="Y563" i="3"/>
  <c r="T565" i="3"/>
  <c r="E565" i="3" l="1"/>
  <c r="H565" i="3" s="1"/>
  <c r="K565" i="3" s="1"/>
  <c r="AE565" i="3" s="1"/>
  <c r="D565" i="3"/>
  <c r="AG565" i="3"/>
  <c r="AH565" i="3"/>
  <c r="V565" i="3" l="1"/>
  <c r="A566" i="3"/>
  <c r="B566" i="3" s="1"/>
  <c r="F565" i="3"/>
  <c r="G565" i="3"/>
  <c r="I565" i="3" l="1"/>
  <c r="W565" i="3" s="1"/>
  <c r="J565" i="3"/>
  <c r="M565" i="3"/>
  <c r="N565" i="3" s="1"/>
  <c r="AD566" i="3"/>
  <c r="Z566" i="3"/>
  <c r="AA566" i="3"/>
  <c r="P566" i="3"/>
  <c r="Q566" i="3" s="1"/>
  <c r="R566" i="3" s="1"/>
  <c r="S566" i="3" s="1"/>
  <c r="AC566" i="3"/>
  <c r="L565" i="3" l="1"/>
  <c r="T566" i="3"/>
  <c r="AG566" i="3" l="1"/>
  <c r="AH566" i="3"/>
  <c r="U565" i="3"/>
  <c r="D566" i="3" s="1"/>
  <c r="Y564" i="3"/>
  <c r="G566" i="3" l="1"/>
  <c r="E566" i="3"/>
  <c r="H566" i="3" s="1"/>
  <c r="F566" i="3" l="1"/>
  <c r="I566" i="3"/>
  <c r="J566" i="3"/>
  <c r="M566" i="3"/>
  <c r="N566" i="3" s="1"/>
  <c r="K566" i="3"/>
  <c r="AE566" i="3" s="1"/>
  <c r="V566" i="3" l="1"/>
  <c r="W566" i="3" s="1"/>
  <c r="A567" i="3"/>
  <c r="B567" i="3" s="1"/>
  <c r="L566" i="3"/>
  <c r="U566" i="3" l="1"/>
  <c r="Y565" i="3"/>
  <c r="P567" i="3"/>
  <c r="Q567" i="3" s="1"/>
  <c r="R567" i="3" s="1"/>
  <c r="S567" i="3" s="1"/>
  <c r="AA567" i="3"/>
  <c r="Z567" i="3"/>
  <c r="AC567" i="3"/>
  <c r="T567" i="3" l="1"/>
  <c r="AG567" i="3" s="1"/>
  <c r="AH567" i="3" l="1"/>
  <c r="E567" i="3"/>
  <c r="H567" i="3" s="1"/>
  <c r="K567" i="3" s="1"/>
  <c r="AE567" i="3" s="1"/>
  <c r="D567" i="3"/>
  <c r="G567" i="3" s="1"/>
  <c r="F567" i="3" l="1"/>
  <c r="I567" i="3"/>
  <c r="J567" i="3"/>
  <c r="AD567" i="3" s="1"/>
  <c r="M567" i="3"/>
  <c r="N567" i="3" s="1"/>
  <c r="V567" i="3"/>
  <c r="A568" i="3"/>
  <c r="B568" i="3" s="1"/>
  <c r="W567" i="3" l="1"/>
  <c r="L567" i="3"/>
  <c r="AC568" i="3"/>
  <c r="AD568" i="3"/>
  <c r="P568" i="3"/>
  <c r="Q568" i="3" s="1"/>
  <c r="R568" i="3" s="1"/>
  <c r="S568" i="3" s="1"/>
  <c r="AA568" i="3"/>
  <c r="Z568" i="3"/>
  <c r="U567" i="3" l="1"/>
  <c r="Y566" i="3"/>
  <c r="T568" i="3"/>
  <c r="AG568" i="3" s="1"/>
  <c r="D568" i="3" l="1"/>
  <c r="G568" i="3" s="1"/>
  <c r="E568" i="3"/>
  <c r="H568" i="3" s="1"/>
  <c r="K568" i="3" s="1"/>
  <c r="AE568" i="3" s="1"/>
  <c r="AH568" i="3"/>
  <c r="F568" i="3" l="1"/>
  <c r="V568" i="3"/>
  <c r="A569" i="3"/>
  <c r="B569" i="3" s="1"/>
  <c r="I568" i="3"/>
  <c r="J568" i="3"/>
  <c r="M568" i="3"/>
  <c r="N568" i="3" s="1"/>
  <c r="L568" i="3" l="1"/>
  <c r="W568" i="3"/>
  <c r="AA569" i="3"/>
  <c r="AD569" i="3"/>
  <c r="P569" i="3"/>
  <c r="Q569" i="3" s="1"/>
  <c r="R569" i="3" s="1"/>
  <c r="S569" i="3" s="1"/>
  <c r="AC569" i="3"/>
  <c r="Z569" i="3"/>
  <c r="T569" i="3" l="1"/>
  <c r="AH569" i="3" s="1"/>
  <c r="U568" i="3"/>
  <c r="Y567" i="3"/>
  <c r="D569" i="3" l="1"/>
  <c r="G569" i="3" s="1"/>
  <c r="AG569" i="3"/>
  <c r="E569" i="3"/>
  <c r="H569" i="3" s="1"/>
  <c r="F569" i="3" l="1"/>
  <c r="I569" i="3"/>
  <c r="J569" i="3"/>
  <c r="M569" i="3"/>
  <c r="N569" i="3" s="1"/>
  <c r="K569" i="3"/>
  <c r="AE569" i="3" s="1"/>
  <c r="L569" i="3" l="1"/>
  <c r="V569" i="3"/>
  <c r="W569" i="3" s="1"/>
  <c r="A570" i="3"/>
  <c r="B570" i="3" s="1"/>
  <c r="AC570" i="3" l="1"/>
  <c r="P570" i="3"/>
  <c r="Q570" i="3" s="1"/>
  <c r="R570" i="3" s="1"/>
  <c r="S570" i="3" s="1"/>
  <c r="AD570" i="3"/>
  <c r="Z570" i="3"/>
  <c r="AA570" i="3"/>
  <c r="U569" i="3"/>
  <c r="Y568" i="3"/>
  <c r="T570" i="3" l="1"/>
  <c r="D570" i="3" l="1"/>
  <c r="E570" i="3"/>
  <c r="H570" i="3" s="1"/>
  <c r="AG570" i="3"/>
  <c r="AH570" i="3"/>
  <c r="F570" i="3" l="1"/>
  <c r="G570" i="3"/>
  <c r="K570" i="3"/>
  <c r="AE570" i="3" s="1"/>
  <c r="V570" i="3" l="1"/>
  <c r="A571" i="3"/>
  <c r="B571" i="3" s="1"/>
  <c r="I570" i="3"/>
  <c r="J570" i="3"/>
  <c r="M570" i="3"/>
  <c r="N570" i="3" s="1"/>
  <c r="W570" i="3" l="1"/>
  <c r="L570" i="3"/>
  <c r="P571" i="3"/>
  <c r="Q571" i="3" s="1"/>
  <c r="R571" i="3" s="1"/>
  <c r="S571" i="3" s="1"/>
  <c r="AD571" i="3"/>
  <c r="AA571" i="3"/>
  <c r="Z571" i="3"/>
  <c r="AC571" i="3"/>
  <c r="U570" i="3" l="1"/>
  <c r="Y569" i="3"/>
  <c r="T571" i="3"/>
  <c r="D571" i="3" l="1"/>
  <c r="G571" i="3" s="1"/>
  <c r="AG571" i="3"/>
  <c r="AH571" i="3"/>
  <c r="E571" i="3"/>
  <c r="H571" i="3" s="1"/>
  <c r="K571" i="3" s="1"/>
  <c r="AE571" i="3" s="1"/>
  <c r="F571" i="3" l="1"/>
  <c r="V571" i="3"/>
  <c r="A572" i="3"/>
  <c r="B572" i="3" s="1"/>
  <c r="I571" i="3"/>
  <c r="J571" i="3"/>
  <c r="M571" i="3"/>
  <c r="N571" i="3" s="1"/>
  <c r="W571" i="3" l="1"/>
  <c r="L571" i="3"/>
  <c r="AC572" i="3"/>
  <c r="AD572" i="3"/>
  <c r="P572" i="3"/>
  <c r="Q572" i="3" s="1"/>
  <c r="R572" i="3" s="1"/>
  <c r="S572" i="3" s="1"/>
  <c r="AA572" i="3"/>
  <c r="Z572" i="3"/>
  <c r="T572" i="3" l="1"/>
  <c r="AH572" i="3" s="1"/>
  <c r="U571" i="3"/>
  <c r="Y570" i="3"/>
  <c r="E572" i="3" l="1"/>
  <c r="H572" i="3" s="1"/>
  <c r="AG572" i="3"/>
  <c r="D572" i="3"/>
  <c r="F572" i="3" l="1"/>
  <c r="G572" i="3"/>
  <c r="K572" i="3"/>
  <c r="AE572" i="3" s="1"/>
  <c r="V572" i="3" l="1"/>
  <c r="A573" i="3"/>
  <c r="B573" i="3" s="1"/>
  <c r="I572" i="3"/>
  <c r="J572" i="3"/>
  <c r="M572" i="3"/>
  <c r="N572" i="3" s="1"/>
  <c r="W572" i="3" l="1"/>
  <c r="L572" i="3"/>
  <c r="P573" i="3"/>
  <c r="Q573" i="3" s="1"/>
  <c r="R573" i="3" s="1"/>
  <c r="S573" i="3" s="1"/>
  <c r="Z573" i="3"/>
  <c r="AC573" i="3"/>
  <c r="AA573" i="3"/>
  <c r="AD573" i="3"/>
  <c r="U572" i="3" l="1"/>
  <c r="Y571" i="3"/>
  <c r="T573" i="3"/>
  <c r="E573" i="3" l="1"/>
  <c r="H573" i="3" s="1"/>
  <c r="K573" i="3" s="1"/>
  <c r="AE573" i="3" s="1"/>
  <c r="D573" i="3"/>
  <c r="AH573" i="3"/>
  <c r="AG573" i="3"/>
  <c r="F573" i="3" l="1"/>
  <c r="G573" i="3"/>
  <c r="I573" i="3" s="1"/>
  <c r="V573" i="3"/>
  <c r="A574" i="3"/>
  <c r="B574" i="3" s="1"/>
  <c r="J573" i="3" l="1"/>
  <c r="L573" i="3" s="1"/>
  <c r="M573" i="3"/>
  <c r="N573" i="3" s="1"/>
  <c r="W573" i="3"/>
  <c r="AA574" i="3"/>
  <c r="Z574" i="3"/>
  <c r="P574" i="3"/>
  <c r="Q574" i="3" s="1"/>
  <c r="R574" i="3" s="1"/>
  <c r="S574" i="3" s="1"/>
  <c r="AC574" i="3"/>
  <c r="U573" i="3" l="1"/>
  <c r="Y572" i="3"/>
  <c r="T574" i="3"/>
  <c r="AH574" i="3" s="1"/>
  <c r="D574" i="3" l="1"/>
  <c r="G574" i="3" s="1"/>
  <c r="AG574" i="3"/>
  <c r="E574" i="3"/>
  <c r="H574" i="3" s="1"/>
  <c r="K574" i="3" l="1"/>
  <c r="AE574" i="3" s="1"/>
  <c r="I574" i="3"/>
  <c r="J574" i="3"/>
  <c r="AD574" i="3" s="1"/>
  <c r="M574" i="3"/>
  <c r="N574" i="3" s="1"/>
  <c r="F574" i="3"/>
  <c r="V574" i="3" l="1"/>
  <c r="W574" i="3" s="1"/>
  <c r="A575" i="3"/>
  <c r="B575" i="3" s="1"/>
  <c r="L574" i="3"/>
  <c r="U574" i="3" l="1"/>
  <c r="Y573" i="3"/>
  <c r="P575" i="3"/>
  <c r="Q575" i="3" s="1"/>
  <c r="R575" i="3" s="1"/>
  <c r="S575" i="3" s="1"/>
  <c r="Z575" i="3"/>
  <c r="AC575" i="3"/>
  <c r="AA575" i="3"/>
  <c r="AD575" i="3"/>
  <c r="T575" i="3" l="1"/>
  <c r="AH575" i="3" s="1"/>
  <c r="AG575" i="3" l="1"/>
  <c r="E575" i="3"/>
  <c r="H575" i="3" s="1"/>
  <c r="D575" i="3"/>
  <c r="K575" i="3" l="1"/>
  <c r="AE575" i="3" s="1"/>
  <c r="F575" i="3"/>
  <c r="G575" i="3"/>
  <c r="V575" i="3" l="1"/>
  <c r="A576" i="3"/>
  <c r="B576" i="3" s="1"/>
  <c r="I575" i="3"/>
  <c r="J575" i="3"/>
  <c r="M575" i="3"/>
  <c r="N575" i="3" s="1"/>
  <c r="W575" i="3" l="1"/>
  <c r="L575" i="3"/>
  <c r="AA576" i="3"/>
  <c r="P576" i="3"/>
  <c r="Q576" i="3" s="1"/>
  <c r="R576" i="3" s="1"/>
  <c r="S576" i="3" s="1"/>
  <c r="AD576" i="3"/>
  <c r="Z576" i="3"/>
  <c r="AC576" i="3"/>
  <c r="U575" i="3" l="1"/>
  <c r="Y574" i="3"/>
  <c r="T576" i="3"/>
  <c r="E576" i="3" l="1"/>
  <c r="H576" i="3" s="1"/>
  <c r="K576" i="3" s="1"/>
  <c r="AE576" i="3" s="1"/>
  <c r="AH576" i="3"/>
  <c r="D576" i="3"/>
  <c r="G576" i="3" s="1"/>
  <c r="AG576" i="3"/>
  <c r="F576" i="3" l="1"/>
  <c r="V576" i="3"/>
  <c r="A577" i="3"/>
  <c r="B577" i="3" s="1"/>
  <c r="I576" i="3"/>
  <c r="J576" i="3"/>
  <c r="M576" i="3"/>
  <c r="N576" i="3" s="1"/>
  <c r="W576" i="3" l="1"/>
  <c r="L576" i="3"/>
  <c r="P577" i="3"/>
  <c r="Q577" i="3" s="1"/>
  <c r="R577" i="3" s="1"/>
  <c r="S577" i="3" s="1"/>
  <c r="AC577" i="3"/>
  <c r="AA577" i="3"/>
  <c r="Z577" i="3"/>
  <c r="U576" i="3" l="1"/>
  <c r="Y575" i="3"/>
  <c r="T577" i="3"/>
  <c r="AH577" i="3" s="1"/>
  <c r="E577" i="3" l="1"/>
  <c r="H577" i="3" s="1"/>
  <c r="K577" i="3" s="1"/>
  <c r="AE577" i="3" s="1"/>
  <c r="AG577" i="3"/>
  <c r="D577" i="3"/>
  <c r="F577" i="3" l="1"/>
  <c r="G577" i="3"/>
  <c r="J577" i="3" s="1"/>
  <c r="AD577" i="3" s="1"/>
  <c r="V577" i="3"/>
  <c r="A578" i="3"/>
  <c r="B578" i="3" s="1"/>
  <c r="M577" i="3" l="1"/>
  <c r="N577" i="3" s="1"/>
  <c r="I577" i="3"/>
  <c r="W577" i="3" s="1"/>
  <c r="L577" i="3"/>
  <c r="AC578" i="3"/>
  <c r="AD578" i="3"/>
  <c r="P578" i="3"/>
  <c r="Q578" i="3" s="1"/>
  <c r="R578" i="3" s="1"/>
  <c r="S578" i="3" s="1"/>
  <c r="Z578" i="3"/>
  <c r="AA578" i="3"/>
  <c r="U577" i="3" l="1"/>
  <c r="Y576" i="3"/>
  <c r="T578" i="3"/>
  <c r="AG578" i="3" s="1"/>
  <c r="D578" i="3" l="1"/>
  <c r="G578" i="3" s="1"/>
  <c r="AH578" i="3"/>
  <c r="E578" i="3"/>
  <c r="H578" i="3" s="1"/>
  <c r="K578" i="3" s="1"/>
  <c r="AE578" i="3" s="1"/>
  <c r="F578" i="3" l="1"/>
  <c r="I578" i="3"/>
  <c r="J578" i="3"/>
  <c r="M578" i="3"/>
  <c r="N578" i="3" s="1"/>
  <c r="V578" i="3"/>
  <c r="A579" i="3"/>
  <c r="B579" i="3" s="1"/>
  <c r="W578" i="3" l="1"/>
  <c r="L578" i="3"/>
  <c r="AC579" i="3"/>
  <c r="Z579" i="3"/>
  <c r="P579" i="3"/>
  <c r="Q579" i="3" s="1"/>
  <c r="R579" i="3" s="1"/>
  <c r="S579" i="3" s="1"/>
  <c r="AD579" i="3"/>
  <c r="AA579" i="3"/>
  <c r="U578" i="3" l="1"/>
  <c r="Y577" i="3"/>
  <c r="T579" i="3"/>
  <c r="AG579" i="3" s="1"/>
  <c r="E579" i="3" l="1"/>
  <c r="H579" i="3" s="1"/>
  <c r="K579" i="3" s="1"/>
  <c r="AE579" i="3" s="1"/>
  <c r="AH579" i="3"/>
  <c r="D579" i="3"/>
  <c r="F579" i="3" l="1"/>
  <c r="G579" i="3"/>
  <c r="M579" i="3" s="1"/>
  <c r="N579" i="3" s="1"/>
  <c r="V579" i="3"/>
  <c r="A580" i="3"/>
  <c r="B580" i="3" s="1"/>
  <c r="I579" i="3" l="1"/>
  <c r="W579" i="3" s="1"/>
  <c r="J579" i="3"/>
  <c r="L579" i="3" s="1"/>
  <c r="AD580" i="3"/>
  <c r="P580" i="3"/>
  <c r="Q580" i="3" s="1"/>
  <c r="R580" i="3" s="1"/>
  <c r="S580" i="3" s="1"/>
  <c r="AA580" i="3"/>
  <c r="AC580" i="3"/>
  <c r="Z580" i="3"/>
  <c r="U579" i="3" l="1"/>
  <c r="Y578" i="3"/>
  <c r="T580" i="3"/>
  <c r="AH580" i="3" s="1"/>
  <c r="E580" i="3" l="1"/>
  <c r="H580" i="3" s="1"/>
  <c r="D580" i="3"/>
  <c r="AG580" i="3"/>
  <c r="K580" i="3" l="1"/>
  <c r="AE580" i="3" s="1"/>
  <c r="F580" i="3"/>
  <c r="G580" i="3"/>
  <c r="I580" i="3" l="1"/>
  <c r="J580" i="3"/>
  <c r="M580" i="3"/>
  <c r="N580" i="3" s="1"/>
  <c r="V580" i="3"/>
  <c r="A581" i="3"/>
  <c r="B581" i="3" s="1"/>
  <c r="W580" i="3" l="1"/>
  <c r="P581" i="3"/>
  <c r="Q581" i="3" s="1"/>
  <c r="R581" i="3" s="1"/>
  <c r="S581" i="3" s="1"/>
  <c r="Z581" i="3"/>
  <c r="AA581" i="3"/>
  <c r="AC581" i="3"/>
  <c r="AD581" i="3"/>
  <c r="L580" i="3"/>
  <c r="T581" i="3" l="1"/>
  <c r="AH581" i="3" s="1"/>
  <c r="U580" i="3"/>
  <c r="Y579" i="3"/>
  <c r="D581" i="3" l="1"/>
  <c r="G581" i="3" s="1"/>
  <c r="AG581" i="3"/>
  <c r="E581" i="3"/>
  <c r="H581" i="3" s="1"/>
  <c r="I581" i="3" l="1"/>
  <c r="J581" i="3"/>
  <c r="M581" i="3"/>
  <c r="N581" i="3" s="1"/>
  <c r="F581" i="3"/>
  <c r="K581" i="3"/>
  <c r="AE581" i="3" s="1"/>
  <c r="L581" i="3" l="1"/>
  <c r="V581" i="3"/>
  <c r="W581" i="3" s="1"/>
  <c r="A582" i="3"/>
  <c r="B582" i="3" s="1"/>
  <c r="P582" i="3" l="1"/>
  <c r="Q582" i="3" s="1"/>
  <c r="R582" i="3" s="1"/>
  <c r="S582" i="3" s="1"/>
  <c r="Z582" i="3"/>
  <c r="AD582" i="3"/>
  <c r="AC582" i="3"/>
  <c r="AA582" i="3"/>
  <c r="U581" i="3"/>
  <c r="Y580" i="3"/>
  <c r="T582" i="3" l="1"/>
  <c r="AH582" i="3" s="1"/>
  <c r="E582" i="3" l="1"/>
  <c r="H582" i="3" s="1"/>
  <c r="K582" i="3" s="1"/>
  <c r="AE582" i="3" s="1"/>
  <c r="AG582" i="3"/>
  <c r="D582" i="3"/>
  <c r="V582" i="3" l="1"/>
  <c r="A583" i="3"/>
  <c r="B583" i="3" s="1"/>
  <c r="F582" i="3"/>
  <c r="G582" i="3"/>
  <c r="I582" i="3" l="1"/>
  <c r="W582" i="3" s="1"/>
  <c r="J582" i="3"/>
  <c r="M582" i="3"/>
  <c r="N582" i="3" s="1"/>
  <c r="AD583" i="3"/>
  <c r="AA583" i="3"/>
  <c r="Z583" i="3"/>
  <c r="P583" i="3"/>
  <c r="Q583" i="3" s="1"/>
  <c r="R583" i="3" s="1"/>
  <c r="S583" i="3" s="1"/>
  <c r="AC583" i="3"/>
  <c r="T583" i="3" l="1"/>
  <c r="L582" i="3"/>
  <c r="U582" i="3" l="1"/>
  <c r="E583" i="3" s="1"/>
  <c r="H583" i="3" s="1"/>
  <c r="AG583" i="3"/>
  <c r="AH583" i="3"/>
  <c r="Y581" i="3"/>
  <c r="D583" i="3" l="1"/>
  <c r="G583" i="3" s="1"/>
  <c r="K583" i="3"/>
  <c r="AE583" i="3" s="1"/>
  <c r="F583" i="3" l="1"/>
  <c r="V583" i="3"/>
  <c r="A584" i="3"/>
  <c r="B584" i="3" s="1"/>
  <c r="I583" i="3"/>
  <c r="J583" i="3"/>
  <c r="M583" i="3"/>
  <c r="N583" i="3" s="1"/>
  <c r="W583" i="3" l="1"/>
  <c r="L583" i="3"/>
  <c r="AC584" i="3"/>
  <c r="P584" i="3"/>
  <c r="Q584" i="3" s="1"/>
  <c r="R584" i="3" s="1"/>
  <c r="S584" i="3" s="1"/>
  <c r="AA584" i="3"/>
  <c r="Z584" i="3"/>
  <c r="U583" i="3" l="1"/>
  <c r="Y582" i="3"/>
  <c r="T584" i="3"/>
  <c r="AG584" i="3" s="1"/>
  <c r="E584" i="3" l="1"/>
  <c r="H584" i="3" s="1"/>
  <c r="K584" i="3" s="1"/>
  <c r="AE584" i="3" s="1"/>
  <c r="AH584" i="3"/>
  <c r="D584" i="3"/>
  <c r="V584" i="3" l="1"/>
  <c r="A585" i="3"/>
  <c r="B585" i="3" s="1"/>
  <c r="F584" i="3"/>
  <c r="G584" i="3"/>
  <c r="Z585" i="3" l="1"/>
  <c r="AA585" i="3"/>
  <c r="P585" i="3"/>
  <c r="Q585" i="3" s="1"/>
  <c r="R585" i="3" s="1"/>
  <c r="S585" i="3" s="1"/>
  <c r="AD585" i="3"/>
  <c r="AC585" i="3"/>
  <c r="I584" i="3"/>
  <c r="W584" i="3" s="1"/>
  <c r="J584" i="3"/>
  <c r="AD584" i="3" s="1"/>
  <c r="M584" i="3"/>
  <c r="N584" i="3" s="1"/>
  <c r="T585" i="3" l="1"/>
  <c r="L584" i="3"/>
  <c r="AG585" i="3" l="1"/>
  <c r="U584" i="3"/>
  <c r="D585" i="3" s="1"/>
  <c r="AH585" i="3"/>
  <c r="Y583" i="3"/>
  <c r="G585" i="3" l="1"/>
  <c r="E585" i="3"/>
  <c r="H585" i="3" s="1"/>
  <c r="F585" i="3" l="1"/>
  <c r="I585" i="3"/>
  <c r="J585" i="3"/>
  <c r="M585" i="3"/>
  <c r="N585" i="3" s="1"/>
  <c r="K585" i="3"/>
  <c r="AE585" i="3" s="1"/>
  <c r="V585" i="3" l="1"/>
  <c r="W585" i="3" s="1"/>
  <c r="A586" i="3"/>
  <c r="B586" i="3" s="1"/>
  <c r="L585" i="3"/>
  <c r="U585" i="3" l="1"/>
  <c r="Y584" i="3"/>
  <c r="P586" i="3"/>
  <c r="Q586" i="3" s="1"/>
  <c r="R586" i="3" s="1"/>
  <c r="S586" i="3" s="1"/>
  <c r="AA586" i="3"/>
  <c r="Z586" i="3"/>
  <c r="AD586" i="3"/>
  <c r="AC586" i="3"/>
  <c r="T586" i="3" l="1"/>
  <c r="E586" i="3" s="1"/>
  <c r="H586" i="3" s="1"/>
  <c r="AH586" i="3" l="1"/>
  <c r="K586" i="3"/>
  <c r="AE586" i="3" s="1"/>
  <c r="AG586" i="3"/>
  <c r="D586" i="3"/>
  <c r="F586" i="3" l="1"/>
  <c r="G586" i="3"/>
  <c r="V586" i="3"/>
  <c r="A587" i="3"/>
  <c r="B587" i="3" s="1"/>
  <c r="AA587" i="3" l="1"/>
  <c r="Z587" i="3"/>
  <c r="AC587" i="3"/>
  <c r="P587" i="3"/>
  <c r="Q587" i="3" s="1"/>
  <c r="R587" i="3" s="1"/>
  <c r="S587" i="3" s="1"/>
  <c r="I586" i="3"/>
  <c r="W586" i="3" s="1"/>
  <c r="J586" i="3"/>
  <c r="M586" i="3"/>
  <c r="N586" i="3" s="1"/>
  <c r="T587" i="3" l="1"/>
  <c r="L586" i="3"/>
  <c r="AH587" i="3" l="1"/>
  <c r="U586" i="3"/>
  <c r="D587" i="3" s="1"/>
  <c r="AG587" i="3"/>
  <c r="Y585" i="3"/>
  <c r="G587" i="3" l="1"/>
  <c r="E587" i="3"/>
  <c r="H587" i="3" s="1"/>
  <c r="F587" i="3" l="1"/>
  <c r="K587" i="3"/>
  <c r="AE587" i="3" s="1"/>
  <c r="I587" i="3"/>
  <c r="J587" i="3"/>
  <c r="AD587" i="3" s="1"/>
  <c r="M587" i="3"/>
  <c r="N587" i="3" s="1"/>
  <c r="L587" i="3" l="1"/>
  <c r="V587" i="3"/>
  <c r="W587" i="3" s="1"/>
  <c r="A588" i="3"/>
  <c r="B588" i="3" s="1"/>
  <c r="U587" i="3" l="1"/>
  <c r="Y586" i="3"/>
  <c r="P588" i="3"/>
  <c r="Q588" i="3" s="1"/>
  <c r="R588" i="3" s="1"/>
  <c r="S588" i="3" s="1"/>
  <c r="AD588" i="3"/>
  <c r="Z588" i="3"/>
  <c r="AC588" i="3"/>
  <c r="AA588" i="3"/>
  <c r="T588" i="3" l="1"/>
  <c r="AH588" i="3" s="1"/>
  <c r="E588" i="3" l="1"/>
  <c r="H588" i="3" s="1"/>
  <c r="K588" i="3" s="1"/>
  <c r="AE588" i="3" s="1"/>
  <c r="AG588" i="3"/>
  <c r="D588" i="3"/>
  <c r="G588" i="3" s="1"/>
  <c r="F588" i="3" l="1"/>
  <c r="I588" i="3"/>
  <c r="J588" i="3"/>
  <c r="M588" i="3"/>
  <c r="N588" i="3" s="1"/>
  <c r="V588" i="3"/>
  <c r="A589" i="3"/>
  <c r="B589" i="3" s="1"/>
  <c r="W588" i="3" l="1"/>
  <c r="L588" i="3"/>
  <c r="AA589" i="3"/>
  <c r="Z589" i="3"/>
  <c r="AC589" i="3"/>
  <c r="P589" i="3"/>
  <c r="Q589" i="3" s="1"/>
  <c r="R589" i="3" s="1"/>
  <c r="S589" i="3" s="1"/>
  <c r="AD589" i="3"/>
  <c r="T589" i="3" l="1"/>
  <c r="AG589" i="3" s="1"/>
  <c r="U588" i="3"/>
  <c r="Y587" i="3"/>
  <c r="AH589" i="3" l="1"/>
  <c r="D589" i="3"/>
  <c r="E589" i="3"/>
  <c r="H589" i="3" s="1"/>
  <c r="F589" i="3" l="1"/>
  <c r="G589" i="3"/>
  <c r="K589" i="3"/>
  <c r="AE589" i="3" s="1"/>
  <c r="I589" i="3" l="1"/>
  <c r="J589" i="3"/>
  <c r="M589" i="3"/>
  <c r="N589" i="3" s="1"/>
  <c r="V589" i="3"/>
  <c r="A590" i="3"/>
  <c r="B590" i="3" s="1"/>
  <c r="W589" i="3" l="1"/>
  <c r="L589" i="3"/>
  <c r="P590" i="3"/>
  <c r="Q590" i="3" s="1"/>
  <c r="R590" i="3" s="1"/>
  <c r="S590" i="3" s="1"/>
  <c r="AC590" i="3"/>
  <c r="AA590" i="3"/>
  <c r="Z590" i="3"/>
  <c r="AD590" i="3"/>
  <c r="U589" i="3" l="1"/>
  <c r="Y588" i="3"/>
  <c r="T590" i="3"/>
  <c r="AH590" i="3" s="1"/>
  <c r="D590" i="3" l="1"/>
  <c r="G590" i="3" s="1"/>
  <c r="E590" i="3"/>
  <c r="H590" i="3" s="1"/>
  <c r="K590" i="3" s="1"/>
  <c r="AE590" i="3" s="1"/>
  <c r="AG590" i="3"/>
  <c r="F590" i="3" l="1"/>
  <c r="V590" i="3"/>
  <c r="A591" i="3"/>
  <c r="B591" i="3" s="1"/>
  <c r="I590" i="3"/>
  <c r="J590" i="3"/>
  <c r="M590" i="3"/>
  <c r="N590" i="3" s="1"/>
  <c r="W590" i="3" l="1"/>
  <c r="L590" i="3"/>
  <c r="AC591" i="3"/>
  <c r="P591" i="3"/>
  <c r="Q591" i="3" s="1"/>
  <c r="R591" i="3" s="1"/>
  <c r="S591" i="3" s="1"/>
  <c r="Z591" i="3"/>
  <c r="AA591" i="3"/>
  <c r="AD591" i="3"/>
  <c r="U590" i="3" l="1"/>
  <c r="Y589" i="3"/>
  <c r="T591" i="3"/>
  <c r="AG591" i="3" s="1"/>
  <c r="D591" i="3" l="1"/>
  <c r="G591" i="3" s="1"/>
  <c r="E591" i="3"/>
  <c r="H591" i="3" s="1"/>
  <c r="K591" i="3" s="1"/>
  <c r="AE591" i="3" s="1"/>
  <c r="AH591" i="3"/>
  <c r="F591" i="3" l="1"/>
  <c r="I591" i="3"/>
  <c r="J591" i="3"/>
  <c r="M591" i="3"/>
  <c r="N591" i="3" s="1"/>
  <c r="V591" i="3"/>
  <c r="A592" i="3"/>
  <c r="B592" i="3" s="1"/>
  <c r="W591" i="3" l="1"/>
  <c r="L591" i="3"/>
  <c r="AA592" i="3"/>
  <c r="AC592" i="3"/>
  <c r="Z592" i="3"/>
  <c r="AD592" i="3"/>
  <c r="P592" i="3"/>
  <c r="Q592" i="3" s="1"/>
  <c r="R592" i="3" s="1"/>
  <c r="S592" i="3" s="1"/>
  <c r="U591" i="3" l="1"/>
  <c r="Y590" i="3"/>
  <c r="T592" i="3"/>
  <c r="D592" i="3" l="1"/>
  <c r="G592" i="3" s="1"/>
  <c r="AH592" i="3"/>
  <c r="AG592" i="3"/>
  <c r="E592" i="3"/>
  <c r="H592" i="3" s="1"/>
  <c r="K592" i="3" s="1"/>
  <c r="AE592" i="3" s="1"/>
  <c r="F592" i="3" l="1"/>
  <c r="I592" i="3"/>
  <c r="J592" i="3"/>
  <c r="M592" i="3"/>
  <c r="N592" i="3" s="1"/>
  <c r="V592" i="3"/>
  <c r="A593" i="3"/>
  <c r="B593" i="3" s="1"/>
  <c r="W592" i="3" l="1"/>
  <c r="L592" i="3"/>
  <c r="Z593" i="3"/>
  <c r="P593" i="3"/>
  <c r="Q593" i="3" s="1"/>
  <c r="R593" i="3" s="1"/>
  <c r="S593" i="3" s="1"/>
  <c r="AD593" i="3"/>
  <c r="AA593" i="3"/>
  <c r="AC593" i="3"/>
  <c r="U592" i="3" l="1"/>
  <c r="Y591" i="3"/>
  <c r="T593" i="3"/>
  <c r="E593" i="3" l="1"/>
  <c r="H593" i="3" s="1"/>
  <c r="K593" i="3" s="1"/>
  <c r="AE593" i="3" s="1"/>
  <c r="D593" i="3"/>
  <c r="G593" i="3" s="1"/>
  <c r="AH593" i="3"/>
  <c r="AG593" i="3"/>
  <c r="F593" i="3" l="1"/>
  <c r="I593" i="3"/>
  <c r="J593" i="3"/>
  <c r="M593" i="3"/>
  <c r="N593" i="3" s="1"/>
  <c r="V593" i="3"/>
  <c r="A594" i="3"/>
  <c r="B594" i="3" s="1"/>
  <c r="W593" i="3" l="1"/>
  <c r="L593" i="3"/>
  <c r="Z594" i="3"/>
  <c r="AA594" i="3"/>
  <c r="P594" i="3"/>
  <c r="Q594" i="3" s="1"/>
  <c r="R594" i="3" s="1"/>
  <c r="S594" i="3" s="1"/>
  <c r="AC594" i="3"/>
  <c r="U593" i="3" l="1"/>
  <c r="Y592" i="3"/>
  <c r="T594" i="3"/>
  <c r="AG594" i="3" s="1"/>
  <c r="AH594" i="3" l="1"/>
  <c r="E594" i="3"/>
  <c r="H594" i="3" s="1"/>
  <c r="K594" i="3" s="1"/>
  <c r="AE594" i="3" s="1"/>
  <c r="D594" i="3"/>
  <c r="V594" i="3" l="1"/>
  <c r="A595" i="3"/>
  <c r="B595" i="3" s="1"/>
  <c r="F594" i="3"/>
  <c r="G594" i="3"/>
  <c r="I594" i="3" l="1"/>
  <c r="W594" i="3" s="1"/>
  <c r="J594" i="3"/>
  <c r="AD594" i="3" s="1"/>
  <c r="M594" i="3"/>
  <c r="N594" i="3" s="1"/>
  <c r="AC595" i="3"/>
  <c r="AA595" i="3"/>
  <c r="P595" i="3"/>
  <c r="Q595" i="3" s="1"/>
  <c r="R595" i="3" s="1"/>
  <c r="S595" i="3" s="1"/>
  <c r="Z595" i="3"/>
  <c r="AD595" i="3"/>
  <c r="T595" i="3" l="1"/>
  <c r="L594" i="3"/>
  <c r="AH595" i="3" l="1"/>
  <c r="U594" i="3"/>
  <c r="E595" i="3" s="1"/>
  <c r="H595" i="3" s="1"/>
  <c r="AG595" i="3"/>
  <c r="Y593" i="3"/>
  <c r="D595" i="3" l="1"/>
  <c r="G595" i="3" s="1"/>
  <c r="K595" i="3"/>
  <c r="AE595" i="3" s="1"/>
  <c r="F595" i="3" l="1"/>
  <c r="V595" i="3"/>
  <c r="A596" i="3"/>
  <c r="B596" i="3" s="1"/>
  <c r="I595" i="3"/>
  <c r="J595" i="3"/>
  <c r="M595" i="3"/>
  <c r="N595" i="3" s="1"/>
  <c r="W595" i="3" l="1"/>
  <c r="L595" i="3"/>
  <c r="P596" i="3"/>
  <c r="Q596" i="3" s="1"/>
  <c r="R596" i="3" s="1"/>
  <c r="S596" i="3" s="1"/>
  <c r="AA596" i="3"/>
  <c r="AC596" i="3"/>
  <c r="AD596" i="3"/>
  <c r="Z596" i="3"/>
  <c r="T596" i="3" l="1"/>
  <c r="AG596" i="3" s="1"/>
  <c r="U595" i="3"/>
  <c r="Y594" i="3"/>
  <c r="D596" i="3" l="1"/>
  <c r="E596" i="3"/>
  <c r="H596" i="3" s="1"/>
  <c r="AH596" i="3"/>
  <c r="F596" i="3" l="1"/>
  <c r="G596" i="3"/>
  <c r="K596" i="3"/>
  <c r="AE596" i="3" s="1"/>
  <c r="V596" i="3" l="1"/>
  <c r="A597" i="3"/>
  <c r="B597" i="3" s="1"/>
  <c r="I596" i="3"/>
  <c r="J596" i="3"/>
  <c r="M596" i="3"/>
  <c r="N596" i="3" s="1"/>
  <c r="W596" i="3" l="1"/>
  <c r="L596" i="3"/>
  <c r="Z597" i="3"/>
  <c r="P597" i="3"/>
  <c r="Q597" i="3" s="1"/>
  <c r="R597" i="3" s="1"/>
  <c r="S597" i="3" s="1"/>
  <c r="AA597" i="3"/>
  <c r="AC597" i="3"/>
  <c r="U596" i="3" l="1"/>
  <c r="Y595" i="3"/>
  <c r="T597" i="3"/>
  <c r="E597" i="3" l="1"/>
  <c r="H597" i="3" s="1"/>
  <c r="K597" i="3" s="1"/>
  <c r="AE597" i="3" s="1"/>
  <c r="AH597" i="3"/>
  <c r="AG597" i="3"/>
  <c r="D597" i="3"/>
  <c r="G597" i="3" s="1"/>
  <c r="F597" i="3" l="1"/>
  <c r="I597" i="3"/>
  <c r="J597" i="3"/>
  <c r="AD597" i="3" s="1"/>
  <c r="M597" i="3"/>
  <c r="N597" i="3" s="1"/>
  <c r="V597" i="3"/>
  <c r="A598" i="3"/>
  <c r="B598" i="3" s="1"/>
  <c r="W597" i="3" l="1"/>
  <c r="L597" i="3"/>
  <c r="AC598" i="3"/>
  <c r="P598" i="3"/>
  <c r="Q598" i="3" s="1"/>
  <c r="R598" i="3" s="1"/>
  <c r="S598" i="3" s="1"/>
  <c r="Z598" i="3"/>
  <c r="AA598" i="3"/>
  <c r="AD598" i="3"/>
  <c r="U597" i="3" l="1"/>
  <c r="Y596" i="3"/>
  <c r="T598" i="3"/>
  <c r="AG598" i="3" s="1"/>
  <c r="AH598" i="3" l="1"/>
  <c r="E598" i="3"/>
  <c r="H598" i="3" s="1"/>
  <c r="K598" i="3" s="1"/>
  <c r="AE598" i="3" s="1"/>
  <c r="D598" i="3"/>
  <c r="V598" i="3" l="1"/>
  <c r="A599" i="3"/>
  <c r="B599" i="3" s="1"/>
  <c r="F598" i="3"/>
  <c r="G598" i="3"/>
  <c r="I598" i="3" l="1"/>
  <c r="W598" i="3" s="1"/>
  <c r="J598" i="3"/>
  <c r="M598" i="3"/>
  <c r="N598" i="3" s="1"/>
  <c r="AC599" i="3"/>
  <c r="AA599" i="3"/>
  <c r="P599" i="3"/>
  <c r="Q599" i="3" s="1"/>
  <c r="R599" i="3" s="1"/>
  <c r="S599" i="3" s="1"/>
  <c r="AD599" i="3"/>
  <c r="Z599" i="3"/>
  <c r="T599" i="3" l="1"/>
  <c r="L598" i="3"/>
  <c r="U598" i="3" l="1"/>
  <c r="D599" i="3" s="1"/>
  <c r="AG599" i="3"/>
  <c r="AH599" i="3"/>
  <c r="Y597" i="3"/>
  <c r="G599" i="3" l="1"/>
  <c r="E599" i="3"/>
  <c r="H599" i="3" s="1"/>
  <c r="I599" i="3" l="1"/>
  <c r="J599" i="3"/>
  <c r="M599" i="3"/>
  <c r="N599" i="3" s="1"/>
  <c r="K599" i="3"/>
  <c r="AE599" i="3" s="1"/>
  <c r="F599" i="3"/>
  <c r="V599" i="3" l="1"/>
  <c r="W599" i="3" s="1"/>
  <c r="A600" i="3"/>
  <c r="B600" i="3" s="1"/>
  <c r="L599" i="3"/>
  <c r="U599" i="3" l="1"/>
  <c r="Y598" i="3"/>
  <c r="AC600" i="3"/>
  <c r="P600" i="3"/>
  <c r="Q600" i="3" s="1"/>
  <c r="R600" i="3" s="1"/>
  <c r="S600" i="3" s="1"/>
  <c r="Z600" i="3"/>
  <c r="AA600" i="3"/>
  <c r="AD600" i="3"/>
  <c r="T600" i="3" l="1"/>
  <c r="E600" i="3" s="1"/>
  <c r="H600" i="3" s="1"/>
  <c r="AH600" i="3" l="1"/>
  <c r="K600" i="3"/>
  <c r="AE600" i="3" s="1"/>
  <c r="AG600" i="3"/>
  <c r="D600" i="3"/>
  <c r="V600" i="3" l="1"/>
  <c r="A601" i="3"/>
  <c r="B601" i="3" s="1"/>
  <c r="F600" i="3"/>
  <c r="G600" i="3"/>
  <c r="I600" i="3" l="1"/>
  <c r="W600" i="3" s="1"/>
  <c r="J600" i="3"/>
  <c r="M600" i="3"/>
  <c r="N600" i="3" s="1"/>
  <c r="P601" i="3"/>
  <c r="Q601" i="3" s="1"/>
  <c r="R601" i="3" s="1"/>
  <c r="S601" i="3" s="1"/>
  <c r="AA601" i="3"/>
  <c r="AC601" i="3"/>
  <c r="Z601" i="3"/>
  <c r="AD601" i="3"/>
  <c r="T601" i="3" l="1"/>
  <c r="L600" i="3"/>
  <c r="AH601" i="3" l="1"/>
  <c r="U600" i="3"/>
  <c r="D601" i="3" s="1"/>
  <c r="AG601" i="3"/>
  <c r="Y599" i="3"/>
  <c r="E601" i="3" l="1"/>
  <c r="H601" i="3" s="1"/>
  <c r="K601" i="3" s="1"/>
  <c r="AE601" i="3" s="1"/>
  <c r="G601" i="3"/>
  <c r="F601" i="3" l="1"/>
  <c r="I601" i="3"/>
  <c r="J601" i="3"/>
  <c r="M601" i="3"/>
  <c r="N601" i="3" s="1"/>
  <c r="V601" i="3"/>
  <c r="A602" i="3"/>
  <c r="B602" i="3" s="1"/>
  <c r="W601" i="3" l="1"/>
  <c r="L601" i="3"/>
  <c r="P602" i="3"/>
  <c r="Q602" i="3" s="1"/>
  <c r="R602" i="3" s="1"/>
  <c r="S602" i="3" s="1"/>
  <c r="Z602" i="3"/>
  <c r="AC602" i="3"/>
  <c r="AD602" i="3"/>
  <c r="AA602" i="3"/>
  <c r="U601" i="3" l="1"/>
  <c r="Y600" i="3"/>
  <c r="T602" i="3"/>
  <c r="AG602" i="3" s="1"/>
  <c r="D602" i="3" l="1"/>
  <c r="E602" i="3"/>
  <c r="H602" i="3" s="1"/>
  <c r="AH602" i="3"/>
  <c r="K602" i="3" l="1"/>
  <c r="AE602" i="3" s="1"/>
  <c r="F602" i="3"/>
  <c r="G602" i="3"/>
  <c r="I602" i="3" l="1"/>
  <c r="J602" i="3"/>
  <c r="M602" i="3"/>
  <c r="N602" i="3" s="1"/>
  <c r="V602" i="3"/>
  <c r="A603" i="3"/>
  <c r="B603" i="3" s="1"/>
  <c r="W602" i="3" l="1"/>
  <c r="L602" i="3"/>
  <c r="AA603" i="3"/>
  <c r="AC603" i="3"/>
  <c r="AD603" i="3"/>
  <c r="Z603" i="3"/>
  <c r="P603" i="3"/>
  <c r="Q603" i="3" s="1"/>
  <c r="R603" i="3" s="1"/>
  <c r="S603" i="3" s="1"/>
  <c r="U602" i="3" l="1"/>
  <c r="Y601" i="3"/>
  <c r="T603" i="3"/>
  <c r="AG603" i="3" s="1"/>
  <c r="AH603" i="3" l="1"/>
  <c r="D603" i="3"/>
  <c r="G603" i="3" s="1"/>
  <c r="E603" i="3"/>
  <c r="H603" i="3" s="1"/>
  <c r="K603" i="3" s="1"/>
  <c r="AE603" i="3" s="1"/>
  <c r="F603" i="3" l="1"/>
  <c r="I603" i="3"/>
  <c r="J603" i="3"/>
  <c r="M603" i="3"/>
  <c r="N603" i="3" s="1"/>
  <c r="V603" i="3"/>
  <c r="A604" i="3"/>
  <c r="B604" i="3" s="1"/>
  <c r="W603" i="3" l="1"/>
  <c r="L603" i="3"/>
  <c r="AC604" i="3"/>
  <c r="Z604" i="3"/>
  <c r="AA604" i="3"/>
  <c r="P604" i="3"/>
  <c r="Q604" i="3" s="1"/>
  <c r="R604" i="3" s="1"/>
  <c r="S604" i="3" s="1"/>
  <c r="U603" i="3" l="1"/>
  <c r="Y602" i="3"/>
  <c r="T604" i="3"/>
  <c r="AH604" i="3" s="1"/>
  <c r="D604" i="3" l="1"/>
  <c r="E604" i="3"/>
  <c r="H604" i="3" s="1"/>
  <c r="AG604" i="3"/>
  <c r="F604" i="3" l="1"/>
  <c r="G604" i="3"/>
  <c r="K604" i="3"/>
  <c r="AE604" i="3" s="1"/>
  <c r="V604" i="3" l="1"/>
  <c r="A605" i="3"/>
  <c r="B605" i="3" s="1"/>
  <c r="I604" i="3"/>
  <c r="J604" i="3"/>
  <c r="AD604" i="3" s="1"/>
  <c r="M604" i="3"/>
  <c r="N604" i="3" s="1"/>
  <c r="W604" i="3" l="1"/>
  <c r="L604" i="3"/>
  <c r="P605" i="3"/>
  <c r="Q605" i="3" s="1"/>
  <c r="R605" i="3" s="1"/>
  <c r="S605" i="3" s="1"/>
  <c r="Z605" i="3"/>
  <c r="AA605" i="3"/>
  <c r="AD605" i="3"/>
  <c r="AC605" i="3"/>
  <c r="U604" i="3" l="1"/>
  <c r="Y603" i="3"/>
  <c r="T605" i="3"/>
  <c r="AG605" i="3" s="1"/>
  <c r="AH605" i="3" l="1"/>
  <c r="D605" i="3"/>
  <c r="E605" i="3"/>
  <c r="H605" i="3" s="1"/>
  <c r="K605" i="3" s="1"/>
  <c r="AE605" i="3" s="1"/>
  <c r="F605" i="3" l="1"/>
  <c r="G605" i="3"/>
  <c r="M605" i="3" s="1"/>
  <c r="N605" i="3" s="1"/>
  <c r="V605" i="3"/>
  <c r="A606" i="3"/>
  <c r="B606" i="3" s="1"/>
  <c r="I605" i="3" l="1"/>
  <c r="W605" i="3" s="1"/>
  <c r="J605" i="3"/>
  <c r="L605" i="3" s="1"/>
  <c r="P606" i="3"/>
  <c r="Q606" i="3" s="1"/>
  <c r="R606" i="3" s="1"/>
  <c r="S606" i="3" s="1"/>
  <c r="AC606" i="3"/>
  <c r="AD606" i="3"/>
  <c r="AA606" i="3"/>
  <c r="Z606" i="3"/>
  <c r="U605" i="3" l="1"/>
  <c r="Y604" i="3"/>
  <c r="T606" i="3"/>
  <c r="AG606" i="3" s="1"/>
  <c r="E606" i="3" l="1"/>
  <c r="H606" i="3" s="1"/>
  <c r="AH606" i="3"/>
  <c r="D606" i="3"/>
  <c r="F606" i="3" l="1"/>
  <c r="G606" i="3"/>
  <c r="K606" i="3"/>
  <c r="AE606" i="3" s="1"/>
  <c r="I606" i="3" l="1"/>
  <c r="J606" i="3"/>
  <c r="M606" i="3"/>
  <c r="N606" i="3" s="1"/>
  <c r="V606" i="3"/>
  <c r="A607" i="3"/>
  <c r="B607" i="3" s="1"/>
  <c r="W606" i="3" l="1"/>
  <c r="L606" i="3"/>
  <c r="Z607" i="3"/>
  <c r="AC607" i="3"/>
  <c r="P607" i="3"/>
  <c r="Q607" i="3" s="1"/>
  <c r="R607" i="3" s="1"/>
  <c r="S607" i="3" s="1"/>
  <c r="AA607" i="3"/>
  <c r="U606" i="3" l="1"/>
  <c r="Y605" i="3"/>
  <c r="T607" i="3"/>
  <c r="AH607" i="3" s="1"/>
  <c r="E607" i="3" l="1"/>
  <c r="H607" i="3" s="1"/>
  <c r="K607" i="3" s="1"/>
  <c r="AE607" i="3" s="1"/>
  <c r="D607" i="3"/>
  <c r="AG607" i="3"/>
  <c r="V607" i="3" l="1"/>
  <c r="A608" i="3"/>
  <c r="B608" i="3" s="1"/>
  <c r="F607" i="3"/>
  <c r="G607" i="3"/>
  <c r="I607" i="3" l="1"/>
  <c r="W607" i="3" s="1"/>
  <c r="J607" i="3"/>
  <c r="AD607" i="3" s="1"/>
  <c r="M607" i="3"/>
  <c r="N607" i="3" s="1"/>
  <c r="AA608" i="3"/>
  <c r="P608" i="3"/>
  <c r="Q608" i="3" s="1"/>
  <c r="R608" i="3" s="1"/>
  <c r="S608" i="3" s="1"/>
  <c r="Z608" i="3"/>
  <c r="AC608" i="3"/>
  <c r="T608" i="3" l="1"/>
  <c r="L607" i="3"/>
  <c r="AH608" i="3" l="1"/>
  <c r="AG608" i="3"/>
  <c r="U607" i="3"/>
  <c r="E608" i="3" s="1"/>
  <c r="H608" i="3" s="1"/>
  <c r="Y606" i="3"/>
  <c r="D608" i="3" l="1"/>
  <c r="G608" i="3" s="1"/>
  <c r="K608" i="3"/>
  <c r="AE608" i="3" s="1"/>
  <c r="F608" i="3" l="1"/>
  <c r="I608" i="3"/>
  <c r="J608" i="3"/>
  <c r="AD608" i="3" s="1"/>
  <c r="M608" i="3"/>
  <c r="N608" i="3" s="1"/>
  <c r="V608" i="3"/>
  <c r="A609" i="3"/>
  <c r="B609" i="3" s="1"/>
  <c r="L608" i="3" l="1"/>
  <c r="W608" i="3"/>
  <c r="Z609" i="3"/>
  <c r="P609" i="3"/>
  <c r="Q609" i="3" s="1"/>
  <c r="R609" i="3" s="1"/>
  <c r="S609" i="3" s="1"/>
  <c r="AC609" i="3"/>
  <c r="AA609" i="3"/>
  <c r="U608" i="3" l="1"/>
  <c r="Y607" i="3"/>
  <c r="T609" i="3"/>
  <c r="AG609" i="3" s="1"/>
  <c r="E609" i="3" l="1"/>
  <c r="H609" i="3" s="1"/>
  <c r="D609" i="3"/>
  <c r="AH609" i="3"/>
  <c r="K609" i="3" l="1"/>
  <c r="AE609" i="3" s="1"/>
  <c r="F609" i="3"/>
  <c r="G609" i="3"/>
  <c r="I609" i="3" l="1"/>
  <c r="J609" i="3"/>
  <c r="AD609" i="3" s="1"/>
  <c r="M609" i="3"/>
  <c r="N609" i="3" s="1"/>
  <c r="V609" i="3"/>
  <c r="A610" i="3"/>
  <c r="B610" i="3" s="1"/>
  <c r="L609" i="3" l="1"/>
  <c r="W609" i="3"/>
  <c r="AA610" i="3"/>
  <c r="P610" i="3"/>
  <c r="Q610" i="3" s="1"/>
  <c r="R610" i="3" s="1"/>
  <c r="S610" i="3" s="1"/>
  <c r="Z610" i="3"/>
  <c r="AC610" i="3"/>
  <c r="U609" i="3" l="1"/>
  <c r="Y608" i="3"/>
  <c r="T610" i="3"/>
  <c r="AG610" i="3" s="1"/>
  <c r="AH610" i="3" l="1"/>
  <c r="D610" i="3"/>
  <c r="G610" i="3" s="1"/>
  <c r="E610" i="3"/>
  <c r="H610" i="3" s="1"/>
  <c r="K610" i="3" s="1"/>
  <c r="AE610" i="3" s="1"/>
  <c r="F610" i="3" l="1"/>
  <c r="I610" i="3"/>
  <c r="J610" i="3"/>
  <c r="AD610" i="3" s="1"/>
  <c r="M610" i="3"/>
  <c r="N610" i="3" s="1"/>
  <c r="V610" i="3"/>
  <c r="A611" i="3"/>
  <c r="B611" i="3" s="1"/>
  <c r="W610" i="3" l="1"/>
  <c r="L610" i="3"/>
  <c r="AA611" i="3"/>
  <c r="P611" i="3"/>
  <c r="Q611" i="3" s="1"/>
  <c r="R611" i="3" s="1"/>
  <c r="S611" i="3" s="1"/>
  <c r="AC611" i="3"/>
  <c r="Z611" i="3"/>
  <c r="T611" i="3" l="1"/>
  <c r="U610" i="3"/>
  <c r="Y609" i="3"/>
  <c r="E611" i="3" l="1"/>
  <c r="H611" i="3" s="1"/>
  <c r="K611" i="3" s="1"/>
  <c r="AE611" i="3" s="1"/>
  <c r="AH611" i="3"/>
  <c r="AG611" i="3"/>
  <c r="D611" i="3"/>
  <c r="V611" i="3" l="1"/>
  <c r="A612" i="3"/>
  <c r="B612" i="3" s="1"/>
  <c r="F611" i="3"/>
  <c r="G611" i="3"/>
  <c r="I611" i="3" l="1"/>
  <c r="W611" i="3" s="1"/>
  <c r="J611" i="3"/>
  <c r="AD611" i="3" s="1"/>
  <c r="M611" i="3"/>
  <c r="N611" i="3" s="1"/>
  <c r="Z612" i="3"/>
  <c r="P612" i="3"/>
  <c r="Q612" i="3" s="1"/>
  <c r="R612" i="3" s="1"/>
  <c r="S612" i="3" s="1"/>
  <c r="AC612" i="3"/>
  <c r="AA612" i="3"/>
  <c r="T612" i="3" l="1"/>
  <c r="L611" i="3"/>
  <c r="U611" i="3" l="1"/>
  <c r="E612" i="3" s="1"/>
  <c r="H612" i="3" s="1"/>
  <c r="AH612" i="3"/>
  <c r="AG612" i="3"/>
  <c r="Y610" i="3"/>
  <c r="D612" i="3" l="1"/>
  <c r="G612" i="3" s="1"/>
  <c r="K612" i="3"/>
  <c r="AE612" i="3" s="1"/>
  <c r="F612" i="3" l="1"/>
  <c r="V612" i="3"/>
  <c r="A613" i="3"/>
  <c r="B613" i="3" s="1"/>
  <c r="I612" i="3"/>
  <c r="J612" i="3"/>
  <c r="AD612" i="3" s="1"/>
  <c r="M612" i="3"/>
  <c r="N612" i="3" s="1"/>
  <c r="W612" i="3" l="1"/>
  <c r="L612" i="3"/>
  <c r="P613" i="3"/>
  <c r="Q613" i="3" s="1"/>
  <c r="R613" i="3" s="1"/>
  <c r="S613" i="3" s="1"/>
  <c r="AA613" i="3"/>
  <c r="Z613" i="3"/>
  <c r="AC613" i="3"/>
  <c r="U612" i="3" l="1"/>
  <c r="Y611" i="3"/>
  <c r="T613" i="3"/>
  <c r="AG613" i="3" s="1"/>
  <c r="D613" i="3" l="1"/>
  <c r="AH613" i="3"/>
  <c r="E613" i="3"/>
  <c r="H613" i="3" s="1"/>
  <c r="F613" i="3" l="1"/>
  <c r="G613" i="3"/>
  <c r="K613" i="3"/>
  <c r="AE613" i="3" s="1"/>
  <c r="V613" i="3" l="1"/>
  <c r="A614" i="3"/>
  <c r="B614" i="3" s="1"/>
  <c r="I613" i="3"/>
  <c r="J613" i="3"/>
  <c r="AD613" i="3" s="1"/>
  <c r="M613" i="3"/>
  <c r="N613" i="3" s="1"/>
  <c r="W613" i="3" l="1"/>
  <c r="L613" i="3"/>
  <c r="AC614" i="3"/>
  <c r="AA614" i="3"/>
  <c r="Z614" i="3"/>
  <c r="P614" i="3"/>
  <c r="Q614" i="3" s="1"/>
  <c r="R614" i="3" s="1"/>
  <c r="S614" i="3" s="1"/>
  <c r="U613" i="3" l="1"/>
  <c r="Y612" i="3"/>
  <c r="T614" i="3"/>
  <c r="AG614" i="3" s="1"/>
  <c r="D614" i="3" l="1"/>
  <c r="G614" i="3" s="1"/>
  <c r="E614" i="3"/>
  <c r="H614" i="3" s="1"/>
  <c r="K614" i="3" s="1"/>
  <c r="AE614" i="3" s="1"/>
  <c r="AH614" i="3"/>
  <c r="F614" i="3" l="1"/>
  <c r="I614" i="3"/>
  <c r="J614" i="3"/>
  <c r="AD614" i="3" s="1"/>
  <c r="M614" i="3"/>
  <c r="N614" i="3" s="1"/>
  <c r="V614" i="3"/>
  <c r="A615" i="3"/>
  <c r="B615" i="3" s="1"/>
  <c r="L614" i="3" l="1"/>
  <c r="W614" i="3"/>
  <c r="P615" i="3"/>
  <c r="Q615" i="3" s="1"/>
  <c r="R615" i="3" s="1"/>
  <c r="S615" i="3" s="1"/>
  <c r="AC615" i="3"/>
  <c r="Z615" i="3"/>
  <c r="AA615" i="3"/>
  <c r="U614" i="3" l="1"/>
  <c r="Y613" i="3"/>
  <c r="T615" i="3"/>
  <c r="AH615" i="3" s="1"/>
  <c r="E615" i="3" l="1"/>
  <c r="H615" i="3" s="1"/>
  <c r="K615" i="3" s="1"/>
  <c r="AE615" i="3" s="1"/>
  <c r="AG615" i="3"/>
  <c r="D615" i="3"/>
  <c r="F615" i="3" l="1"/>
  <c r="G615" i="3"/>
  <c r="V615" i="3"/>
  <c r="A616" i="3"/>
  <c r="B616" i="3" s="1"/>
  <c r="P616" i="3" l="1"/>
  <c r="Q616" i="3" s="1"/>
  <c r="R616" i="3" s="1"/>
  <c r="S616" i="3" s="1"/>
  <c r="Z616" i="3"/>
  <c r="AC616" i="3"/>
  <c r="AA616" i="3"/>
  <c r="I615" i="3"/>
  <c r="W615" i="3" s="1"/>
  <c r="J615" i="3"/>
  <c r="AD615" i="3" s="1"/>
  <c r="M615" i="3"/>
  <c r="N615" i="3" s="1"/>
  <c r="L615" i="3" l="1"/>
  <c r="T616" i="3"/>
  <c r="U615" i="3" l="1"/>
  <c r="D616" i="3" s="1"/>
  <c r="AH616" i="3"/>
  <c r="AG616" i="3"/>
  <c r="Y614" i="3"/>
  <c r="E616" i="3" l="1"/>
  <c r="H616" i="3" s="1"/>
  <c r="K616" i="3" s="1"/>
  <c r="AE616" i="3" s="1"/>
  <c r="G616" i="3"/>
  <c r="F616" i="3" l="1"/>
  <c r="I616" i="3"/>
  <c r="J616" i="3"/>
  <c r="AD616" i="3" s="1"/>
  <c r="M616" i="3"/>
  <c r="N616" i="3" s="1"/>
  <c r="V616" i="3"/>
  <c r="A617" i="3"/>
  <c r="B617" i="3" s="1"/>
  <c r="W616" i="3" l="1"/>
  <c r="L616" i="3"/>
  <c r="Z617" i="3"/>
  <c r="AC617" i="3"/>
  <c r="P617" i="3"/>
  <c r="Q617" i="3" s="1"/>
  <c r="R617" i="3" s="1"/>
  <c r="S617" i="3" s="1"/>
  <c r="AA617" i="3"/>
  <c r="U616" i="3" l="1"/>
  <c r="Y615" i="3"/>
  <c r="T617" i="3"/>
  <c r="AG617" i="3" s="1"/>
  <c r="D617" i="3" l="1"/>
  <c r="G617" i="3" s="1"/>
  <c r="E617" i="3"/>
  <c r="H617" i="3" s="1"/>
  <c r="K617" i="3" s="1"/>
  <c r="AE617" i="3" s="1"/>
  <c r="AH617" i="3"/>
  <c r="F617" i="3" l="1"/>
  <c r="I617" i="3"/>
  <c r="J617" i="3"/>
  <c r="AD617" i="3" s="1"/>
  <c r="M617" i="3"/>
  <c r="N617" i="3" s="1"/>
  <c r="V617" i="3"/>
  <c r="A618" i="3"/>
  <c r="B618" i="3" s="1"/>
  <c r="W617" i="3" l="1"/>
  <c r="L617" i="3"/>
  <c r="P618" i="3"/>
  <c r="Q618" i="3" s="1"/>
  <c r="R618" i="3" s="1"/>
  <c r="S618" i="3" s="1"/>
  <c r="AD618" i="3"/>
  <c r="Z618" i="3"/>
  <c r="AC618" i="3"/>
  <c r="AA618" i="3"/>
  <c r="U617" i="3" l="1"/>
  <c r="Y616" i="3"/>
  <c r="T618" i="3"/>
  <c r="E618" i="3" l="1"/>
  <c r="H618" i="3" s="1"/>
  <c r="K618" i="3" s="1"/>
  <c r="AE618" i="3" s="1"/>
  <c r="AG618" i="3"/>
  <c r="D618" i="3"/>
  <c r="AH618" i="3"/>
  <c r="F618" i="3" l="1"/>
  <c r="G618" i="3"/>
  <c r="V618" i="3"/>
  <c r="A619" i="3"/>
  <c r="B619" i="3" s="1"/>
  <c r="P619" i="3" l="1"/>
  <c r="Q619" i="3" s="1"/>
  <c r="R619" i="3" s="1"/>
  <c r="S619" i="3" s="1"/>
  <c r="AD619" i="3"/>
  <c r="AA619" i="3"/>
  <c r="AC619" i="3"/>
  <c r="Z619" i="3"/>
  <c r="I618" i="3"/>
  <c r="W618" i="3" s="1"/>
  <c r="J618" i="3"/>
  <c r="M618" i="3"/>
  <c r="N618" i="3" s="1"/>
  <c r="T619" i="3" l="1"/>
  <c r="L618" i="3"/>
  <c r="AH619" i="3" l="1"/>
  <c r="AG619" i="3"/>
  <c r="U618" i="3"/>
  <c r="D619" i="3" s="1"/>
  <c r="Y617" i="3"/>
  <c r="E619" i="3" l="1"/>
  <c r="H619" i="3" s="1"/>
  <c r="K619" i="3" s="1"/>
  <c r="AE619" i="3" s="1"/>
  <c r="G619" i="3"/>
  <c r="F619" i="3" l="1"/>
  <c r="I619" i="3"/>
  <c r="J619" i="3"/>
  <c r="M619" i="3"/>
  <c r="N619" i="3" s="1"/>
  <c r="V619" i="3"/>
  <c r="A620" i="3"/>
  <c r="B620" i="3" s="1"/>
  <c r="W619" i="3" l="1"/>
  <c r="L619" i="3"/>
  <c r="AC620" i="3"/>
  <c r="AD620" i="3"/>
  <c r="P620" i="3"/>
  <c r="Q620" i="3" s="1"/>
  <c r="R620" i="3" s="1"/>
  <c r="S620" i="3" s="1"/>
  <c r="AA620" i="3"/>
  <c r="Z620" i="3"/>
  <c r="T620" i="3" l="1"/>
  <c r="AH620" i="3" s="1"/>
  <c r="U619" i="3"/>
  <c r="Y618" i="3"/>
  <c r="E620" i="3" l="1"/>
  <c r="H620" i="3" s="1"/>
  <c r="K620" i="3" s="1"/>
  <c r="AE620" i="3" s="1"/>
  <c r="D620" i="3"/>
  <c r="G620" i="3" s="1"/>
  <c r="AG620" i="3"/>
  <c r="F620" i="3" l="1"/>
  <c r="I620" i="3"/>
  <c r="J620" i="3"/>
  <c r="M620" i="3"/>
  <c r="N620" i="3" s="1"/>
  <c r="V620" i="3"/>
  <c r="A621" i="3"/>
  <c r="B621" i="3" s="1"/>
  <c r="W620" i="3" l="1"/>
  <c r="L620" i="3"/>
  <c r="AD621" i="3"/>
  <c r="AC621" i="3"/>
  <c r="AA621" i="3"/>
  <c r="P621" i="3"/>
  <c r="Q621" i="3" s="1"/>
  <c r="R621" i="3" s="1"/>
  <c r="S621" i="3" s="1"/>
  <c r="Z621" i="3"/>
  <c r="U620" i="3" l="1"/>
  <c r="Y619" i="3"/>
  <c r="T621" i="3"/>
  <c r="D621" i="3" l="1"/>
  <c r="G621" i="3" s="1"/>
  <c r="AH621" i="3"/>
  <c r="E621" i="3"/>
  <c r="H621" i="3" s="1"/>
  <c r="AG621" i="3"/>
  <c r="F621" i="3" l="1"/>
  <c r="I621" i="3"/>
  <c r="J621" i="3"/>
  <c r="M621" i="3"/>
  <c r="N621" i="3" s="1"/>
  <c r="K621" i="3"/>
  <c r="AE621" i="3" s="1"/>
  <c r="V621" i="3" l="1"/>
  <c r="W621" i="3" s="1"/>
  <c r="A622" i="3"/>
  <c r="B622" i="3" s="1"/>
  <c r="L621" i="3"/>
  <c r="U621" i="3" l="1"/>
  <c r="Y620" i="3"/>
  <c r="AA622" i="3"/>
  <c r="AC622" i="3"/>
  <c r="P622" i="3"/>
  <c r="Q622" i="3" s="1"/>
  <c r="R622" i="3" s="1"/>
  <c r="S622" i="3" s="1"/>
  <c r="Z622" i="3"/>
  <c r="AD622" i="3"/>
  <c r="T622" i="3" l="1"/>
  <c r="AG622" i="3" s="1"/>
  <c r="D622" i="3" l="1"/>
  <c r="E622" i="3"/>
  <c r="H622" i="3" s="1"/>
  <c r="K622" i="3" s="1"/>
  <c r="AE622" i="3" s="1"/>
  <c r="AH622" i="3"/>
  <c r="F622" i="3" l="1"/>
  <c r="G622" i="3"/>
  <c r="I622" i="3" s="1"/>
  <c r="V622" i="3"/>
  <c r="A623" i="3"/>
  <c r="B623" i="3" s="1"/>
  <c r="M622" i="3" l="1"/>
  <c r="N622" i="3" s="1"/>
  <c r="J622" i="3"/>
  <c r="L622" i="3" s="1"/>
  <c r="W622" i="3"/>
  <c r="P623" i="3"/>
  <c r="Q623" i="3" s="1"/>
  <c r="R623" i="3" s="1"/>
  <c r="S623" i="3" s="1"/>
  <c r="Z623" i="3"/>
  <c r="AD623" i="3"/>
  <c r="AA623" i="3"/>
  <c r="AC623" i="3"/>
  <c r="U622" i="3" l="1"/>
  <c r="Y621" i="3"/>
  <c r="T623" i="3"/>
  <c r="D623" i="3" l="1"/>
  <c r="G623" i="3" s="1"/>
  <c r="AH623" i="3"/>
  <c r="AG623" i="3"/>
  <c r="E623" i="3"/>
  <c r="H623" i="3" s="1"/>
  <c r="K623" i="3" l="1"/>
  <c r="AE623" i="3" s="1"/>
  <c r="I623" i="3"/>
  <c r="J623" i="3"/>
  <c r="M623" i="3"/>
  <c r="N623" i="3" s="1"/>
  <c r="F623" i="3"/>
  <c r="L623" i="3" l="1"/>
  <c r="V623" i="3"/>
  <c r="W623" i="3" s="1"/>
  <c r="A624" i="3"/>
  <c r="B624" i="3" s="1"/>
  <c r="U623" i="3" l="1"/>
  <c r="Y622" i="3"/>
  <c r="AA624" i="3"/>
  <c r="Z624" i="3"/>
  <c r="AC624" i="3"/>
  <c r="P624" i="3"/>
  <c r="Q624" i="3" s="1"/>
  <c r="R624" i="3" s="1"/>
  <c r="S624" i="3" s="1"/>
  <c r="T624" i="3" l="1"/>
  <c r="D624" i="3" s="1"/>
  <c r="AG624" i="3" l="1"/>
  <c r="AH624" i="3"/>
  <c r="E624" i="3"/>
  <c r="H624" i="3" s="1"/>
  <c r="K624" i="3" s="1"/>
  <c r="AE624" i="3" s="1"/>
  <c r="G624" i="3"/>
  <c r="F624" i="3" l="1"/>
  <c r="I624" i="3"/>
  <c r="J624" i="3"/>
  <c r="AD624" i="3" s="1"/>
  <c r="M624" i="3"/>
  <c r="N624" i="3" s="1"/>
  <c r="V624" i="3"/>
  <c r="A625" i="3"/>
  <c r="B625" i="3" s="1"/>
  <c r="W624" i="3" l="1"/>
  <c r="L624" i="3"/>
  <c r="P625" i="3"/>
  <c r="Q625" i="3" s="1"/>
  <c r="R625" i="3" s="1"/>
  <c r="S625" i="3" s="1"/>
  <c r="AD625" i="3"/>
  <c r="AA625" i="3"/>
  <c r="Z625" i="3"/>
  <c r="AC625" i="3"/>
  <c r="U624" i="3" l="1"/>
  <c r="Y623" i="3"/>
  <c r="T625" i="3"/>
  <c r="D625" i="3" l="1"/>
  <c r="G625" i="3" s="1"/>
  <c r="E625" i="3"/>
  <c r="H625" i="3" s="1"/>
  <c r="AH625" i="3"/>
  <c r="AG625" i="3"/>
  <c r="F625" i="3" l="1"/>
  <c r="I625" i="3"/>
  <c r="J625" i="3"/>
  <c r="M625" i="3"/>
  <c r="N625" i="3" s="1"/>
  <c r="K625" i="3"/>
  <c r="AE625" i="3" s="1"/>
  <c r="V625" i="3" l="1"/>
  <c r="W625" i="3" s="1"/>
  <c r="A626" i="3"/>
  <c r="B626" i="3" s="1"/>
  <c r="L625" i="3"/>
  <c r="U625" i="3" l="1"/>
  <c r="Y624" i="3"/>
  <c r="AD626" i="3"/>
  <c r="Z626" i="3"/>
  <c r="AC626" i="3"/>
  <c r="P626" i="3"/>
  <c r="Q626" i="3" s="1"/>
  <c r="R626" i="3" s="1"/>
  <c r="S626" i="3" s="1"/>
  <c r="AA626" i="3"/>
  <c r="T626" i="3" l="1"/>
  <c r="E626" i="3" s="1"/>
  <c r="H626" i="3" s="1"/>
  <c r="AG626" i="3" l="1"/>
  <c r="K626" i="3"/>
  <c r="AE626" i="3" s="1"/>
  <c r="D626" i="3"/>
  <c r="AH626" i="3"/>
  <c r="V626" i="3" l="1"/>
  <c r="A627" i="3"/>
  <c r="B627" i="3" s="1"/>
  <c r="F626" i="3"/>
  <c r="G626" i="3"/>
  <c r="I626" i="3" l="1"/>
  <c r="W626" i="3" s="1"/>
  <c r="J626" i="3"/>
  <c r="M626" i="3"/>
  <c r="N626" i="3" s="1"/>
  <c r="Z627" i="3"/>
  <c r="P627" i="3"/>
  <c r="Q627" i="3" s="1"/>
  <c r="R627" i="3" s="1"/>
  <c r="S627" i="3" s="1"/>
  <c r="AC627" i="3"/>
  <c r="AA627" i="3"/>
  <c r="L626" i="3" l="1"/>
  <c r="T627" i="3"/>
  <c r="AG627" i="3" l="1"/>
  <c r="U626" i="3"/>
  <c r="D627" i="3" s="1"/>
  <c r="AH627" i="3"/>
  <c r="Y625" i="3"/>
  <c r="G627" i="3" l="1"/>
  <c r="E627" i="3"/>
  <c r="H627" i="3" s="1"/>
  <c r="K627" i="3" l="1"/>
  <c r="AE627" i="3" s="1"/>
  <c r="I627" i="3"/>
  <c r="J627" i="3"/>
  <c r="AD627" i="3" s="1"/>
  <c r="M627" i="3"/>
  <c r="N627" i="3" s="1"/>
  <c r="F627" i="3"/>
  <c r="L627" i="3" l="1"/>
  <c r="V627" i="3"/>
  <c r="W627" i="3" s="1"/>
  <c r="A628" i="3"/>
  <c r="B628" i="3" s="1"/>
  <c r="Z628" i="3" l="1"/>
  <c r="AA628" i="3"/>
  <c r="P628" i="3"/>
  <c r="Q628" i="3" s="1"/>
  <c r="R628" i="3" s="1"/>
  <c r="S628" i="3" s="1"/>
  <c r="AC628" i="3"/>
  <c r="AD628" i="3"/>
  <c r="U627" i="3"/>
  <c r="Y626" i="3"/>
  <c r="T628" i="3" l="1"/>
  <c r="D628" i="3" l="1"/>
  <c r="E628" i="3"/>
  <c r="H628" i="3" s="1"/>
  <c r="AG628" i="3"/>
  <c r="AH628" i="3"/>
  <c r="F628" i="3" l="1"/>
  <c r="G628" i="3"/>
  <c r="K628" i="3"/>
  <c r="AE628" i="3" s="1"/>
  <c r="I628" i="3" l="1"/>
  <c r="J628" i="3"/>
  <c r="M628" i="3"/>
  <c r="N628" i="3" s="1"/>
  <c r="V628" i="3"/>
  <c r="A629" i="3"/>
  <c r="B629" i="3" s="1"/>
  <c r="W628" i="3" l="1"/>
  <c r="L628" i="3"/>
  <c r="AC629" i="3"/>
  <c r="AA629" i="3"/>
  <c r="P629" i="3"/>
  <c r="Q629" i="3" s="1"/>
  <c r="R629" i="3" s="1"/>
  <c r="S629" i="3" s="1"/>
  <c r="AD629" i="3"/>
  <c r="Z629" i="3"/>
  <c r="T629" i="3" l="1"/>
  <c r="U628" i="3"/>
  <c r="Y627" i="3"/>
  <c r="E629" i="3" l="1"/>
  <c r="H629" i="3" s="1"/>
  <c r="K629" i="3" s="1"/>
  <c r="AE629" i="3" s="1"/>
  <c r="AH629" i="3"/>
  <c r="AG629" i="3"/>
  <c r="D629" i="3"/>
  <c r="F629" i="3" l="1"/>
  <c r="G629" i="3"/>
  <c r="V629" i="3"/>
  <c r="A630" i="3"/>
  <c r="B630" i="3" s="1"/>
  <c r="I629" i="3" l="1"/>
  <c r="W629" i="3" s="1"/>
  <c r="J629" i="3"/>
  <c r="M629" i="3"/>
  <c r="N629" i="3" s="1"/>
  <c r="AD630" i="3"/>
  <c r="P630" i="3"/>
  <c r="Q630" i="3" s="1"/>
  <c r="R630" i="3" s="1"/>
  <c r="S630" i="3" s="1"/>
  <c r="AC630" i="3"/>
  <c r="AA630" i="3"/>
  <c r="Z630" i="3"/>
  <c r="T630" i="3" l="1"/>
  <c r="L629" i="3"/>
  <c r="U629" i="3" l="1"/>
  <c r="D630" i="3" s="1"/>
  <c r="AH630" i="3"/>
  <c r="AG630" i="3"/>
  <c r="Y628" i="3"/>
  <c r="G630" i="3" l="1"/>
  <c r="E630" i="3"/>
  <c r="H630" i="3" s="1"/>
  <c r="F630" i="3" l="1"/>
  <c r="K630" i="3"/>
  <c r="AE630" i="3" s="1"/>
  <c r="I630" i="3"/>
  <c r="J630" i="3"/>
  <c r="M630" i="3"/>
  <c r="N630" i="3" s="1"/>
  <c r="V630" i="3" l="1"/>
  <c r="W630" i="3" s="1"/>
  <c r="A631" i="3"/>
  <c r="B631" i="3" s="1"/>
  <c r="L630" i="3"/>
  <c r="U630" i="3" l="1"/>
  <c r="Y629" i="3"/>
  <c r="AD631" i="3"/>
  <c r="P631" i="3"/>
  <c r="Q631" i="3" s="1"/>
  <c r="R631" i="3" s="1"/>
  <c r="S631" i="3" s="1"/>
  <c r="AC631" i="3"/>
  <c r="AA631" i="3"/>
  <c r="Z631" i="3"/>
  <c r="T631" i="3" l="1"/>
  <c r="D631" i="3" s="1"/>
  <c r="AH631" i="3" l="1"/>
  <c r="E631" i="3"/>
  <c r="H631" i="3" s="1"/>
  <c r="K631" i="3" s="1"/>
  <c r="AE631" i="3" s="1"/>
  <c r="G631" i="3"/>
  <c r="AG631" i="3"/>
  <c r="F631" i="3" l="1"/>
  <c r="I631" i="3"/>
  <c r="J631" i="3"/>
  <c r="M631" i="3"/>
  <c r="N631" i="3" s="1"/>
  <c r="V631" i="3"/>
  <c r="A632" i="3"/>
  <c r="B632" i="3" s="1"/>
  <c r="L631" i="3" l="1"/>
  <c r="W631" i="3"/>
  <c r="AC632" i="3"/>
  <c r="AA632" i="3"/>
  <c r="Z632" i="3"/>
  <c r="P632" i="3"/>
  <c r="Q632" i="3" s="1"/>
  <c r="R632" i="3" s="1"/>
  <c r="S632" i="3" s="1"/>
  <c r="AD632" i="3"/>
  <c r="T632" i="3" l="1"/>
  <c r="U631" i="3"/>
  <c r="Y630" i="3"/>
  <c r="D632" i="3" l="1"/>
  <c r="G632" i="3" s="1"/>
  <c r="E632" i="3"/>
  <c r="H632" i="3" s="1"/>
  <c r="K632" i="3" s="1"/>
  <c r="AE632" i="3" s="1"/>
  <c r="AG632" i="3"/>
  <c r="AH632" i="3"/>
  <c r="F632" i="3" l="1"/>
  <c r="I632" i="3"/>
  <c r="J632" i="3"/>
  <c r="M632" i="3"/>
  <c r="N632" i="3" s="1"/>
  <c r="V632" i="3"/>
  <c r="A633" i="3"/>
  <c r="B633" i="3" s="1"/>
  <c r="W632" i="3" l="1"/>
  <c r="L632" i="3"/>
  <c r="AD633" i="3"/>
  <c r="Z633" i="3"/>
  <c r="AC633" i="3"/>
  <c r="P633" i="3"/>
  <c r="Q633" i="3" s="1"/>
  <c r="R633" i="3" s="1"/>
  <c r="S633" i="3" s="1"/>
  <c r="AA633" i="3"/>
  <c r="U632" i="3" l="1"/>
  <c r="Y631" i="3"/>
  <c r="T633" i="3"/>
  <c r="AG633" i="3" s="1"/>
  <c r="D633" i="3" l="1"/>
  <c r="G633" i="3" s="1"/>
  <c r="E633" i="3"/>
  <c r="H633" i="3" s="1"/>
  <c r="K633" i="3" s="1"/>
  <c r="AE633" i="3" s="1"/>
  <c r="AH633" i="3"/>
  <c r="F633" i="3" l="1"/>
  <c r="V633" i="3"/>
  <c r="A634" i="3"/>
  <c r="B634" i="3" s="1"/>
  <c r="I633" i="3"/>
  <c r="J633" i="3"/>
  <c r="M633" i="3"/>
  <c r="N633" i="3" s="1"/>
  <c r="L633" i="3" l="1"/>
  <c r="W633" i="3"/>
  <c r="P634" i="3"/>
  <c r="Q634" i="3" s="1"/>
  <c r="R634" i="3" s="1"/>
  <c r="S634" i="3" s="1"/>
  <c r="AA634" i="3"/>
  <c r="AC634" i="3"/>
  <c r="Z634" i="3"/>
  <c r="U633" i="3" l="1"/>
  <c r="Y632" i="3"/>
  <c r="T634" i="3"/>
  <c r="AH634" i="3" s="1"/>
  <c r="E634" i="3" l="1"/>
  <c r="H634" i="3" s="1"/>
  <c r="K634" i="3" s="1"/>
  <c r="AE634" i="3" s="1"/>
  <c r="AG634" i="3"/>
  <c r="D634" i="3"/>
  <c r="F634" i="3" l="1"/>
  <c r="G634" i="3"/>
  <c r="V634" i="3"/>
  <c r="A635" i="3"/>
  <c r="B635" i="3" s="1"/>
  <c r="Z635" i="3" l="1"/>
  <c r="AA635" i="3"/>
  <c r="P635" i="3"/>
  <c r="Q635" i="3" s="1"/>
  <c r="R635" i="3" s="1"/>
  <c r="S635" i="3" s="1"/>
  <c r="AD635" i="3"/>
  <c r="AC635" i="3"/>
  <c r="I634" i="3"/>
  <c r="W634" i="3" s="1"/>
  <c r="J634" i="3"/>
  <c r="AD634" i="3" s="1"/>
  <c r="M634" i="3"/>
  <c r="N634" i="3" s="1"/>
  <c r="T635" i="3" l="1"/>
  <c r="L634" i="3"/>
  <c r="AH635" i="3" l="1"/>
  <c r="U634" i="3"/>
  <c r="D635" i="3" s="1"/>
  <c r="AG635" i="3"/>
  <c r="Y633" i="3"/>
  <c r="E635" i="3" l="1"/>
  <c r="H635" i="3" s="1"/>
  <c r="K635" i="3" s="1"/>
  <c r="AE635" i="3" s="1"/>
  <c r="G635" i="3"/>
  <c r="F635" i="3" l="1"/>
  <c r="I635" i="3"/>
  <c r="J635" i="3"/>
  <c r="M635" i="3"/>
  <c r="N635" i="3" s="1"/>
  <c r="V635" i="3"/>
  <c r="A636" i="3"/>
  <c r="B636" i="3" s="1"/>
  <c r="W635" i="3" l="1"/>
  <c r="L635" i="3"/>
  <c r="AC636" i="3"/>
  <c r="AD636" i="3"/>
  <c r="AA636" i="3"/>
  <c r="P636" i="3"/>
  <c r="Q636" i="3" s="1"/>
  <c r="R636" i="3" s="1"/>
  <c r="S636" i="3" s="1"/>
  <c r="Z636" i="3"/>
  <c r="U635" i="3" l="1"/>
  <c r="Y634" i="3"/>
  <c r="T636" i="3"/>
  <c r="AG636" i="3" s="1"/>
  <c r="AH636" i="3" l="1"/>
  <c r="D636" i="3"/>
  <c r="E636" i="3"/>
  <c r="H636" i="3" s="1"/>
  <c r="F636" i="3" l="1"/>
  <c r="G636" i="3"/>
  <c r="K636" i="3"/>
  <c r="AE636" i="3" s="1"/>
  <c r="I636" i="3" l="1"/>
  <c r="J636" i="3"/>
  <c r="M636" i="3"/>
  <c r="N636" i="3" s="1"/>
  <c r="V636" i="3"/>
  <c r="A637" i="3"/>
  <c r="B637" i="3" s="1"/>
  <c r="W636" i="3" l="1"/>
  <c r="L636" i="3"/>
  <c r="Z637" i="3"/>
  <c r="P637" i="3"/>
  <c r="Q637" i="3" s="1"/>
  <c r="R637" i="3" s="1"/>
  <c r="S637" i="3" s="1"/>
  <c r="AC637" i="3"/>
  <c r="AA637" i="3"/>
  <c r="U636" i="3" l="1"/>
  <c r="Y635" i="3"/>
  <c r="T637" i="3"/>
  <c r="AG637" i="3" s="1"/>
  <c r="D637" i="3" l="1"/>
  <c r="AH637" i="3"/>
  <c r="E637" i="3"/>
  <c r="H637" i="3" s="1"/>
  <c r="F637" i="3" l="1"/>
  <c r="G637" i="3"/>
  <c r="K637" i="3"/>
  <c r="AE637" i="3" s="1"/>
  <c r="I637" i="3" l="1"/>
  <c r="J637" i="3"/>
  <c r="AD637" i="3" s="1"/>
  <c r="M637" i="3"/>
  <c r="N637" i="3" s="1"/>
  <c r="V637" i="3"/>
  <c r="A638" i="3"/>
  <c r="B638" i="3" s="1"/>
  <c r="W637" i="3" l="1"/>
  <c r="L637" i="3"/>
  <c r="P638" i="3"/>
  <c r="Q638" i="3" s="1"/>
  <c r="R638" i="3" s="1"/>
  <c r="S638" i="3" s="1"/>
  <c r="AD638" i="3"/>
  <c r="AC638" i="3"/>
  <c r="AA638" i="3"/>
  <c r="Z638" i="3"/>
  <c r="T638" i="3" l="1"/>
  <c r="AG638" i="3" s="1"/>
  <c r="U637" i="3"/>
  <c r="Y636" i="3"/>
  <c r="D638" i="3" l="1"/>
  <c r="G638" i="3" s="1"/>
  <c r="E638" i="3"/>
  <c r="H638" i="3" s="1"/>
  <c r="AH638" i="3"/>
  <c r="F638" i="3" l="1"/>
  <c r="I638" i="3"/>
  <c r="J638" i="3"/>
  <c r="M638" i="3"/>
  <c r="N638" i="3" s="1"/>
  <c r="K638" i="3"/>
  <c r="AE638" i="3" s="1"/>
  <c r="V638" i="3" l="1"/>
  <c r="W638" i="3" s="1"/>
  <c r="A639" i="3"/>
  <c r="B639" i="3" s="1"/>
  <c r="L638" i="3"/>
  <c r="U638" i="3" l="1"/>
  <c r="Y637" i="3"/>
  <c r="AC639" i="3"/>
  <c r="P639" i="3"/>
  <c r="Q639" i="3" s="1"/>
  <c r="R639" i="3" s="1"/>
  <c r="S639" i="3" s="1"/>
  <c r="AA639" i="3"/>
  <c r="AD639" i="3"/>
  <c r="Z639" i="3"/>
  <c r="T639" i="3" l="1"/>
  <c r="D639" i="3" s="1"/>
  <c r="AG639" i="3" l="1"/>
  <c r="E639" i="3"/>
  <c r="H639" i="3" s="1"/>
  <c r="K639" i="3" s="1"/>
  <c r="AE639" i="3" s="1"/>
  <c r="AH639" i="3"/>
  <c r="G639" i="3"/>
  <c r="F639" i="3" l="1"/>
  <c r="V639" i="3"/>
  <c r="A640" i="3"/>
  <c r="B640" i="3" s="1"/>
  <c r="I639" i="3"/>
  <c r="J639" i="3"/>
  <c r="M639" i="3"/>
  <c r="N639" i="3" s="1"/>
  <c r="W639" i="3" l="1"/>
  <c r="L639" i="3"/>
  <c r="AD640" i="3"/>
  <c r="P640" i="3"/>
  <c r="Q640" i="3" s="1"/>
  <c r="R640" i="3" s="1"/>
  <c r="S640" i="3" s="1"/>
  <c r="AA640" i="3"/>
  <c r="AC640" i="3"/>
  <c r="Z640" i="3"/>
  <c r="U639" i="3" l="1"/>
  <c r="Y638" i="3"/>
  <c r="T640" i="3"/>
  <c r="E640" i="3" l="1"/>
  <c r="H640" i="3" s="1"/>
  <c r="K640" i="3" s="1"/>
  <c r="AE640" i="3" s="1"/>
  <c r="D640" i="3"/>
  <c r="AG640" i="3"/>
  <c r="AH640" i="3"/>
  <c r="F640" i="3" l="1"/>
  <c r="G640" i="3"/>
  <c r="V640" i="3"/>
  <c r="A641" i="3"/>
  <c r="B641" i="3" s="1"/>
  <c r="AC641" i="3" l="1"/>
  <c r="AA641" i="3"/>
  <c r="AD641" i="3"/>
  <c r="Z641" i="3"/>
  <c r="P641" i="3"/>
  <c r="Q641" i="3" s="1"/>
  <c r="R641" i="3" s="1"/>
  <c r="S641" i="3" s="1"/>
  <c r="I640" i="3"/>
  <c r="W640" i="3" s="1"/>
  <c r="J640" i="3"/>
  <c r="M640" i="3"/>
  <c r="N640" i="3" s="1"/>
  <c r="L640" i="3" l="1"/>
  <c r="T641" i="3"/>
  <c r="U640" i="3" l="1"/>
  <c r="E641" i="3" s="1"/>
  <c r="H641" i="3" s="1"/>
  <c r="AG641" i="3"/>
  <c r="AH641" i="3"/>
  <c r="Y639" i="3"/>
  <c r="K641" i="3" l="1"/>
  <c r="AE641" i="3" s="1"/>
  <c r="D641" i="3"/>
  <c r="V641" i="3" l="1"/>
  <c r="A642" i="3"/>
  <c r="B642" i="3" s="1"/>
  <c r="F641" i="3"/>
  <c r="G641" i="3"/>
  <c r="I641" i="3" l="1"/>
  <c r="W641" i="3" s="1"/>
  <c r="J641" i="3"/>
  <c r="M641" i="3"/>
  <c r="N641" i="3" s="1"/>
  <c r="Z642" i="3"/>
  <c r="AD642" i="3"/>
  <c r="P642" i="3"/>
  <c r="Q642" i="3" s="1"/>
  <c r="R642" i="3" s="1"/>
  <c r="S642" i="3" s="1"/>
  <c r="AC642" i="3"/>
  <c r="AA642" i="3"/>
  <c r="T642" i="3" l="1"/>
  <c r="L641" i="3"/>
  <c r="U641" i="3" l="1"/>
  <c r="D642" i="3" s="1"/>
  <c r="AG642" i="3"/>
  <c r="AH642" i="3"/>
  <c r="Y640" i="3"/>
  <c r="E642" i="3" l="1"/>
  <c r="H642" i="3" s="1"/>
  <c r="K642" i="3" s="1"/>
  <c r="AE642" i="3" s="1"/>
  <c r="G642" i="3"/>
  <c r="F642" i="3" l="1"/>
  <c r="I642" i="3"/>
  <c r="J642" i="3"/>
  <c r="M642" i="3"/>
  <c r="N642" i="3" s="1"/>
  <c r="V642" i="3"/>
  <c r="A643" i="3"/>
  <c r="B643" i="3" s="1"/>
  <c r="W642" i="3" l="1"/>
  <c r="L642" i="3"/>
  <c r="AA643" i="3"/>
  <c r="AD643" i="3"/>
  <c r="AC643" i="3"/>
  <c r="P643" i="3"/>
  <c r="Q643" i="3" s="1"/>
  <c r="R643" i="3" s="1"/>
  <c r="S643" i="3" s="1"/>
  <c r="Z643" i="3"/>
  <c r="U642" i="3" l="1"/>
  <c r="Y641" i="3"/>
  <c r="T643" i="3"/>
  <c r="AH643" i="3" s="1"/>
  <c r="AG643" i="3" l="1"/>
  <c r="E643" i="3"/>
  <c r="H643" i="3" s="1"/>
  <c r="K643" i="3" s="1"/>
  <c r="AE643" i="3" s="1"/>
  <c r="D643" i="3"/>
  <c r="F643" i="3" l="1"/>
  <c r="G643" i="3"/>
  <c r="M643" i="3" s="1"/>
  <c r="N643" i="3" s="1"/>
  <c r="V643" i="3"/>
  <c r="A644" i="3"/>
  <c r="B644" i="3" s="1"/>
  <c r="I643" i="3" l="1"/>
  <c r="W643" i="3" s="1"/>
  <c r="J643" i="3"/>
  <c r="L643" i="3" s="1"/>
  <c r="P644" i="3"/>
  <c r="Q644" i="3" s="1"/>
  <c r="R644" i="3" s="1"/>
  <c r="S644" i="3" s="1"/>
  <c r="AA644" i="3"/>
  <c r="AC644" i="3"/>
  <c r="Z644" i="3"/>
  <c r="U643" i="3" l="1"/>
  <c r="Y642" i="3"/>
  <c r="T644" i="3"/>
  <c r="AG644" i="3" s="1"/>
  <c r="AH644" i="3" l="1"/>
  <c r="D644" i="3"/>
  <c r="E644" i="3"/>
  <c r="H644" i="3" s="1"/>
  <c r="K644" i="3" l="1"/>
  <c r="AE644" i="3" s="1"/>
  <c r="F644" i="3"/>
  <c r="G644" i="3"/>
  <c r="I644" i="3" l="1"/>
  <c r="J644" i="3"/>
  <c r="AD644" i="3" s="1"/>
  <c r="M644" i="3"/>
  <c r="N644" i="3" s="1"/>
  <c r="V644" i="3"/>
  <c r="A645" i="3"/>
  <c r="B645" i="3" s="1"/>
  <c r="L644" i="3" l="1"/>
  <c r="W644" i="3"/>
  <c r="Z645" i="3"/>
  <c r="P645" i="3"/>
  <c r="Q645" i="3" s="1"/>
  <c r="R645" i="3" s="1"/>
  <c r="S645" i="3" s="1"/>
  <c r="AD645" i="3"/>
  <c r="AA645" i="3"/>
  <c r="AC645" i="3"/>
  <c r="U644" i="3" l="1"/>
  <c r="Y643" i="3"/>
  <c r="T645" i="3"/>
  <c r="AG645" i="3" s="1"/>
  <c r="D645" i="3" l="1"/>
  <c r="AH645" i="3"/>
  <c r="E645" i="3"/>
  <c r="H645" i="3" s="1"/>
  <c r="F645" i="3" l="1"/>
  <c r="G645" i="3"/>
  <c r="K645" i="3"/>
  <c r="AE645" i="3" s="1"/>
  <c r="I645" i="3" l="1"/>
  <c r="J645" i="3"/>
  <c r="M645" i="3"/>
  <c r="N645" i="3" s="1"/>
  <c r="V645" i="3"/>
  <c r="A646" i="3"/>
  <c r="B646" i="3" s="1"/>
  <c r="W645" i="3" l="1"/>
  <c r="L645" i="3"/>
  <c r="AA646" i="3"/>
  <c r="Z646" i="3"/>
  <c r="AC646" i="3"/>
  <c r="AD646" i="3"/>
  <c r="P646" i="3"/>
  <c r="Q646" i="3" s="1"/>
  <c r="R646" i="3" s="1"/>
  <c r="S646" i="3" s="1"/>
  <c r="U645" i="3" l="1"/>
  <c r="Y644" i="3"/>
  <c r="T646" i="3"/>
  <c r="AG646" i="3" s="1"/>
  <c r="E646" i="3" l="1"/>
  <c r="H646" i="3" s="1"/>
  <c r="D646" i="3"/>
  <c r="AH646" i="3"/>
  <c r="F646" i="3" l="1"/>
  <c r="G646" i="3"/>
  <c r="K646" i="3"/>
  <c r="AE646" i="3" s="1"/>
  <c r="I646" i="3" l="1"/>
  <c r="J646" i="3"/>
  <c r="M646" i="3"/>
  <c r="N646" i="3" s="1"/>
  <c r="V646" i="3"/>
  <c r="A647" i="3"/>
  <c r="B647" i="3" s="1"/>
  <c r="L646" i="3" l="1"/>
  <c r="W646" i="3"/>
  <c r="P647" i="3"/>
  <c r="Q647" i="3" s="1"/>
  <c r="R647" i="3" s="1"/>
  <c r="S647" i="3" s="1"/>
  <c r="AC647" i="3"/>
  <c r="AA647" i="3"/>
  <c r="Z647" i="3"/>
  <c r="U646" i="3" l="1"/>
  <c r="Y645" i="3"/>
  <c r="T647" i="3"/>
  <c r="AG647" i="3" s="1"/>
  <c r="E647" i="3" l="1"/>
  <c r="H647" i="3" s="1"/>
  <c r="D647" i="3"/>
  <c r="AH647" i="3"/>
  <c r="F647" i="3" l="1"/>
  <c r="G647" i="3"/>
  <c r="K647" i="3"/>
  <c r="AE647" i="3" s="1"/>
  <c r="V647" i="3" l="1"/>
  <c r="A648" i="3"/>
  <c r="B648" i="3" s="1"/>
  <c r="I647" i="3"/>
  <c r="J647" i="3"/>
  <c r="AD647" i="3" s="1"/>
  <c r="M647" i="3"/>
  <c r="N647" i="3" s="1"/>
  <c r="W647" i="3" l="1"/>
  <c r="L647" i="3"/>
  <c r="AC648" i="3"/>
  <c r="AA648" i="3"/>
  <c r="P648" i="3"/>
  <c r="Q648" i="3" s="1"/>
  <c r="R648" i="3" s="1"/>
  <c r="S648" i="3" s="1"/>
  <c r="Z648" i="3"/>
  <c r="AD648" i="3"/>
  <c r="T648" i="3" l="1"/>
  <c r="AH648" i="3" s="1"/>
  <c r="U647" i="3"/>
  <c r="Y646" i="3"/>
  <c r="D648" i="3" l="1"/>
  <c r="AG648" i="3"/>
  <c r="E648" i="3"/>
  <c r="H648" i="3" s="1"/>
  <c r="F648" i="3" l="1"/>
  <c r="G648" i="3"/>
  <c r="K648" i="3"/>
  <c r="AE648" i="3" s="1"/>
  <c r="I648" i="3" l="1"/>
  <c r="J648" i="3"/>
  <c r="M648" i="3"/>
  <c r="N648" i="3" s="1"/>
  <c r="V648" i="3"/>
  <c r="A649" i="3"/>
  <c r="B649" i="3" s="1"/>
  <c r="W648" i="3" l="1"/>
  <c r="L648" i="3"/>
  <c r="AC649" i="3"/>
  <c r="AA649" i="3"/>
  <c r="AD649" i="3"/>
  <c r="P649" i="3"/>
  <c r="Q649" i="3" s="1"/>
  <c r="R649" i="3" s="1"/>
  <c r="S649" i="3" s="1"/>
  <c r="Z649" i="3"/>
  <c r="U648" i="3" l="1"/>
  <c r="Y647" i="3"/>
  <c r="T649" i="3"/>
  <c r="E649" i="3" l="1"/>
  <c r="H649" i="3" s="1"/>
  <c r="K649" i="3" s="1"/>
  <c r="AE649" i="3" s="1"/>
  <c r="D649" i="3"/>
  <c r="AH649" i="3"/>
  <c r="AG649" i="3"/>
  <c r="V649" i="3" l="1"/>
  <c r="A650" i="3"/>
  <c r="B650" i="3" s="1"/>
  <c r="F649" i="3"/>
  <c r="G649" i="3"/>
  <c r="I649" i="3" l="1"/>
  <c r="W649" i="3" s="1"/>
  <c r="J649" i="3"/>
  <c r="M649" i="3"/>
  <c r="N649" i="3" s="1"/>
  <c r="AA650" i="3"/>
  <c r="P650" i="3"/>
  <c r="Q650" i="3" s="1"/>
  <c r="R650" i="3" s="1"/>
  <c r="S650" i="3" s="1"/>
  <c r="Z650" i="3"/>
  <c r="AD650" i="3"/>
  <c r="AC650" i="3"/>
  <c r="L649" i="3" l="1"/>
  <c r="T650" i="3"/>
  <c r="U649" i="3" l="1"/>
  <c r="E650" i="3" s="1"/>
  <c r="H650" i="3" s="1"/>
  <c r="AG650" i="3"/>
  <c r="AH650" i="3"/>
  <c r="Y648" i="3"/>
  <c r="K650" i="3" l="1"/>
  <c r="AE650" i="3" s="1"/>
  <c r="D650" i="3"/>
  <c r="V650" i="3" l="1"/>
  <c r="A651" i="3"/>
  <c r="B651" i="3" s="1"/>
  <c r="F650" i="3"/>
  <c r="G650" i="3"/>
  <c r="I650" i="3" l="1"/>
  <c r="W650" i="3" s="1"/>
  <c r="J650" i="3"/>
  <c r="M650" i="3"/>
  <c r="N650" i="3" s="1"/>
  <c r="Z651" i="3"/>
  <c r="AC651" i="3"/>
  <c r="P651" i="3"/>
  <c r="Q651" i="3" s="1"/>
  <c r="R651" i="3" s="1"/>
  <c r="S651" i="3" s="1"/>
  <c r="AA651" i="3"/>
  <c r="AD651" i="3"/>
  <c r="T651" i="3" l="1"/>
  <c r="L650" i="3"/>
  <c r="AH651" i="3" l="1"/>
  <c r="U650" i="3"/>
  <c r="E651" i="3" s="1"/>
  <c r="H651" i="3" s="1"/>
  <c r="AG651" i="3"/>
  <c r="Y649" i="3"/>
  <c r="D651" i="3" l="1"/>
  <c r="G651" i="3" s="1"/>
  <c r="K651" i="3"/>
  <c r="AE651" i="3" s="1"/>
  <c r="F651" i="3" l="1"/>
  <c r="I651" i="3"/>
  <c r="J651" i="3"/>
  <c r="M651" i="3"/>
  <c r="N651" i="3" s="1"/>
  <c r="V651" i="3"/>
  <c r="A652" i="3"/>
  <c r="B652" i="3" s="1"/>
  <c r="W651" i="3" l="1"/>
  <c r="L651" i="3"/>
  <c r="P652" i="3"/>
  <c r="Q652" i="3" s="1"/>
  <c r="R652" i="3" s="1"/>
  <c r="S652" i="3" s="1"/>
  <c r="AC652" i="3"/>
  <c r="AA652" i="3"/>
  <c r="Z652" i="3"/>
  <c r="AD652" i="3"/>
  <c r="U651" i="3" l="1"/>
  <c r="Y650" i="3"/>
  <c r="T652" i="3"/>
  <c r="E652" i="3" l="1"/>
  <c r="H652" i="3" s="1"/>
  <c r="K652" i="3" s="1"/>
  <c r="AE652" i="3" s="1"/>
  <c r="AH652" i="3"/>
  <c r="AG652" i="3"/>
  <c r="D652" i="3"/>
  <c r="G652" i="3" s="1"/>
  <c r="F652" i="3" l="1"/>
  <c r="V652" i="3"/>
  <c r="A653" i="3"/>
  <c r="B653" i="3" s="1"/>
  <c r="I652" i="3"/>
  <c r="J652" i="3"/>
  <c r="M652" i="3"/>
  <c r="N652" i="3" s="1"/>
  <c r="W652" i="3" l="1"/>
  <c r="L652" i="3"/>
  <c r="Z653" i="3"/>
  <c r="AA653" i="3"/>
  <c r="P653" i="3"/>
  <c r="Q653" i="3" s="1"/>
  <c r="R653" i="3" s="1"/>
  <c r="S653" i="3" s="1"/>
  <c r="AD653" i="3"/>
  <c r="AC653" i="3"/>
  <c r="T653" i="3" l="1"/>
  <c r="AG653" i="3" s="1"/>
  <c r="U652" i="3"/>
  <c r="Y651" i="3"/>
  <c r="AH653" i="3" l="1"/>
  <c r="E653" i="3"/>
  <c r="H653" i="3" s="1"/>
  <c r="D653" i="3"/>
  <c r="K653" i="3" l="1"/>
  <c r="AE653" i="3" s="1"/>
  <c r="F653" i="3"/>
  <c r="G653" i="3"/>
  <c r="V653" i="3" l="1"/>
  <c r="A654" i="3"/>
  <c r="B654" i="3" s="1"/>
  <c r="I653" i="3"/>
  <c r="J653" i="3"/>
  <c r="M653" i="3"/>
  <c r="N653" i="3" s="1"/>
  <c r="W653" i="3" l="1"/>
  <c r="L653" i="3"/>
  <c r="Z654" i="3"/>
  <c r="P654" i="3"/>
  <c r="Q654" i="3" s="1"/>
  <c r="R654" i="3" s="1"/>
  <c r="S654" i="3" s="1"/>
  <c r="AC654" i="3"/>
  <c r="AA654" i="3"/>
  <c r="T654" i="3" l="1"/>
  <c r="AG654" i="3" s="1"/>
  <c r="U653" i="3"/>
  <c r="Y652" i="3"/>
  <c r="AH654" i="3" l="1"/>
  <c r="E654" i="3"/>
  <c r="H654" i="3" s="1"/>
  <c r="D654" i="3"/>
  <c r="K654" i="3" l="1"/>
  <c r="AE654" i="3" s="1"/>
  <c r="F654" i="3"/>
  <c r="G654" i="3"/>
  <c r="V654" i="3" l="1"/>
  <c r="A655" i="3"/>
  <c r="B655" i="3" s="1"/>
  <c r="I654" i="3"/>
  <c r="J654" i="3"/>
  <c r="AD654" i="3" s="1"/>
  <c r="M654" i="3"/>
  <c r="N654" i="3" s="1"/>
  <c r="L654" i="3" l="1"/>
  <c r="AD655" i="3"/>
  <c r="AC655" i="3"/>
  <c r="P655" i="3"/>
  <c r="Q655" i="3" s="1"/>
  <c r="R655" i="3" s="1"/>
  <c r="S655" i="3" s="1"/>
  <c r="Z655" i="3"/>
  <c r="AA655" i="3"/>
  <c r="W654" i="3"/>
  <c r="U654" i="3" l="1"/>
  <c r="Y653" i="3"/>
  <c r="T655" i="3"/>
  <c r="AH655" i="3" s="1"/>
  <c r="AG655" i="3" l="1"/>
  <c r="D655" i="3"/>
  <c r="E655" i="3"/>
  <c r="H655" i="3" s="1"/>
  <c r="K655" i="3" l="1"/>
  <c r="AE655" i="3" s="1"/>
  <c r="F655" i="3"/>
  <c r="G655" i="3"/>
  <c r="V655" i="3" l="1"/>
  <c r="A656" i="3"/>
  <c r="B656" i="3" s="1"/>
  <c r="I655" i="3"/>
  <c r="J655" i="3"/>
  <c r="M655" i="3"/>
  <c r="N655" i="3" s="1"/>
  <c r="W655" i="3" l="1"/>
  <c r="L655" i="3"/>
  <c r="Z656" i="3"/>
  <c r="AA656" i="3"/>
  <c r="AD656" i="3"/>
  <c r="AC656" i="3"/>
  <c r="P656" i="3"/>
  <c r="Q656" i="3" s="1"/>
  <c r="R656" i="3" s="1"/>
  <c r="S656" i="3" s="1"/>
  <c r="T656" i="3" l="1"/>
  <c r="U655" i="3"/>
  <c r="Y654" i="3"/>
  <c r="E656" i="3" l="1"/>
  <c r="H656" i="3" s="1"/>
  <c r="K656" i="3" s="1"/>
  <c r="AE656" i="3" s="1"/>
  <c r="AH656" i="3"/>
  <c r="D656" i="3"/>
  <c r="AG656" i="3"/>
  <c r="F656" i="3" l="1"/>
  <c r="G656" i="3"/>
  <c r="V656" i="3"/>
  <c r="A657" i="3"/>
  <c r="B657" i="3" s="1"/>
  <c r="I656" i="3" l="1"/>
  <c r="W656" i="3" s="1"/>
  <c r="J656" i="3"/>
  <c r="M656" i="3"/>
  <c r="N656" i="3" s="1"/>
  <c r="AC657" i="3"/>
  <c r="P657" i="3"/>
  <c r="Q657" i="3" s="1"/>
  <c r="R657" i="3" s="1"/>
  <c r="S657" i="3" s="1"/>
  <c r="AA657" i="3"/>
  <c r="Z657" i="3"/>
  <c r="L656" i="3" l="1"/>
  <c r="T657" i="3"/>
  <c r="AH657" i="3" l="1"/>
  <c r="U656" i="3"/>
  <c r="E657" i="3" s="1"/>
  <c r="H657" i="3" s="1"/>
  <c r="AG657" i="3"/>
  <c r="Y655" i="3"/>
  <c r="D657" i="3" l="1"/>
  <c r="G657" i="3" s="1"/>
  <c r="K657" i="3"/>
  <c r="AE657" i="3" s="1"/>
  <c r="F657" i="3" l="1"/>
  <c r="I657" i="3"/>
  <c r="J657" i="3"/>
  <c r="AD657" i="3" s="1"/>
  <c r="M657" i="3"/>
  <c r="N657" i="3" s="1"/>
  <c r="V657" i="3"/>
  <c r="A658" i="3"/>
  <c r="B658" i="3" s="1"/>
  <c r="W657" i="3" l="1"/>
  <c r="L657" i="3"/>
  <c r="AC658" i="3"/>
  <c r="Z658" i="3"/>
  <c r="AD658" i="3"/>
  <c r="AA658" i="3"/>
  <c r="P658" i="3"/>
  <c r="Q658" i="3" s="1"/>
  <c r="R658" i="3" s="1"/>
  <c r="S658" i="3" s="1"/>
  <c r="U657" i="3" l="1"/>
  <c r="Y656" i="3"/>
  <c r="T658" i="3"/>
  <c r="AG658" i="3" s="1"/>
  <c r="E658" i="3" l="1"/>
  <c r="H658" i="3" s="1"/>
  <c r="D658" i="3"/>
  <c r="AH658" i="3"/>
  <c r="K658" i="3" l="1"/>
  <c r="AE658" i="3" s="1"/>
  <c r="F658" i="3"/>
  <c r="G658" i="3"/>
  <c r="I658" i="3" l="1"/>
  <c r="J658" i="3"/>
  <c r="M658" i="3"/>
  <c r="N658" i="3" s="1"/>
  <c r="V658" i="3"/>
  <c r="A659" i="3"/>
  <c r="B659" i="3" s="1"/>
  <c r="W658" i="3" l="1"/>
  <c r="L658" i="3"/>
  <c r="AA659" i="3"/>
  <c r="P659" i="3"/>
  <c r="Q659" i="3" s="1"/>
  <c r="R659" i="3" s="1"/>
  <c r="S659" i="3" s="1"/>
  <c r="Z659" i="3"/>
  <c r="AD659" i="3"/>
  <c r="AC659" i="3"/>
  <c r="U658" i="3" l="1"/>
  <c r="Y657" i="3"/>
  <c r="T659" i="3"/>
  <c r="AH659" i="3" s="1"/>
  <c r="E659" i="3" l="1"/>
  <c r="H659" i="3" s="1"/>
  <c r="K659" i="3" s="1"/>
  <c r="AE659" i="3" s="1"/>
  <c r="AG659" i="3"/>
  <c r="D659" i="3"/>
  <c r="G659" i="3" s="1"/>
  <c r="F659" i="3" l="1"/>
  <c r="I659" i="3"/>
  <c r="J659" i="3"/>
  <c r="M659" i="3"/>
  <c r="N659" i="3" s="1"/>
  <c r="V659" i="3"/>
  <c r="A660" i="3"/>
  <c r="B660" i="3" s="1"/>
  <c r="W659" i="3" l="1"/>
  <c r="L659" i="3"/>
  <c r="AA660" i="3"/>
  <c r="P660" i="3"/>
  <c r="Q660" i="3" s="1"/>
  <c r="R660" i="3" s="1"/>
  <c r="S660" i="3" s="1"/>
  <c r="AC660" i="3"/>
  <c r="AD660" i="3"/>
  <c r="Z660" i="3"/>
  <c r="T660" i="3" l="1"/>
  <c r="AH660" i="3" s="1"/>
  <c r="U659" i="3"/>
  <c r="Y658" i="3"/>
  <c r="AG660" i="3" l="1"/>
  <c r="D660" i="3"/>
  <c r="E660" i="3"/>
  <c r="H660" i="3" s="1"/>
  <c r="K660" i="3" l="1"/>
  <c r="AE660" i="3" s="1"/>
  <c r="F660" i="3"/>
  <c r="G660" i="3"/>
  <c r="I660" i="3" l="1"/>
  <c r="J660" i="3"/>
  <c r="M660" i="3"/>
  <c r="N660" i="3" s="1"/>
  <c r="V660" i="3"/>
  <c r="A661" i="3"/>
  <c r="B661" i="3" s="1"/>
  <c r="L660" i="3" l="1"/>
  <c r="W660" i="3"/>
  <c r="Z661" i="3"/>
  <c r="P661" i="3"/>
  <c r="Q661" i="3" s="1"/>
  <c r="R661" i="3" s="1"/>
  <c r="S661" i="3" s="1"/>
  <c r="AA661" i="3"/>
  <c r="AD661" i="3"/>
  <c r="AC661" i="3"/>
  <c r="T661" i="3" l="1"/>
  <c r="U660" i="3"/>
  <c r="Y659" i="3"/>
  <c r="E661" i="3" l="1"/>
  <c r="H661" i="3" s="1"/>
  <c r="K661" i="3" s="1"/>
  <c r="AE661" i="3" s="1"/>
  <c r="D661" i="3"/>
  <c r="AH661" i="3"/>
  <c r="AG661" i="3"/>
  <c r="V661" i="3" l="1"/>
  <c r="A662" i="3"/>
  <c r="B662" i="3" s="1"/>
  <c r="F661" i="3"/>
  <c r="G661" i="3"/>
  <c r="I661" i="3" l="1"/>
  <c r="W661" i="3" s="1"/>
  <c r="J661" i="3"/>
  <c r="M661" i="3"/>
  <c r="N661" i="3" s="1"/>
  <c r="P662" i="3"/>
  <c r="Q662" i="3" s="1"/>
  <c r="R662" i="3" s="1"/>
  <c r="S662" i="3" s="1"/>
  <c r="Z662" i="3"/>
  <c r="AD662" i="3"/>
  <c r="AA662" i="3"/>
  <c r="AC662" i="3"/>
  <c r="T662" i="3" l="1"/>
  <c r="L661" i="3"/>
  <c r="AH662" i="3" l="1"/>
  <c r="AG662" i="3"/>
  <c r="U661" i="3"/>
  <c r="E662" i="3" s="1"/>
  <c r="H662" i="3" s="1"/>
  <c r="Y660" i="3"/>
  <c r="D662" i="3" l="1"/>
  <c r="F662" i="3" s="1"/>
  <c r="K662" i="3"/>
  <c r="AE662" i="3" s="1"/>
  <c r="G662" i="3" l="1"/>
  <c r="I662" i="3" s="1"/>
  <c r="V662" i="3"/>
  <c r="A663" i="3"/>
  <c r="B663" i="3" s="1"/>
  <c r="J662" i="3" l="1"/>
  <c r="L662" i="3" s="1"/>
  <c r="M662" i="3"/>
  <c r="N662" i="3" s="1"/>
  <c r="W662" i="3"/>
  <c r="AA663" i="3"/>
  <c r="Z663" i="3"/>
  <c r="P663" i="3"/>
  <c r="Q663" i="3" s="1"/>
  <c r="R663" i="3" s="1"/>
  <c r="S663" i="3" s="1"/>
  <c r="AC663" i="3"/>
  <c r="AD663" i="3"/>
  <c r="U662" i="3" l="1"/>
  <c r="Y661" i="3"/>
  <c r="T663" i="3"/>
  <c r="E663" i="3" l="1"/>
  <c r="H663" i="3" s="1"/>
  <c r="K663" i="3" s="1"/>
  <c r="AE663" i="3" s="1"/>
  <c r="AG663" i="3"/>
  <c r="AH663" i="3"/>
  <c r="D663" i="3"/>
  <c r="F663" i="3" l="1"/>
  <c r="G663" i="3"/>
  <c r="V663" i="3"/>
  <c r="A664" i="3"/>
  <c r="B664" i="3" s="1"/>
  <c r="P664" i="3" l="1"/>
  <c r="Q664" i="3" s="1"/>
  <c r="R664" i="3" s="1"/>
  <c r="S664" i="3" s="1"/>
  <c r="AA664" i="3"/>
  <c r="AC664" i="3"/>
  <c r="Z664" i="3"/>
  <c r="I663" i="3"/>
  <c r="W663" i="3" s="1"/>
  <c r="J663" i="3"/>
  <c r="M663" i="3"/>
  <c r="N663" i="3" s="1"/>
  <c r="T664" i="3" l="1"/>
  <c r="L663" i="3"/>
  <c r="AH664" i="3" l="1"/>
  <c r="U663" i="3"/>
  <c r="E664" i="3" s="1"/>
  <c r="H664" i="3" s="1"/>
  <c r="AG664" i="3"/>
  <c r="Y662" i="3"/>
  <c r="D664" i="3" l="1"/>
  <c r="G664" i="3" s="1"/>
  <c r="K664" i="3"/>
  <c r="AE664" i="3" s="1"/>
  <c r="F664" i="3" l="1"/>
  <c r="I664" i="3"/>
  <c r="J664" i="3"/>
  <c r="AD664" i="3" s="1"/>
  <c r="M664" i="3"/>
  <c r="N664" i="3" s="1"/>
  <c r="V664" i="3"/>
  <c r="A665" i="3"/>
  <c r="B665" i="3" s="1"/>
  <c r="W664" i="3" l="1"/>
  <c r="L664" i="3"/>
  <c r="AC665" i="3"/>
  <c r="P665" i="3"/>
  <c r="Q665" i="3" s="1"/>
  <c r="R665" i="3" s="1"/>
  <c r="S665" i="3" s="1"/>
  <c r="AA665" i="3"/>
  <c r="Z665" i="3"/>
  <c r="AD665" i="3"/>
  <c r="U664" i="3" l="1"/>
  <c r="Y663" i="3"/>
  <c r="T665" i="3"/>
  <c r="D665" i="3" l="1"/>
  <c r="G665" i="3" s="1"/>
  <c r="AG665" i="3"/>
  <c r="E665" i="3"/>
  <c r="H665" i="3" s="1"/>
  <c r="AH665" i="3"/>
  <c r="F665" i="3" l="1"/>
  <c r="I665" i="3"/>
  <c r="J665" i="3"/>
  <c r="M665" i="3"/>
  <c r="N665" i="3" s="1"/>
  <c r="K665" i="3"/>
  <c r="AE665" i="3" s="1"/>
  <c r="L665" i="3" l="1"/>
  <c r="V665" i="3"/>
  <c r="W665" i="3" s="1"/>
  <c r="A666" i="3"/>
  <c r="B666" i="3" s="1"/>
  <c r="U665" i="3" l="1"/>
  <c r="Y664" i="3"/>
  <c r="AA666" i="3"/>
  <c r="AD666" i="3"/>
  <c r="P666" i="3"/>
  <c r="Q666" i="3" s="1"/>
  <c r="R666" i="3" s="1"/>
  <c r="S666" i="3" s="1"/>
  <c r="Z666" i="3"/>
  <c r="AC666" i="3"/>
  <c r="T666" i="3" l="1"/>
  <c r="D666" i="3" s="1"/>
  <c r="AG666" i="3" l="1"/>
  <c r="E666" i="3"/>
  <c r="H666" i="3" s="1"/>
  <c r="K666" i="3" s="1"/>
  <c r="AE666" i="3" s="1"/>
  <c r="AH666" i="3"/>
  <c r="G666" i="3"/>
  <c r="F666" i="3" l="1"/>
  <c r="I666" i="3"/>
  <c r="J666" i="3"/>
  <c r="M666" i="3"/>
  <c r="N666" i="3" s="1"/>
  <c r="V666" i="3"/>
  <c r="A667" i="3"/>
  <c r="B667" i="3" s="1"/>
  <c r="L666" i="3" l="1"/>
  <c r="W666" i="3"/>
  <c r="AC667" i="3"/>
  <c r="Z667" i="3"/>
  <c r="P667" i="3"/>
  <c r="Q667" i="3" s="1"/>
  <c r="R667" i="3" s="1"/>
  <c r="S667" i="3" s="1"/>
  <c r="AA667" i="3"/>
  <c r="U666" i="3" l="1"/>
  <c r="Y665" i="3"/>
  <c r="T667" i="3"/>
  <c r="AG667" i="3" s="1"/>
  <c r="D667" i="3" l="1"/>
  <c r="E667" i="3"/>
  <c r="H667" i="3" s="1"/>
  <c r="AH667" i="3"/>
  <c r="F667" i="3" l="1"/>
  <c r="G667" i="3"/>
  <c r="K667" i="3"/>
  <c r="AE667" i="3" s="1"/>
  <c r="I667" i="3" l="1"/>
  <c r="J667" i="3"/>
  <c r="AD667" i="3" s="1"/>
  <c r="M667" i="3"/>
  <c r="N667" i="3" s="1"/>
  <c r="V667" i="3"/>
  <c r="A668" i="3"/>
  <c r="B668" i="3" s="1"/>
  <c r="W667" i="3" l="1"/>
  <c r="L667" i="3"/>
  <c r="Z668" i="3"/>
  <c r="P668" i="3"/>
  <c r="Q668" i="3" s="1"/>
  <c r="R668" i="3" s="1"/>
  <c r="S668" i="3" s="1"/>
  <c r="AD668" i="3"/>
  <c r="AC668" i="3"/>
  <c r="AA668" i="3"/>
  <c r="T668" i="3" l="1"/>
  <c r="AH668" i="3" s="1"/>
  <c r="U667" i="3"/>
  <c r="Y666" i="3"/>
  <c r="D668" i="3" l="1"/>
  <c r="G668" i="3" s="1"/>
  <c r="AG668" i="3"/>
  <c r="E668" i="3"/>
  <c r="H668" i="3" s="1"/>
  <c r="F668" i="3" l="1"/>
  <c r="I668" i="3"/>
  <c r="J668" i="3"/>
  <c r="M668" i="3"/>
  <c r="N668" i="3" s="1"/>
  <c r="K668" i="3"/>
  <c r="AE668" i="3" s="1"/>
  <c r="L668" i="3" l="1"/>
  <c r="V668" i="3"/>
  <c r="W668" i="3" s="1"/>
  <c r="A669" i="3"/>
  <c r="B669" i="3" s="1"/>
  <c r="AA669" i="3" l="1"/>
  <c r="P669" i="3"/>
  <c r="Q669" i="3" s="1"/>
  <c r="R669" i="3" s="1"/>
  <c r="S669" i="3" s="1"/>
  <c r="AD669" i="3"/>
  <c r="AC669" i="3"/>
  <c r="Z669" i="3"/>
  <c r="U668" i="3"/>
  <c r="Y667" i="3"/>
  <c r="T669" i="3" l="1"/>
  <c r="AH669" i="3" l="1"/>
  <c r="AG669" i="3"/>
  <c r="D669" i="3"/>
  <c r="E669" i="3"/>
  <c r="H669" i="3" s="1"/>
  <c r="F669" i="3" l="1"/>
  <c r="G669" i="3"/>
  <c r="K669" i="3"/>
  <c r="AE669" i="3" s="1"/>
  <c r="V669" i="3" l="1"/>
  <c r="A670" i="3"/>
  <c r="B670" i="3" s="1"/>
  <c r="I669" i="3"/>
  <c r="J669" i="3"/>
  <c r="M669" i="3"/>
  <c r="N669" i="3" s="1"/>
  <c r="L669" i="3" l="1"/>
  <c r="W669" i="3"/>
  <c r="AD670" i="3"/>
  <c r="P670" i="3"/>
  <c r="Q670" i="3" s="1"/>
  <c r="R670" i="3" s="1"/>
  <c r="S670" i="3" s="1"/>
  <c r="AA670" i="3"/>
  <c r="Z670" i="3"/>
  <c r="AC670" i="3"/>
  <c r="T670" i="3" l="1"/>
  <c r="U669" i="3"/>
  <c r="Y668" i="3"/>
  <c r="E670" i="3" l="1"/>
  <c r="H670" i="3" s="1"/>
  <c r="K670" i="3" s="1"/>
  <c r="AE670" i="3" s="1"/>
  <c r="AH670" i="3"/>
  <c r="AG670" i="3"/>
  <c r="D670" i="3"/>
  <c r="V670" i="3" l="1"/>
  <c r="A671" i="3"/>
  <c r="B671" i="3" s="1"/>
  <c r="F670" i="3"/>
  <c r="G670" i="3"/>
  <c r="I670" i="3" l="1"/>
  <c r="W670" i="3" s="1"/>
  <c r="J670" i="3"/>
  <c r="M670" i="3"/>
  <c r="N670" i="3" s="1"/>
  <c r="AC671" i="3"/>
  <c r="Z671" i="3"/>
  <c r="AD671" i="3"/>
  <c r="AA671" i="3"/>
  <c r="P671" i="3"/>
  <c r="Q671" i="3" s="1"/>
  <c r="R671" i="3" s="1"/>
  <c r="S671" i="3" s="1"/>
  <c r="T671" i="3" l="1"/>
  <c r="L670" i="3"/>
  <c r="U670" i="3" l="1"/>
  <c r="E671" i="3" s="1"/>
  <c r="H671" i="3" s="1"/>
  <c r="AG671" i="3"/>
  <c r="AH671" i="3"/>
  <c r="Y669" i="3"/>
  <c r="D671" i="3" l="1"/>
  <c r="G671" i="3" s="1"/>
  <c r="K671" i="3"/>
  <c r="AE671" i="3" s="1"/>
  <c r="F671" i="3" l="1"/>
  <c r="V671" i="3"/>
  <c r="A672" i="3"/>
  <c r="B672" i="3" s="1"/>
  <c r="I671" i="3"/>
  <c r="J671" i="3"/>
  <c r="M671" i="3"/>
  <c r="N671" i="3" s="1"/>
  <c r="W671" i="3" l="1"/>
  <c r="L671" i="3"/>
  <c r="AD672" i="3"/>
  <c r="P672" i="3"/>
  <c r="Q672" i="3" s="1"/>
  <c r="R672" i="3" s="1"/>
  <c r="S672" i="3" s="1"/>
  <c r="AC672" i="3"/>
  <c r="Z672" i="3"/>
  <c r="AA672" i="3"/>
  <c r="T672" i="3" l="1"/>
  <c r="AG672" i="3" s="1"/>
  <c r="U671" i="3"/>
  <c r="Y670" i="3"/>
  <c r="E672" i="3" l="1"/>
  <c r="H672" i="3" s="1"/>
  <c r="K672" i="3" s="1"/>
  <c r="AE672" i="3" s="1"/>
  <c r="D672" i="3"/>
  <c r="AH672" i="3"/>
  <c r="F672" i="3" l="1"/>
  <c r="G672" i="3"/>
  <c r="V672" i="3"/>
  <c r="A673" i="3"/>
  <c r="B673" i="3" s="1"/>
  <c r="AC673" i="3" l="1"/>
  <c r="AA673" i="3"/>
  <c r="P673" i="3"/>
  <c r="Q673" i="3" s="1"/>
  <c r="R673" i="3" s="1"/>
  <c r="S673" i="3" s="1"/>
  <c r="AD673" i="3"/>
  <c r="Z673" i="3"/>
  <c r="I672" i="3"/>
  <c r="W672" i="3" s="1"/>
  <c r="J672" i="3"/>
  <c r="M672" i="3"/>
  <c r="N672" i="3" s="1"/>
  <c r="L672" i="3" l="1"/>
  <c r="T673" i="3"/>
  <c r="AH673" i="3" l="1"/>
  <c r="AG673" i="3"/>
  <c r="U672" i="3"/>
  <c r="E673" i="3" s="1"/>
  <c r="H673" i="3" s="1"/>
  <c r="Y671" i="3"/>
  <c r="K673" i="3" l="1"/>
  <c r="AE673" i="3" s="1"/>
  <c r="D673" i="3"/>
  <c r="V673" i="3" l="1"/>
  <c r="A674" i="3"/>
  <c r="B674" i="3" s="1"/>
  <c r="F673" i="3"/>
  <c r="G673" i="3"/>
  <c r="I673" i="3" l="1"/>
  <c r="W673" i="3" s="1"/>
  <c r="J673" i="3"/>
  <c r="M673" i="3"/>
  <c r="N673" i="3" s="1"/>
  <c r="P674" i="3"/>
  <c r="Q674" i="3" s="1"/>
  <c r="R674" i="3" s="1"/>
  <c r="S674" i="3" s="1"/>
  <c r="AA674" i="3"/>
  <c r="Z674" i="3"/>
  <c r="AC674" i="3"/>
  <c r="T674" i="3" l="1"/>
  <c r="L673" i="3"/>
  <c r="AH674" i="3" l="1"/>
  <c r="U673" i="3"/>
  <c r="E674" i="3" s="1"/>
  <c r="H674" i="3" s="1"/>
  <c r="AG674" i="3"/>
  <c r="Y672" i="3"/>
  <c r="D674" i="3" l="1"/>
  <c r="G674" i="3" s="1"/>
  <c r="K674" i="3"/>
  <c r="AE674" i="3" s="1"/>
  <c r="F674" i="3" l="1"/>
  <c r="I674" i="3"/>
  <c r="J674" i="3"/>
  <c r="AD674" i="3" s="1"/>
  <c r="M674" i="3"/>
  <c r="N674" i="3" s="1"/>
  <c r="V674" i="3"/>
  <c r="A675" i="3"/>
  <c r="B675" i="3" s="1"/>
  <c r="W674" i="3" l="1"/>
  <c r="L674" i="3"/>
  <c r="P675" i="3"/>
  <c r="Q675" i="3" s="1"/>
  <c r="R675" i="3" s="1"/>
  <c r="S675" i="3" s="1"/>
  <c r="AD675" i="3"/>
  <c r="AA675" i="3"/>
  <c r="AC675" i="3"/>
  <c r="Z675" i="3"/>
  <c r="U674" i="3" l="1"/>
  <c r="Y673" i="3"/>
  <c r="T675" i="3"/>
  <c r="AH675" i="3" s="1"/>
  <c r="AG675" i="3" l="1"/>
  <c r="D675" i="3"/>
  <c r="E675" i="3"/>
  <c r="H675" i="3" s="1"/>
  <c r="F675" i="3" l="1"/>
  <c r="G675" i="3"/>
  <c r="K675" i="3"/>
  <c r="AE675" i="3" s="1"/>
  <c r="I675" i="3" l="1"/>
  <c r="J675" i="3"/>
  <c r="M675" i="3"/>
  <c r="N675" i="3" s="1"/>
  <c r="V675" i="3"/>
  <c r="A676" i="3"/>
  <c r="B676" i="3" s="1"/>
  <c r="W675" i="3" l="1"/>
  <c r="L675" i="3"/>
  <c r="AD676" i="3"/>
  <c r="AC676" i="3"/>
  <c r="P676" i="3"/>
  <c r="Q676" i="3" s="1"/>
  <c r="R676" i="3" s="1"/>
  <c r="S676" i="3" s="1"/>
  <c r="Z676" i="3"/>
  <c r="AA676" i="3"/>
  <c r="T676" i="3" l="1"/>
  <c r="U675" i="3"/>
  <c r="Y674" i="3"/>
  <c r="E676" i="3" l="1"/>
  <c r="H676" i="3" s="1"/>
  <c r="K676" i="3" s="1"/>
  <c r="AE676" i="3" s="1"/>
  <c r="AH676" i="3"/>
  <c r="D676" i="3"/>
  <c r="G676" i="3" s="1"/>
  <c r="AG676" i="3"/>
  <c r="F676" i="3" l="1"/>
  <c r="I676" i="3"/>
  <c r="J676" i="3"/>
  <c r="M676" i="3"/>
  <c r="N676" i="3" s="1"/>
  <c r="V676" i="3"/>
  <c r="A677" i="3"/>
  <c r="B677" i="3" s="1"/>
  <c r="W676" i="3" l="1"/>
  <c r="L676" i="3"/>
  <c r="AA677" i="3"/>
  <c r="AC677" i="3"/>
  <c r="Z677" i="3"/>
  <c r="P677" i="3"/>
  <c r="Q677" i="3" s="1"/>
  <c r="R677" i="3" s="1"/>
  <c r="S677" i="3" s="1"/>
  <c r="U676" i="3" l="1"/>
  <c r="Y675" i="3"/>
  <c r="T677" i="3"/>
  <c r="AG677" i="3" s="1"/>
  <c r="D677" i="3" l="1"/>
  <c r="G677" i="3" s="1"/>
  <c r="AH677" i="3"/>
  <c r="E677" i="3"/>
  <c r="H677" i="3" s="1"/>
  <c r="F677" i="3" l="1"/>
  <c r="I677" i="3"/>
  <c r="J677" i="3"/>
  <c r="AD677" i="3" s="1"/>
  <c r="M677" i="3"/>
  <c r="N677" i="3" s="1"/>
  <c r="K677" i="3"/>
  <c r="AE677" i="3" s="1"/>
  <c r="V677" i="3" l="1"/>
  <c r="W677" i="3" s="1"/>
  <c r="A678" i="3"/>
  <c r="B678" i="3" s="1"/>
  <c r="L677" i="3"/>
  <c r="U677" i="3" l="1"/>
  <c r="Y676" i="3"/>
  <c r="AD678" i="3"/>
  <c r="P678" i="3"/>
  <c r="Q678" i="3" s="1"/>
  <c r="R678" i="3" s="1"/>
  <c r="S678" i="3" s="1"/>
  <c r="Z678" i="3"/>
  <c r="AC678" i="3"/>
  <c r="AA678" i="3"/>
  <c r="T678" i="3" l="1"/>
  <c r="AH678" i="3" s="1"/>
  <c r="E678" i="3" l="1"/>
  <c r="H678" i="3" s="1"/>
  <c r="K678" i="3" s="1"/>
  <c r="AE678" i="3" s="1"/>
  <c r="D678" i="3"/>
  <c r="AG678" i="3"/>
  <c r="F678" i="3" l="1"/>
  <c r="G678" i="3"/>
  <c r="J678" i="3" s="1"/>
  <c r="V678" i="3"/>
  <c r="A679" i="3"/>
  <c r="B679" i="3" s="1"/>
  <c r="M678" i="3" l="1"/>
  <c r="N678" i="3" s="1"/>
  <c r="I678" i="3"/>
  <c r="W678" i="3" s="1"/>
  <c r="L678" i="3"/>
  <c r="P679" i="3"/>
  <c r="Q679" i="3" s="1"/>
  <c r="R679" i="3" s="1"/>
  <c r="S679" i="3" s="1"/>
  <c r="AA679" i="3"/>
  <c r="Z679" i="3"/>
  <c r="AD679" i="3"/>
  <c r="AC679" i="3"/>
  <c r="T679" i="3" l="1"/>
  <c r="U678" i="3"/>
  <c r="Y677" i="3"/>
  <c r="E679" i="3" l="1"/>
  <c r="H679" i="3" s="1"/>
  <c r="K679" i="3" s="1"/>
  <c r="AE679" i="3" s="1"/>
  <c r="AH679" i="3"/>
  <c r="AG679" i="3"/>
  <c r="D679" i="3"/>
  <c r="F679" i="3" l="1"/>
  <c r="G679" i="3"/>
  <c r="V679" i="3"/>
  <c r="A680" i="3"/>
  <c r="B680" i="3" s="1"/>
  <c r="AC680" i="3" l="1"/>
  <c r="P680" i="3"/>
  <c r="Q680" i="3" s="1"/>
  <c r="R680" i="3" s="1"/>
  <c r="S680" i="3" s="1"/>
  <c r="AA680" i="3"/>
  <c r="Z680" i="3"/>
  <c r="AD680" i="3"/>
  <c r="I679" i="3"/>
  <c r="W679" i="3" s="1"/>
  <c r="J679" i="3"/>
  <c r="M679" i="3"/>
  <c r="N679" i="3" s="1"/>
  <c r="L679" i="3" l="1"/>
  <c r="T680" i="3"/>
  <c r="AH680" i="3" l="1"/>
  <c r="U679" i="3"/>
  <c r="E680" i="3" s="1"/>
  <c r="H680" i="3" s="1"/>
  <c r="AG680" i="3"/>
  <c r="Y678" i="3"/>
  <c r="D680" i="3" l="1"/>
  <c r="G680" i="3" s="1"/>
  <c r="K680" i="3"/>
  <c r="AE680" i="3" s="1"/>
  <c r="F680" i="3" l="1"/>
  <c r="I680" i="3"/>
  <c r="J680" i="3"/>
  <c r="M680" i="3"/>
  <c r="N680" i="3" s="1"/>
  <c r="V680" i="3"/>
  <c r="A681" i="3"/>
  <c r="B681" i="3" s="1"/>
  <c r="W680" i="3" l="1"/>
  <c r="L680" i="3"/>
  <c r="AD681" i="3"/>
  <c r="AA681" i="3"/>
  <c r="P681" i="3"/>
  <c r="Q681" i="3" s="1"/>
  <c r="R681" i="3" s="1"/>
  <c r="S681" i="3" s="1"/>
  <c r="Z681" i="3"/>
  <c r="AC681" i="3"/>
  <c r="U680" i="3" l="1"/>
  <c r="Y679" i="3"/>
  <c r="T681" i="3"/>
  <c r="E681" i="3" l="1"/>
  <c r="H681" i="3" s="1"/>
  <c r="K681" i="3" s="1"/>
  <c r="AE681" i="3" s="1"/>
  <c r="AG681" i="3"/>
  <c r="AH681" i="3"/>
  <c r="D681" i="3"/>
  <c r="F681" i="3" l="1"/>
  <c r="G681" i="3"/>
  <c r="V681" i="3"/>
  <c r="A682" i="3"/>
  <c r="B682" i="3" s="1"/>
  <c r="AD682" i="3" l="1"/>
  <c r="Z682" i="3"/>
  <c r="P682" i="3"/>
  <c r="Q682" i="3" s="1"/>
  <c r="R682" i="3" s="1"/>
  <c r="S682" i="3" s="1"/>
  <c r="AC682" i="3"/>
  <c r="AA682" i="3"/>
  <c r="I681" i="3"/>
  <c r="W681" i="3" s="1"/>
  <c r="J681" i="3"/>
  <c r="M681" i="3"/>
  <c r="N681" i="3" s="1"/>
  <c r="L681" i="3" l="1"/>
  <c r="T682" i="3"/>
  <c r="U681" i="3" l="1"/>
  <c r="E682" i="3" s="1"/>
  <c r="H682" i="3" s="1"/>
  <c r="AG682" i="3"/>
  <c r="AH682" i="3"/>
  <c r="Y680" i="3"/>
  <c r="D682" i="3" l="1"/>
  <c r="G682" i="3" s="1"/>
  <c r="K682" i="3"/>
  <c r="AE682" i="3" s="1"/>
  <c r="F682" i="3" l="1"/>
  <c r="V682" i="3"/>
  <c r="A683" i="3"/>
  <c r="B683" i="3" s="1"/>
  <c r="I682" i="3"/>
  <c r="J682" i="3"/>
  <c r="M682" i="3"/>
  <c r="N682" i="3" s="1"/>
  <c r="W682" i="3" l="1"/>
  <c r="L682" i="3"/>
  <c r="P683" i="3"/>
  <c r="Q683" i="3" s="1"/>
  <c r="R683" i="3" s="1"/>
  <c r="S683" i="3" s="1"/>
  <c r="AC683" i="3"/>
  <c r="AD683" i="3"/>
  <c r="AA683" i="3"/>
  <c r="Z683" i="3"/>
  <c r="U682" i="3" l="1"/>
  <c r="Y681" i="3"/>
  <c r="T683" i="3"/>
  <c r="E683" i="3" l="1"/>
  <c r="H683" i="3" s="1"/>
  <c r="K683" i="3" s="1"/>
  <c r="AE683" i="3" s="1"/>
  <c r="AH683" i="3"/>
  <c r="AG683" i="3"/>
  <c r="D683" i="3"/>
  <c r="F683" i="3" l="1"/>
  <c r="G683" i="3"/>
  <c r="V683" i="3"/>
  <c r="A684" i="3"/>
  <c r="B684" i="3" s="1"/>
  <c r="Z684" i="3" l="1"/>
  <c r="AA684" i="3"/>
  <c r="AC684" i="3"/>
  <c r="P684" i="3"/>
  <c r="Q684" i="3" s="1"/>
  <c r="R684" i="3" s="1"/>
  <c r="S684" i="3" s="1"/>
  <c r="I683" i="3"/>
  <c r="W683" i="3" s="1"/>
  <c r="J683" i="3"/>
  <c r="M683" i="3"/>
  <c r="N683" i="3" s="1"/>
  <c r="T684" i="3" l="1"/>
  <c r="L683" i="3"/>
  <c r="AH684" i="3" l="1"/>
  <c r="AG684" i="3"/>
  <c r="U683" i="3"/>
  <c r="D684" i="3" s="1"/>
  <c r="Y682" i="3"/>
  <c r="E684" i="3" l="1"/>
  <c r="H684" i="3" s="1"/>
  <c r="K684" i="3" s="1"/>
  <c r="AE684" i="3" s="1"/>
  <c r="G684" i="3"/>
  <c r="F684" i="3" l="1"/>
  <c r="V684" i="3"/>
  <c r="A685" i="3"/>
  <c r="B685" i="3" s="1"/>
  <c r="I684" i="3"/>
  <c r="J684" i="3"/>
  <c r="AD684" i="3" s="1"/>
  <c r="M684" i="3"/>
  <c r="N684" i="3" s="1"/>
  <c r="W684" i="3" l="1"/>
  <c r="L684" i="3"/>
  <c r="P685" i="3"/>
  <c r="Q685" i="3" s="1"/>
  <c r="R685" i="3" s="1"/>
  <c r="S685" i="3" s="1"/>
  <c r="Z685" i="3"/>
  <c r="AC685" i="3"/>
  <c r="AD685" i="3"/>
  <c r="AA685" i="3"/>
  <c r="U684" i="3" l="1"/>
  <c r="Y683" i="3"/>
  <c r="T685" i="3"/>
  <c r="AG685" i="3" s="1"/>
  <c r="D685" i="3" l="1"/>
  <c r="G685" i="3" s="1"/>
  <c r="E685" i="3"/>
  <c r="H685" i="3" s="1"/>
  <c r="AH685" i="3"/>
  <c r="F685" i="3" l="1"/>
  <c r="I685" i="3"/>
  <c r="J685" i="3"/>
  <c r="M685" i="3"/>
  <c r="N685" i="3" s="1"/>
  <c r="K685" i="3"/>
  <c r="AE685" i="3" s="1"/>
  <c r="V685" i="3" l="1"/>
  <c r="W685" i="3" s="1"/>
  <c r="A686" i="3"/>
  <c r="B686" i="3" s="1"/>
  <c r="L685" i="3"/>
  <c r="U685" i="3" l="1"/>
  <c r="Y684" i="3"/>
  <c r="AA686" i="3"/>
  <c r="AC686" i="3"/>
  <c r="AD686" i="3"/>
  <c r="P686" i="3"/>
  <c r="Q686" i="3" s="1"/>
  <c r="R686" i="3" s="1"/>
  <c r="S686" i="3" s="1"/>
  <c r="Z686" i="3"/>
  <c r="T686" i="3" l="1"/>
  <c r="D686" i="3" s="1"/>
  <c r="E686" i="3" l="1"/>
  <c r="H686" i="3" s="1"/>
  <c r="K686" i="3" s="1"/>
  <c r="AE686" i="3" s="1"/>
  <c r="AG686" i="3"/>
  <c r="AH686" i="3"/>
  <c r="G686" i="3"/>
  <c r="F686" i="3" l="1"/>
  <c r="V686" i="3"/>
  <c r="A687" i="3"/>
  <c r="B687" i="3" s="1"/>
  <c r="I686" i="3"/>
  <c r="J686" i="3"/>
  <c r="M686" i="3"/>
  <c r="N686" i="3" s="1"/>
  <c r="L686" i="3" l="1"/>
  <c r="W686" i="3"/>
  <c r="Z687" i="3"/>
  <c r="P687" i="3"/>
  <c r="Q687" i="3" s="1"/>
  <c r="R687" i="3" s="1"/>
  <c r="S687" i="3" s="1"/>
  <c r="AA687" i="3"/>
  <c r="AC687" i="3"/>
  <c r="U686" i="3" l="1"/>
  <c r="Y685" i="3"/>
  <c r="T687" i="3"/>
  <c r="AG687" i="3" s="1"/>
  <c r="AH687" i="3" l="1"/>
  <c r="D687" i="3"/>
  <c r="G687" i="3" s="1"/>
  <c r="E687" i="3"/>
  <c r="H687" i="3" s="1"/>
  <c r="K687" i="3" s="1"/>
  <c r="AE687" i="3" s="1"/>
  <c r="F687" i="3" l="1"/>
  <c r="I687" i="3"/>
  <c r="J687" i="3"/>
  <c r="AD687" i="3" s="1"/>
  <c r="M687" i="3"/>
  <c r="N687" i="3" s="1"/>
  <c r="V687" i="3"/>
  <c r="A688" i="3"/>
  <c r="B688" i="3" s="1"/>
  <c r="W687" i="3" l="1"/>
  <c r="L687" i="3"/>
  <c r="AC688" i="3"/>
  <c r="AA688" i="3"/>
  <c r="AD688" i="3"/>
  <c r="P688" i="3"/>
  <c r="Q688" i="3" s="1"/>
  <c r="R688" i="3" s="1"/>
  <c r="S688" i="3" s="1"/>
  <c r="Z688" i="3"/>
  <c r="U687" i="3" l="1"/>
  <c r="Y686" i="3"/>
  <c r="T688" i="3"/>
  <c r="AG688" i="3" s="1"/>
  <c r="E688" i="3" l="1"/>
  <c r="H688" i="3" s="1"/>
  <c r="K688" i="3" s="1"/>
  <c r="AE688" i="3" s="1"/>
  <c r="AH688" i="3"/>
  <c r="D688" i="3"/>
  <c r="F688" i="3" l="1"/>
  <c r="G688" i="3"/>
  <c r="V688" i="3"/>
  <c r="A689" i="3"/>
  <c r="B689" i="3" s="1"/>
  <c r="AA689" i="3" l="1"/>
  <c r="P689" i="3"/>
  <c r="Q689" i="3" s="1"/>
  <c r="R689" i="3" s="1"/>
  <c r="S689" i="3" s="1"/>
  <c r="Z689" i="3"/>
  <c r="AD689" i="3"/>
  <c r="AC689" i="3"/>
  <c r="I688" i="3"/>
  <c r="W688" i="3" s="1"/>
  <c r="J688" i="3"/>
  <c r="M688" i="3"/>
  <c r="N688" i="3" s="1"/>
  <c r="T689" i="3" l="1"/>
  <c r="L688" i="3"/>
  <c r="U688" i="3" l="1"/>
  <c r="D689" i="3" s="1"/>
  <c r="AG689" i="3"/>
  <c r="AH689" i="3"/>
  <c r="Y687" i="3"/>
  <c r="E689" i="3" l="1"/>
  <c r="H689" i="3" s="1"/>
  <c r="K689" i="3" s="1"/>
  <c r="AE689" i="3" s="1"/>
  <c r="G689" i="3"/>
  <c r="F689" i="3" l="1"/>
  <c r="I689" i="3"/>
  <c r="J689" i="3"/>
  <c r="M689" i="3"/>
  <c r="N689" i="3" s="1"/>
  <c r="V689" i="3"/>
  <c r="A690" i="3"/>
  <c r="B690" i="3" s="1"/>
  <c r="W689" i="3" l="1"/>
  <c r="L689" i="3"/>
  <c r="AA690" i="3"/>
  <c r="AC690" i="3"/>
  <c r="P690" i="3"/>
  <c r="Q690" i="3" s="1"/>
  <c r="R690" i="3" s="1"/>
  <c r="S690" i="3" s="1"/>
  <c r="AD690" i="3"/>
  <c r="Z690" i="3"/>
  <c r="U689" i="3" l="1"/>
  <c r="Y688" i="3"/>
  <c r="T690" i="3"/>
  <c r="AH690" i="3" s="1"/>
  <c r="D690" i="3" l="1"/>
  <c r="G690" i="3" s="1"/>
  <c r="E690" i="3"/>
  <c r="H690" i="3" s="1"/>
  <c r="K690" i="3" s="1"/>
  <c r="AE690" i="3" s="1"/>
  <c r="AG690" i="3"/>
  <c r="F690" i="3" l="1"/>
  <c r="I690" i="3"/>
  <c r="J690" i="3"/>
  <c r="M690" i="3"/>
  <c r="N690" i="3" s="1"/>
  <c r="V690" i="3"/>
  <c r="A691" i="3"/>
  <c r="B691" i="3" s="1"/>
  <c r="W690" i="3" l="1"/>
  <c r="L690" i="3"/>
  <c r="AA691" i="3"/>
  <c r="Z691" i="3"/>
  <c r="P691" i="3"/>
  <c r="Q691" i="3" s="1"/>
  <c r="R691" i="3" s="1"/>
  <c r="S691" i="3" s="1"/>
  <c r="AD691" i="3"/>
  <c r="AC691" i="3"/>
  <c r="T691" i="3" l="1"/>
  <c r="U690" i="3"/>
  <c r="Y689" i="3"/>
  <c r="D691" i="3" l="1"/>
  <c r="G691" i="3" s="1"/>
  <c r="AH691" i="3"/>
  <c r="E691" i="3"/>
  <c r="H691" i="3" s="1"/>
  <c r="AG691" i="3"/>
  <c r="F691" i="3" l="1"/>
  <c r="I691" i="3"/>
  <c r="J691" i="3"/>
  <c r="M691" i="3"/>
  <c r="N691" i="3" s="1"/>
  <c r="K691" i="3"/>
  <c r="AE691" i="3" s="1"/>
  <c r="V691" i="3" l="1"/>
  <c r="W691" i="3" s="1"/>
  <c r="A692" i="3"/>
  <c r="B692" i="3" s="1"/>
  <c r="L691" i="3"/>
  <c r="U691" i="3" l="1"/>
  <c r="Y690" i="3"/>
  <c r="AC692" i="3"/>
  <c r="AD692" i="3"/>
  <c r="AA692" i="3"/>
  <c r="Z692" i="3"/>
  <c r="P692" i="3"/>
  <c r="Q692" i="3" s="1"/>
  <c r="R692" i="3" s="1"/>
  <c r="S692" i="3" s="1"/>
  <c r="T692" i="3" l="1"/>
  <c r="E692" i="3" s="1"/>
  <c r="H692" i="3" s="1"/>
  <c r="D692" i="3" l="1"/>
  <c r="G692" i="3" s="1"/>
  <c r="AH692" i="3"/>
  <c r="K692" i="3"/>
  <c r="AE692" i="3" s="1"/>
  <c r="AG692" i="3"/>
  <c r="F692" i="3" l="1"/>
  <c r="I692" i="3"/>
  <c r="J692" i="3"/>
  <c r="M692" i="3"/>
  <c r="N692" i="3" s="1"/>
  <c r="V692" i="3"/>
  <c r="A693" i="3"/>
  <c r="B693" i="3" s="1"/>
  <c r="W692" i="3" l="1"/>
  <c r="L692" i="3"/>
  <c r="AC693" i="3"/>
  <c r="AA693" i="3"/>
  <c r="AD693" i="3"/>
  <c r="P693" i="3"/>
  <c r="Q693" i="3" s="1"/>
  <c r="R693" i="3" s="1"/>
  <c r="S693" i="3" s="1"/>
  <c r="Z693" i="3"/>
  <c r="U692" i="3" l="1"/>
  <c r="Y691" i="3"/>
  <c r="T693" i="3"/>
  <c r="AG693" i="3" s="1"/>
  <c r="D693" i="3" l="1"/>
  <c r="G693" i="3" s="1"/>
  <c r="E693" i="3"/>
  <c r="H693" i="3" s="1"/>
  <c r="K693" i="3" s="1"/>
  <c r="AE693" i="3" s="1"/>
  <c r="AH693" i="3"/>
  <c r="F693" i="3" l="1"/>
  <c r="V693" i="3"/>
  <c r="A694" i="3"/>
  <c r="B694" i="3" s="1"/>
  <c r="I693" i="3"/>
  <c r="J693" i="3"/>
  <c r="M693" i="3"/>
  <c r="N693" i="3" s="1"/>
  <c r="W693" i="3" l="1"/>
  <c r="L693" i="3"/>
  <c r="AA694" i="3"/>
  <c r="AC694" i="3"/>
  <c r="P694" i="3"/>
  <c r="Q694" i="3" s="1"/>
  <c r="R694" i="3" s="1"/>
  <c r="S694" i="3" s="1"/>
  <c r="Z694" i="3"/>
  <c r="U693" i="3" l="1"/>
  <c r="Y692" i="3"/>
  <c r="T694" i="3"/>
  <c r="AG694" i="3" s="1"/>
  <c r="E694" i="3" l="1"/>
  <c r="H694" i="3" s="1"/>
  <c r="K694" i="3" s="1"/>
  <c r="AE694" i="3" s="1"/>
  <c r="AH694" i="3"/>
  <c r="D694" i="3"/>
  <c r="G694" i="3" s="1"/>
  <c r="F694" i="3" l="1"/>
  <c r="I694" i="3"/>
  <c r="J694" i="3"/>
  <c r="AD694" i="3" s="1"/>
  <c r="M694" i="3"/>
  <c r="N694" i="3" s="1"/>
  <c r="V694" i="3"/>
  <c r="A695" i="3"/>
  <c r="B695" i="3" s="1"/>
  <c r="W694" i="3" l="1"/>
  <c r="L694" i="3"/>
  <c r="AD695" i="3"/>
  <c r="Z695" i="3"/>
  <c r="P695" i="3"/>
  <c r="Q695" i="3" s="1"/>
  <c r="R695" i="3" s="1"/>
  <c r="S695" i="3" s="1"/>
  <c r="AC695" i="3"/>
  <c r="AA695" i="3"/>
  <c r="U694" i="3" l="1"/>
  <c r="Y693" i="3"/>
  <c r="T695" i="3"/>
  <c r="E695" i="3" l="1"/>
  <c r="H695" i="3" s="1"/>
  <c r="K695" i="3" s="1"/>
  <c r="AE695" i="3" s="1"/>
  <c r="D695" i="3"/>
  <c r="AG695" i="3"/>
  <c r="AH695" i="3"/>
  <c r="V695" i="3" l="1"/>
  <c r="A696" i="3"/>
  <c r="B696" i="3" s="1"/>
  <c r="F695" i="3"/>
  <c r="G695" i="3"/>
  <c r="I695" i="3" l="1"/>
  <c r="W695" i="3" s="1"/>
  <c r="J695" i="3"/>
  <c r="M695" i="3"/>
  <c r="N695" i="3" s="1"/>
  <c r="AD696" i="3"/>
  <c r="AA696" i="3"/>
  <c r="Z696" i="3"/>
  <c r="P696" i="3"/>
  <c r="Q696" i="3" s="1"/>
  <c r="R696" i="3" s="1"/>
  <c r="S696" i="3" s="1"/>
  <c r="AC696" i="3"/>
  <c r="T696" i="3" l="1"/>
  <c r="L695" i="3"/>
  <c r="AH696" i="3" l="1"/>
  <c r="U695" i="3"/>
  <c r="D696" i="3" s="1"/>
  <c r="AG696" i="3"/>
  <c r="Y694" i="3"/>
  <c r="E696" i="3" l="1"/>
  <c r="H696" i="3" s="1"/>
  <c r="K696" i="3" s="1"/>
  <c r="AE696" i="3" s="1"/>
  <c r="G696" i="3"/>
  <c r="F696" i="3" l="1"/>
  <c r="V696" i="3"/>
  <c r="A697" i="3"/>
  <c r="B697" i="3" s="1"/>
  <c r="I696" i="3"/>
  <c r="J696" i="3"/>
  <c r="M696" i="3"/>
  <c r="N696" i="3" s="1"/>
  <c r="W696" i="3" l="1"/>
  <c r="P697" i="3"/>
  <c r="Q697" i="3" s="1"/>
  <c r="R697" i="3" s="1"/>
  <c r="S697" i="3" s="1"/>
  <c r="Z697" i="3"/>
  <c r="AA697" i="3"/>
  <c r="AC697" i="3"/>
  <c r="L696" i="3"/>
  <c r="U696" i="3" l="1"/>
  <c r="Y695" i="3"/>
  <c r="T697" i="3"/>
  <c r="E697" i="3" l="1"/>
  <c r="H697" i="3" s="1"/>
  <c r="K697" i="3" s="1"/>
  <c r="AE697" i="3" s="1"/>
  <c r="D697" i="3"/>
  <c r="AH697" i="3"/>
  <c r="AG697" i="3"/>
  <c r="F697" i="3" l="1"/>
  <c r="G697" i="3"/>
  <c r="M697" i="3" s="1"/>
  <c r="N697" i="3" s="1"/>
  <c r="V697" i="3"/>
  <c r="A698" i="3"/>
  <c r="B698" i="3" s="1"/>
  <c r="I697" i="3" l="1"/>
  <c r="W697" i="3" s="1"/>
  <c r="J697" i="3"/>
  <c r="AD698" i="3"/>
  <c r="AA698" i="3"/>
  <c r="Z698" i="3"/>
  <c r="AC698" i="3"/>
  <c r="P698" i="3"/>
  <c r="Q698" i="3" s="1"/>
  <c r="R698" i="3" s="1"/>
  <c r="S698" i="3" s="1"/>
  <c r="L697" i="3" l="1"/>
  <c r="AD697" i="3"/>
  <c r="U697" i="3"/>
  <c r="Y696" i="3"/>
  <c r="T698" i="3"/>
  <c r="AG698" i="3" s="1"/>
  <c r="E698" i="3" l="1"/>
  <c r="H698" i="3" s="1"/>
  <c r="K698" i="3" s="1"/>
  <c r="AE698" i="3" s="1"/>
  <c r="AH698" i="3"/>
  <c r="D698" i="3"/>
  <c r="F698" i="3" l="1"/>
  <c r="G698" i="3"/>
  <c r="J698" i="3" s="1"/>
  <c r="V698" i="3"/>
  <c r="A699" i="3"/>
  <c r="B699" i="3" s="1"/>
  <c r="M698" i="3" l="1"/>
  <c r="N698" i="3" s="1"/>
  <c r="I698" i="3"/>
  <c r="W698" i="3" s="1"/>
  <c r="L698" i="3"/>
  <c r="Z699" i="3"/>
  <c r="P699" i="3"/>
  <c r="Q699" i="3" s="1"/>
  <c r="R699" i="3" s="1"/>
  <c r="S699" i="3" s="1"/>
  <c r="AA699" i="3"/>
  <c r="AD699" i="3"/>
  <c r="AC699" i="3"/>
  <c r="T699" i="3" l="1"/>
  <c r="U698" i="3"/>
  <c r="Y697" i="3"/>
  <c r="D699" i="3" l="1"/>
  <c r="G699" i="3" s="1"/>
  <c r="AG699" i="3"/>
  <c r="AH699" i="3"/>
  <c r="E699" i="3"/>
  <c r="H699" i="3" s="1"/>
  <c r="K699" i="3" l="1"/>
  <c r="AE699" i="3" s="1"/>
  <c r="I699" i="3"/>
  <c r="J699" i="3"/>
  <c r="M699" i="3"/>
  <c r="N699" i="3" s="1"/>
  <c r="F699" i="3"/>
  <c r="L699" i="3" l="1"/>
  <c r="V699" i="3"/>
  <c r="W699" i="3" s="1"/>
  <c r="A700" i="3"/>
  <c r="B700" i="3" s="1"/>
  <c r="U699" i="3" l="1"/>
  <c r="Y698" i="3"/>
  <c r="Z700" i="3"/>
  <c r="P700" i="3"/>
  <c r="Q700" i="3" s="1"/>
  <c r="R700" i="3" s="1"/>
  <c r="S700" i="3" s="1"/>
  <c r="AD700" i="3"/>
  <c r="AC700" i="3"/>
  <c r="AA700" i="3"/>
  <c r="T700" i="3" l="1"/>
  <c r="D700" i="3" s="1"/>
  <c r="AH700" i="3" l="1"/>
  <c r="AG700" i="3"/>
  <c r="E700" i="3"/>
  <c r="H700" i="3" s="1"/>
  <c r="K700" i="3" s="1"/>
  <c r="AE700" i="3" s="1"/>
  <c r="G700" i="3"/>
  <c r="F700" i="3" l="1"/>
  <c r="I700" i="3"/>
  <c r="J700" i="3"/>
  <c r="M700" i="3"/>
  <c r="N700" i="3" s="1"/>
  <c r="V700" i="3"/>
  <c r="A701" i="3"/>
  <c r="B701" i="3" s="1"/>
  <c r="W700" i="3" l="1"/>
  <c r="L700" i="3"/>
  <c r="AC701" i="3"/>
  <c r="AA701" i="3"/>
  <c r="Z701" i="3"/>
  <c r="P701" i="3"/>
  <c r="Q701" i="3" s="1"/>
  <c r="R701" i="3" s="1"/>
  <c r="S701" i="3" s="1"/>
  <c r="AD701" i="3"/>
  <c r="U700" i="3" l="1"/>
  <c r="Y699" i="3"/>
  <c r="T701" i="3"/>
  <c r="AG701" i="3" s="1"/>
  <c r="AH701" i="3" l="1"/>
  <c r="E701" i="3"/>
  <c r="H701" i="3" s="1"/>
  <c r="D701" i="3"/>
  <c r="F701" i="3" l="1"/>
  <c r="G701" i="3"/>
  <c r="K701" i="3"/>
  <c r="AE701" i="3" s="1"/>
  <c r="I701" i="3" l="1"/>
  <c r="J701" i="3"/>
  <c r="M701" i="3"/>
  <c r="N701" i="3" s="1"/>
  <c r="V701" i="3"/>
  <c r="A702" i="3"/>
  <c r="B702" i="3" s="1"/>
  <c r="W701" i="3" l="1"/>
  <c r="L701" i="3"/>
  <c r="AC702" i="3"/>
  <c r="AD702" i="3"/>
  <c r="P702" i="3"/>
  <c r="Q702" i="3" s="1"/>
  <c r="R702" i="3" s="1"/>
  <c r="S702" i="3" s="1"/>
  <c r="Z702" i="3"/>
  <c r="AA702" i="3"/>
  <c r="U701" i="3" l="1"/>
  <c r="Y700" i="3"/>
  <c r="T702" i="3"/>
  <c r="AH702" i="3" s="1"/>
  <c r="D702" i="3" l="1"/>
  <c r="G702" i="3" s="1"/>
  <c r="E702" i="3"/>
  <c r="H702" i="3" s="1"/>
  <c r="K702" i="3" s="1"/>
  <c r="AE702" i="3" s="1"/>
  <c r="AG702" i="3"/>
  <c r="F702" i="3" l="1"/>
  <c r="V702" i="3"/>
  <c r="A703" i="3"/>
  <c r="B703" i="3" s="1"/>
  <c r="I702" i="3"/>
  <c r="J702" i="3"/>
  <c r="M702" i="3"/>
  <c r="N702" i="3" s="1"/>
  <c r="W702" i="3" l="1"/>
  <c r="L702" i="3"/>
  <c r="AC703" i="3"/>
  <c r="AD703" i="3"/>
  <c r="P703" i="3"/>
  <c r="Q703" i="3" s="1"/>
  <c r="R703" i="3" s="1"/>
  <c r="S703" i="3" s="1"/>
  <c r="AA703" i="3"/>
  <c r="Z703" i="3"/>
  <c r="T703" i="3" l="1"/>
  <c r="AH703" i="3" s="1"/>
  <c r="U702" i="3"/>
  <c r="Y701" i="3"/>
  <c r="E703" i="3" l="1"/>
  <c r="H703" i="3" s="1"/>
  <c r="K703" i="3" s="1"/>
  <c r="AE703" i="3" s="1"/>
  <c r="AG703" i="3"/>
  <c r="D703" i="3"/>
  <c r="F703" i="3" l="1"/>
  <c r="G703" i="3"/>
  <c r="V703" i="3"/>
  <c r="A704" i="3"/>
  <c r="B704" i="3" s="1"/>
  <c r="P704" i="3" l="1"/>
  <c r="Q704" i="3" s="1"/>
  <c r="R704" i="3" s="1"/>
  <c r="S704" i="3" s="1"/>
  <c r="AC704" i="3"/>
  <c r="Z704" i="3"/>
  <c r="AA704" i="3"/>
  <c r="I703" i="3"/>
  <c r="W703" i="3" s="1"/>
  <c r="J703" i="3"/>
  <c r="M703" i="3"/>
  <c r="N703" i="3" s="1"/>
  <c r="T704" i="3" l="1"/>
  <c r="L703" i="3"/>
  <c r="U703" i="3" l="1"/>
  <c r="D704" i="3" s="1"/>
  <c r="AG704" i="3"/>
  <c r="AH704" i="3"/>
  <c r="Y702" i="3"/>
  <c r="G704" i="3" l="1"/>
  <c r="E704" i="3"/>
  <c r="H704" i="3" s="1"/>
  <c r="F704" i="3" l="1"/>
  <c r="I704" i="3"/>
  <c r="J704" i="3"/>
  <c r="AD704" i="3" s="1"/>
  <c r="M704" i="3"/>
  <c r="N704" i="3" s="1"/>
  <c r="K704" i="3"/>
  <c r="AE704" i="3" s="1"/>
  <c r="V704" i="3" l="1"/>
  <c r="W704" i="3" s="1"/>
  <c r="A705" i="3"/>
  <c r="B705" i="3" s="1"/>
  <c r="L704" i="3"/>
  <c r="U704" i="3" l="1"/>
  <c r="Y703" i="3"/>
  <c r="Z705" i="3"/>
  <c r="P705" i="3"/>
  <c r="Q705" i="3" s="1"/>
  <c r="R705" i="3" s="1"/>
  <c r="S705" i="3" s="1"/>
  <c r="AC705" i="3"/>
  <c r="AA705" i="3"/>
  <c r="AD705" i="3"/>
  <c r="T705" i="3" l="1"/>
  <c r="AH705" i="3" s="1"/>
  <c r="AG705" i="3" l="1"/>
  <c r="D705" i="3"/>
  <c r="E705" i="3"/>
  <c r="H705" i="3" s="1"/>
  <c r="F705" i="3" l="1"/>
  <c r="G705" i="3"/>
  <c r="K705" i="3"/>
  <c r="AE705" i="3" s="1"/>
  <c r="I705" i="3" l="1"/>
  <c r="J705" i="3"/>
  <c r="M705" i="3"/>
  <c r="N705" i="3" s="1"/>
  <c r="V705" i="3"/>
  <c r="A706" i="3"/>
  <c r="B706" i="3" s="1"/>
  <c r="W705" i="3" l="1"/>
  <c r="L705" i="3"/>
  <c r="P706" i="3"/>
  <c r="Q706" i="3" s="1"/>
  <c r="R706" i="3" s="1"/>
  <c r="S706" i="3" s="1"/>
  <c r="AA706" i="3"/>
  <c r="AC706" i="3"/>
  <c r="Z706" i="3"/>
  <c r="AD706" i="3"/>
  <c r="U705" i="3" l="1"/>
  <c r="Y704" i="3"/>
  <c r="T706" i="3"/>
  <c r="AH706" i="3" s="1"/>
  <c r="E706" i="3" l="1"/>
  <c r="H706" i="3" s="1"/>
  <c r="D706" i="3"/>
  <c r="AG706" i="3"/>
  <c r="K706" i="3" l="1"/>
  <c r="AE706" i="3" s="1"/>
  <c r="F706" i="3"/>
  <c r="G706" i="3"/>
  <c r="I706" i="3" l="1"/>
  <c r="J706" i="3"/>
  <c r="M706" i="3"/>
  <c r="N706" i="3" s="1"/>
  <c r="V706" i="3"/>
  <c r="A707" i="3"/>
  <c r="B707" i="3" s="1"/>
  <c r="W706" i="3" l="1"/>
  <c r="P707" i="3"/>
  <c r="Q707" i="3" s="1"/>
  <c r="R707" i="3" s="1"/>
  <c r="S707" i="3" s="1"/>
  <c r="Z707" i="3"/>
  <c r="AC707" i="3"/>
  <c r="AA707" i="3"/>
  <c r="L706" i="3"/>
  <c r="T707" i="3" l="1"/>
  <c r="AG707" i="3" s="1"/>
  <c r="U706" i="3"/>
  <c r="Y705" i="3"/>
  <c r="E707" i="3" l="1"/>
  <c r="H707" i="3" s="1"/>
  <c r="K707" i="3" s="1"/>
  <c r="AE707" i="3" s="1"/>
  <c r="D707" i="3"/>
  <c r="AH707" i="3"/>
  <c r="V707" i="3" l="1"/>
  <c r="A708" i="3"/>
  <c r="B708" i="3" s="1"/>
  <c r="F707" i="3"/>
  <c r="G707" i="3"/>
  <c r="I707" i="3" l="1"/>
  <c r="W707" i="3" s="1"/>
  <c r="J707" i="3"/>
  <c r="AD707" i="3" s="1"/>
  <c r="M707" i="3"/>
  <c r="N707" i="3" s="1"/>
  <c r="AD708" i="3"/>
  <c r="P708" i="3"/>
  <c r="Q708" i="3" s="1"/>
  <c r="R708" i="3" s="1"/>
  <c r="S708" i="3" s="1"/>
  <c r="AC708" i="3"/>
  <c r="Z708" i="3"/>
  <c r="AA708" i="3"/>
  <c r="T708" i="3" l="1"/>
  <c r="L707" i="3"/>
  <c r="U707" i="3" l="1"/>
  <c r="D708" i="3" s="1"/>
  <c r="AG708" i="3"/>
  <c r="AH708" i="3"/>
  <c r="Y706" i="3"/>
  <c r="E708" i="3" l="1"/>
  <c r="H708" i="3" s="1"/>
  <c r="K708" i="3" s="1"/>
  <c r="AE708" i="3" s="1"/>
  <c r="G708" i="3"/>
  <c r="F708" i="3" l="1"/>
  <c r="I708" i="3"/>
  <c r="J708" i="3"/>
  <c r="M708" i="3"/>
  <c r="N708" i="3" s="1"/>
  <c r="V708" i="3"/>
  <c r="A709" i="3"/>
  <c r="B709" i="3" s="1"/>
  <c r="W708" i="3" l="1"/>
  <c r="L708" i="3"/>
  <c r="Z709" i="3"/>
  <c r="AA709" i="3"/>
  <c r="AD709" i="3"/>
  <c r="P709" i="3"/>
  <c r="Q709" i="3" s="1"/>
  <c r="R709" i="3" s="1"/>
  <c r="S709" i="3" s="1"/>
  <c r="AC709" i="3"/>
  <c r="U708" i="3" l="1"/>
  <c r="Y707" i="3"/>
  <c r="T709" i="3"/>
  <c r="AG709" i="3" s="1"/>
  <c r="AH709" i="3" l="1"/>
  <c r="E709" i="3"/>
  <c r="H709" i="3" s="1"/>
  <c r="D709" i="3"/>
  <c r="F709" i="3" l="1"/>
  <c r="G709" i="3"/>
  <c r="K709" i="3"/>
  <c r="AE709" i="3" s="1"/>
  <c r="V709" i="3" l="1"/>
  <c r="A710" i="3"/>
  <c r="B710" i="3" s="1"/>
  <c r="I709" i="3"/>
  <c r="J709" i="3"/>
  <c r="M709" i="3"/>
  <c r="N709" i="3" s="1"/>
  <c r="W709" i="3" l="1"/>
  <c r="L709" i="3"/>
  <c r="AD710" i="3"/>
  <c r="AC710" i="3"/>
  <c r="Z710" i="3"/>
  <c r="AA710" i="3"/>
  <c r="P710" i="3"/>
  <c r="Q710" i="3" s="1"/>
  <c r="R710" i="3" s="1"/>
  <c r="S710" i="3" s="1"/>
  <c r="U709" i="3" l="1"/>
  <c r="Y708" i="3"/>
  <c r="T710" i="3"/>
  <c r="AH710" i="3" s="1"/>
  <c r="D710" i="3" l="1"/>
  <c r="E710" i="3"/>
  <c r="H710" i="3" s="1"/>
  <c r="AG710" i="3"/>
  <c r="F710" i="3" l="1"/>
  <c r="G710" i="3"/>
  <c r="K710" i="3"/>
  <c r="AE710" i="3" s="1"/>
  <c r="I710" i="3" l="1"/>
  <c r="J710" i="3"/>
  <c r="M710" i="3"/>
  <c r="N710" i="3" s="1"/>
  <c r="V710" i="3"/>
  <c r="A711" i="3"/>
  <c r="B711" i="3" s="1"/>
  <c r="W710" i="3" l="1"/>
  <c r="L710" i="3"/>
  <c r="AA711" i="3"/>
  <c r="AC711" i="3"/>
  <c r="Z711" i="3"/>
  <c r="AD711" i="3"/>
  <c r="P711" i="3"/>
  <c r="Q711" i="3" s="1"/>
  <c r="R711" i="3" s="1"/>
  <c r="S711" i="3" s="1"/>
  <c r="T711" i="3" l="1"/>
  <c r="U710" i="3"/>
  <c r="Y709" i="3"/>
  <c r="D711" i="3" l="1"/>
  <c r="G711" i="3" s="1"/>
  <c r="E711" i="3"/>
  <c r="H711" i="3" s="1"/>
  <c r="AH711" i="3"/>
  <c r="AG711" i="3"/>
  <c r="F711" i="3" l="1"/>
  <c r="K711" i="3"/>
  <c r="AE711" i="3" s="1"/>
  <c r="I711" i="3"/>
  <c r="J711" i="3"/>
  <c r="M711" i="3"/>
  <c r="N711" i="3" s="1"/>
  <c r="L711" i="3" l="1"/>
  <c r="V711" i="3"/>
  <c r="W711" i="3" s="1"/>
  <c r="A712" i="3"/>
  <c r="B712" i="3" s="1"/>
  <c r="AC712" i="3" l="1"/>
  <c r="AD712" i="3"/>
  <c r="P712" i="3"/>
  <c r="Q712" i="3" s="1"/>
  <c r="R712" i="3" s="1"/>
  <c r="S712" i="3" s="1"/>
  <c r="AA712" i="3"/>
  <c r="Z712" i="3"/>
  <c r="U711" i="3"/>
  <c r="Y710" i="3"/>
  <c r="T712" i="3" l="1"/>
  <c r="AG712" i="3" l="1"/>
  <c r="D712" i="3"/>
  <c r="E712" i="3"/>
  <c r="H712" i="3" s="1"/>
  <c r="AH712" i="3"/>
  <c r="K712" i="3" l="1"/>
  <c r="AE712" i="3" s="1"/>
  <c r="F712" i="3"/>
  <c r="G712" i="3"/>
  <c r="V712" i="3" l="1"/>
  <c r="A713" i="3"/>
  <c r="B713" i="3" s="1"/>
  <c r="I712" i="3"/>
  <c r="J712" i="3"/>
  <c r="M712" i="3"/>
  <c r="N712" i="3" s="1"/>
  <c r="W712" i="3" l="1"/>
  <c r="L712" i="3"/>
  <c r="Z713" i="3"/>
  <c r="P713" i="3"/>
  <c r="Q713" i="3" s="1"/>
  <c r="R713" i="3" s="1"/>
  <c r="S713" i="3" s="1"/>
  <c r="AC713" i="3"/>
  <c r="AD713" i="3"/>
  <c r="AA713" i="3"/>
  <c r="T713" i="3" l="1"/>
  <c r="AH713" i="3" s="1"/>
  <c r="U712" i="3"/>
  <c r="Y711" i="3"/>
  <c r="D713" i="3" l="1"/>
  <c r="AG713" i="3"/>
  <c r="E713" i="3"/>
  <c r="H713" i="3" s="1"/>
  <c r="F713" i="3" l="1"/>
  <c r="G713" i="3"/>
  <c r="M713" i="3" s="1"/>
  <c r="N713" i="3" s="1"/>
  <c r="K713" i="3"/>
  <c r="AE713" i="3" s="1"/>
  <c r="I713" i="3" l="1"/>
  <c r="J713" i="3"/>
  <c r="L713" i="3" s="1"/>
  <c r="V713" i="3"/>
  <c r="A714" i="3"/>
  <c r="B714" i="3" s="1"/>
  <c r="W713" i="3" l="1"/>
  <c r="U713" i="3"/>
  <c r="Y712" i="3"/>
  <c r="AA714" i="3"/>
  <c r="P714" i="3"/>
  <c r="Q714" i="3" s="1"/>
  <c r="R714" i="3" s="1"/>
  <c r="S714" i="3" s="1"/>
  <c r="Z714" i="3"/>
  <c r="AC714" i="3"/>
  <c r="T714" i="3" l="1"/>
  <c r="AH714" i="3" s="1"/>
  <c r="D714" i="3" l="1"/>
  <c r="G714" i="3" s="1"/>
  <c r="E714" i="3"/>
  <c r="H714" i="3" s="1"/>
  <c r="K714" i="3" s="1"/>
  <c r="AE714" i="3" s="1"/>
  <c r="AG714" i="3"/>
  <c r="F714" i="3" l="1"/>
  <c r="V714" i="3"/>
  <c r="A715" i="3"/>
  <c r="B715" i="3" s="1"/>
  <c r="I714" i="3"/>
  <c r="J714" i="3"/>
  <c r="AD714" i="3" s="1"/>
  <c r="M714" i="3"/>
  <c r="N714" i="3" s="1"/>
  <c r="L714" i="3" l="1"/>
  <c r="W714" i="3"/>
  <c r="AC715" i="3"/>
  <c r="P715" i="3"/>
  <c r="Q715" i="3" s="1"/>
  <c r="R715" i="3" s="1"/>
  <c r="S715" i="3" s="1"/>
  <c r="Z715" i="3"/>
  <c r="AA715" i="3"/>
  <c r="AD715" i="3"/>
  <c r="U714" i="3" l="1"/>
  <c r="Y713" i="3"/>
  <c r="T715" i="3"/>
  <c r="AG715" i="3" s="1"/>
  <c r="AH715" i="3" l="1"/>
  <c r="D715" i="3"/>
  <c r="G715" i="3" s="1"/>
  <c r="E715" i="3"/>
  <c r="H715" i="3" s="1"/>
  <c r="F715" i="3" l="1"/>
  <c r="I715" i="3"/>
  <c r="J715" i="3"/>
  <c r="M715" i="3"/>
  <c r="N715" i="3" s="1"/>
  <c r="K715" i="3"/>
  <c r="AE715" i="3" s="1"/>
  <c r="V715" i="3" l="1"/>
  <c r="W715" i="3" s="1"/>
  <c r="A716" i="3"/>
  <c r="B716" i="3" s="1"/>
  <c r="L715" i="3"/>
  <c r="U715" i="3" l="1"/>
  <c r="Y714" i="3"/>
  <c r="AC716" i="3"/>
  <c r="Z716" i="3"/>
  <c r="P716" i="3"/>
  <c r="Q716" i="3" s="1"/>
  <c r="R716" i="3" s="1"/>
  <c r="S716" i="3" s="1"/>
  <c r="AA716" i="3"/>
  <c r="AD716" i="3"/>
  <c r="T716" i="3" l="1"/>
  <c r="D716" i="3" s="1"/>
  <c r="E716" i="3" l="1"/>
  <c r="H716" i="3" s="1"/>
  <c r="K716" i="3" s="1"/>
  <c r="AE716" i="3" s="1"/>
  <c r="AH716" i="3"/>
  <c r="AG716" i="3"/>
  <c r="G716" i="3"/>
  <c r="F716" i="3" l="1"/>
  <c r="I716" i="3"/>
  <c r="J716" i="3"/>
  <c r="M716" i="3"/>
  <c r="N716" i="3" s="1"/>
  <c r="V716" i="3"/>
  <c r="A717" i="3"/>
  <c r="B717" i="3" s="1"/>
  <c r="W716" i="3" l="1"/>
  <c r="L716" i="3"/>
  <c r="AC717" i="3"/>
  <c r="P717" i="3"/>
  <c r="Q717" i="3" s="1"/>
  <c r="R717" i="3" s="1"/>
  <c r="S717" i="3" s="1"/>
  <c r="Z717" i="3"/>
  <c r="AA717" i="3"/>
  <c r="U716" i="3" l="1"/>
  <c r="Y715" i="3"/>
  <c r="T717" i="3"/>
  <c r="AG717" i="3" s="1"/>
  <c r="E717" i="3" l="1"/>
  <c r="H717" i="3" s="1"/>
  <c r="K717" i="3" s="1"/>
  <c r="AE717" i="3" s="1"/>
  <c r="AH717" i="3"/>
  <c r="D717" i="3"/>
  <c r="V717" i="3" l="1"/>
  <c r="A718" i="3"/>
  <c r="B718" i="3" s="1"/>
  <c r="F717" i="3"/>
  <c r="G717" i="3"/>
  <c r="I717" i="3" l="1"/>
  <c r="W717" i="3" s="1"/>
  <c r="J717" i="3"/>
  <c r="AD717" i="3" s="1"/>
  <c r="M717" i="3"/>
  <c r="N717" i="3" s="1"/>
  <c r="P718" i="3"/>
  <c r="Q718" i="3" s="1"/>
  <c r="R718" i="3" s="1"/>
  <c r="S718" i="3" s="1"/>
  <c r="AC718" i="3"/>
  <c r="Z718" i="3"/>
  <c r="AD718" i="3"/>
  <c r="AA718" i="3"/>
  <c r="L717" i="3" l="1"/>
  <c r="T718" i="3"/>
  <c r="U717" i="3" l="1"/>
  <c r="E718" i="3" s="1"/>
  <c r="H718" i="3" s="1"/>
  <c r="AH718" i="3"/>
  <c r="AG718" i="3"/>
  <c r="Y716" i="3"/>
  <c r="K718" i="3" l="1"/>
  <c r="AE718" i="3" s="1"/>
  <c r="D718" i="3"/>
  <c r="V718" i="3" l="1"/>
  <c r="A719" i="3"/>
  <c r="B719" i="3" s="1"/>
  <c r="F718" i="3"/>
  <c r="G718" i="3"/>
  <c r="I718" i="3" l="1"/>
  <c r="W718" i="3" s="1"/>
  <c r="J718" i="3"/>
  <c r="M718" i="3"/>
  <c r="N718" i="3" s="1"/>
  <c r="AD719" i="3"/>
  <c r="Z719" i="3"/>
  <c r="P719" i="3"/>
  <c r="Q719" i="3" s="1"/>
  <c r="R719" i="3" s="1"/>
  <c r="S719" i="3" s="1"/>
  <c r="AA719" i="3"/>
  <c r="AC719" i="3"/>
  <c r="T719" i="3" l="1"/>
  <c r="L718" i="3"/>
  <c r="AG719" i="3" l="1"/>
  <c r="AH719" i="3"/>
  <c r="U718" i="3"/>
  <c r="E719" i="3" s="1"/>
  <c r="H719" i="3" s="1"/>
  <c r="Y717" i="3"/>
  <c r="D719" i="3" l="1"/>
  <c r="G719" i="3" s="1"/>
  <c r="K719" i="3"/>
  <c r="AE719" i="3" s="1"/>
  <c r="F719" i="3" l="1"/>
  <c r="I719" i="3"/>
  <c r="J719" i="3"/>
  <c r="M719" i="3"/>
  <c r="N719" i="3" s="1"/>
  <c r="V719" i="3"/>
  <c r="A720" i="3"/>
  <c r="B720" i="3" s="1"/>
  <c r="W719" i="3" l="1"/>
  <c r="L719" i="3"/>
  <c r="P720" i="3"/>
  <c r="Q720" i="3" s="1"/>
  <c r="R720" i="3" s="1"/>
  <c r="S720" i="3" s="1"/>
  <c r="AA720" i="3"/>
  <c r="AC720" i="3"/>
  <c r="Z720" i="3"/>
  <c r="AD720" i="3"/>
  <c r="U719" i="3" l="1"/>
  <c r="Y718" i="3"/>
  <c r="T720" i="3"/>
  <c r="AG720" i="3" s="1"/>
  <c r="E720" i="3" l="1"/>
  <c r="H720" i="3" s="1"/>
  <c r="K720" i="3" s="1"/>
  <c r="AE720" i="3" s="1"/>
  <c r="D720" i="3"/>
  <c r="AH720" i="3"/>
  <c r="V720" i="3" l="1"/>
  <c r="A721" i="3"/>
  <c r="B721" i="3" s="1"/>
  <c r="F720" i="3"/>
  <c r="G720" i="3"/>
  <c r="I720" i="3" l="1"/>
  <c r="W720" i="3" s="1"/>
  <c r="J720" i="3"/>
  <c r="M720" i="3"/>
  <c r="N720" i="3" s="1"/>
  <c r="AD721" i="3"/>
  <c r="AA721" i="3"/>
  <c r="Z721" i="3"/>
  <c r="AC721" i="3"/>
  <c r="P721" i="3"/>
  <c r="Q721" i="3" s="1"/>
  <c r="R721" i="3" s="1"/>
  <c r="S721" i="3" s="1"/>
  <c r="T721" i="3" l="1"/>
  <c r="L720" i="3"/>
  <c r="AG721" i="3" l="1"/>
  <c r="U720" i="3"/>
  <c r="D721" i="3" s="1"/>
  <c r="AH721" i="3"/>
  <c r="Y719" i="3"/>
  <c r="G721" i="3" l="1"/>
  <c r="E721" i="3"/>
  <c r="H721" i="3" s="1"/>
  <c r="F721" i="3" l="1"/>
  <c r="I721" i="3"/>
  <c r="J721" i="3"/>
  <c r="M721" i="3"/>
  <c r="N721" i="3" s="1"/>
  <c r="K721" i="3"/>
  <c r="AE721" i="3" s="1"/>
  <c r="V721" i="3" l="1"/>
  <c r="W721" i="3" s="1"/>
  <c r="A722" i="3"/>
  <c r="B722" i="3" s="1"/>
  <c r="L721" i="3"/>
  <c r="U721" i="3" l="1"/>
  <c r="Y720" i="3"/>
  <c r="AA722" i="3"/>
  <c r="AC722" i="3"/>
  <c r="P722" i="3"/>
  <c r="Q722" i="3" s="1"/>
  <c r="R722" i="3" s="1"/>
  <c r="S722" i="3" s="1"/>
  <c r="Z722" i="3"/>
  <c r="AD722" i="3"/>
  <c r="T722" i="3" l="1"/>
  <c r="AH722" i="3" s="1"/>
  <c r="E722" i="3" l="1"/>
  <c r="H722" i="3" s="1"/>
  <c r="K722" i="3" s="1"/>
  <c r="AE722" i="3" s="1"/>
  <c r="D722" i="3"/>
  <c r="AG722" i="3"/>
  <c r="V722" i="3" l="1"/>
  <c r="A723" i="3"/>
  <c r="B723" i="3" s="1"/>
  <c r="F722" i="3"/>
  <c r="G722" i="3"/>
  <c r="I722" i="3" l="1"/>
  <c r="W722" i="3" s="1"/>
  <c r="J722" i="3"/>
  <c r="M722" i="3"/>
  <c r="N722" i="3" s="1"/>
  <c r="Z723" i="3"/>
  <c r="AA723" i="3"/>
  <c r="AC723" i="3"/>
  <c r="P723" i="3"/>
  <c r="Q723" i="3" s="1"/>
  <c r="R723" i="3" s="1"/>
  <c r="S723" i="3" s="1"/>
  <c r="AD723" i="3"/>
  <c r="T723" i="3" l="1"/>
  <c r="L722" i="3"/>
  <c r="U722" i="3" l="1"/>
  <c r="E723" i="3" s="1"/>
  <c r="H723" i="3" s="1"/>
  <c r="AG723" i="3"/>
  <c r="AH723" i="3"/>
  <c r="Y721" i="3"/>
  <c r="D723" i="3" l="1"/>
  <c r="G723" i="3" s="1"/>
  <c r="K723" i="3"/>
  <c r="AE723" i="3" s="1"/>
  <c r="F723" i="3" l="1"/>
  <c r="V723" i="3"/>
  <c r="A724" i="3"/>
  <c r="B724" i="3" s="1"/>
  <c r="I723" i="3"/>
  <c r="J723" i="3"/>
  <c r="M723" i="3"/>
  <c r="N723" i="3" s="1"/>
  <c r="W723" i="3" l="1"/>
  <c r="L723" i="3"/>
  <c r="AA724" i="3"/>
  <c r="Z724" i="3"/>
  <c r="AC724" i="3"/>
  <c r="P724" i="3"/>
  <c r="Q724" i="3" s="1"/>
  <c r="R724" i="3" s="1"/>
  <c r="S724" i="3" s="1"/>
  <c r="T724" i="3" l="1"/>
  <c r="AH724" i="3" s="1"/>
  <c r="U723" i="3"/>
  <c r="Y722" i="3"/>
  <c r="D724" i="3" l="1"/>
  <c r="E724" i="3"/>
  <c r="H724" i="3" s="1"/>
  <c r="AG724" i="3"/>
  <c r="K724" i="3" l="1"/>
  <c r="AE724" i="3" s="1"/>
  <c r="F724" i="3"/>
  <c r="G724" i="3"/>
  <c r="I724" i="3" l="1"/>
  <c r="J724" i="3"/>
  <c r="AD724" i="3" s="1"/>
  <c r="M724" i="3"/>
  <c r="N724" i="3" s="1"/>
  <c r="V724" i="3"/>
  <c r="A725" i="3"/>
  <c r="B725" i="3" s="1"/>
  <c r="W724" i="3" l="1"/>
  <c r="L724" i="3"/>
  <c r="AC725" i="3"/>
  <c r="P725" i="3"/>
  <c r="Q725" i="3" s="1"/>
  <c r="R725" i="3" s="1"/>
  <c r="S725" i="3" s="1"/>
  <c r="Z725" i="3"/>
  <c r="AA725" i="3"/>
  <c r="AD725" i="3"/>
  <c r="U724" i="3" l="1"/>
  <c r="Y723" i="3"/>
  <c r="T725" i="3"/>
  <c r="AG725" i="3" s="1"/>
  <c r="AH725" i="3" l="1"/>
  <c r="D725" i="3"/>
  <c r="G725" i="3" s="1"/>
  <c r="E725" i="3"/>
  <c r="H725" i="3" s="1"/>
  <c r="F725" i="3" l="1"/>
  <c r="I725" i="3"/>
  <c r="J725" i="3"/>
  <c r="M725" i="3"/>
  <c r="N725" i="3" s="1"/>
  <c r="K725" i="3"/>
  <c r="AE725" i="3" s="1"/>
  <c r="V725" i="3" l="1"/>
  <c r="W725" i="3" s="1"/>
  <c r="A726" i="3"/>
  <c r="B726" i="3" s="1"/>
  <c r="L725" i="3"/>
  <c r="U725" i="3" l="1"/>
  <c r="Y724" i="3"/>
  <c r="Z726" i="3"/>
  <c r="P726" i="3"/>
  <c r="Q726" i="3" s="1"/>
  <c r="R726" i="3" s="1"/>
  <c r="S726" i="3" s="1"/>
  <c r="AA726" i="3"/>
  <c r="AD726" i="3"/>
  <c r="AC726" i="3"/>
  <c r="T726" i="3" l="1"/>
  <c r="AG726" i="3" s="1"/>
  <c r="D726" i="3" l="1"/>
  <c r="G726" i="3" s="1"/>
  <c r="E726" i="3"/>
  <c r="H726" i="3" s="1"/>
  <c r="K726" i="3" s="1"/>
  <c r="AE726" i="3" s="1"/>
  <c r="AH726" i="3"/>
  <c r="F726" i="3" l="1"/>
  <c r="I726" i="3"/>
  <c r="J726" i="3"/>
  <c r="M726" i="3"/>
  <c r="N726" i="3" s="1"/>
  <c r="V726" i="3"/>
  <c r="A727" i="3"/>
  <c r="B727" i="3" s="1"/>
  <c r="W726" i="3" l="1"/>
  <c r="L726" i="3"/>
  <c r="P727" i="3"/>
  <c r="Q727" i="3" s="1"/>
  <c r="R727" i="3" s="1"/>
  <c r="S727" i="3" s="1"/>
  <c r="Z727" i="3"/>
  <c r="AA727" i="3"/>
  <c r="AC727" i="3"/>
  <c r="U726" i="3" l="1"/>
  <c r="Y725" i="3"/>
  <c r="T727" i="3"/>
  <c r="AH727" i="3" s="1"/>
  <c r="E727" i="3" l="1"/>
  <c r="H727" i="3" s="1"/>
  <c r="K727" i="3" s="1"/>
  <c r="AE727" i="3" s="1"/>
  <c r="D727" i="3"/>
  <c r="AG727" i="3"/>
  <c r="F727" i="3" l="1"/>
  <c r="G727" i="3"/>
  <c r="M727" i="3" s="1"/>
  <c r="N727" i="3" s="1"/>
  <c r="V727" i="3"/>
  <c r="A728" i="3"/>
  <c r="B728" i="3" s="1"/>
  <c r="I727" i="3" l="1"/>
  <c r="W727" i="3" s="1"/>
  <c r="J727" i="3"/>
  <c r="AA728" i="3"/>
  <c r="P728" i="3"/>
  <c r="Q728" i="3" s="1"/>
  <c r="R728" i="3" s="1"/>
  <c r="S728" i="3" s="1"/>
  <c r="AC728" i="3"/>
  <c r="Z728" i="3"/>
  <c r="AD728" i="3"/>
  <c r="L727" i="3" l="1"/>
  <c r="AD727" i="3"/>
  <c r="U727" i="3"/>
  <c r="Y726" i="3"/>
  <c r="T728" i="3"/>
  <c r="D728" i="3" l="1"/>
  <c r="G728" i="3" s="1"/>
  <c r="AG728" i="3"/>
  <c r="E728" i="3"/>
  <c r="H728" i="3" s="1"/>
  <c r="AH728" i="3"/>
  <c r="F728" i="3" l="1"/>
  <c r="I728" i="3"/>
  <c r="J728" i="3"/>
  <c r="M728" i="3"/>
  <c r="N728" i="3" s="1"/>
  <c r="K728" i="3"/>
  <c r="AE728" i="3" s="1"/>
  <c r="V728" i="3" l="1"/>
  <c r="W728" i="3" s="1"/>
  <c r="A729" i="3"/>
  <c r="B729" i="3" s="1"/>
  <c r="L728" i="3"/>
  <c r="U728" i="3" l="1"/>
  <c r="Y727" i="3"/>
  <c r="P729" i="3"/>
  <c r="Q729" i="3" s="1"/>
  <c r="R729" i="3" s="1"/>
  <c r="S729" i="3" s="1"/>
  <c r="AA729" i="3"/>
  <c r="AD729" i="3"/>
  <c r="AC729" i="3"/>
  <c r="Z729" i="3"/>
  <c r="T729" i="3" l="1"/>
  <c r="E729" i="3" s="1"/>
  <c r="H729" i="3" s="1"/>
  <c r="AH729" i="3" l="1"/>
  <c r="D729" i="3"/>
  <c r="F729" i="3" s="1"/>
  <c r="AG729" i="3"/>
  <c r="K729" i="3"/>
  <c r="AE729" i="3" s="1"/>
  <c r="G729" i="3" l="1"/>
  <c r="I729" i="3" s="1"/>
  <c r="V729" i="3"/>
  <c r="A730" i="3"/>
  <c r="B730" i="3" s="1"/>
  <c r="W729" i="3" l="1"/>
  <c r="J729" i="3"/>
  <c r="L729" i="3" s="1"/>
  <c r="M729" i="3"/>
  <c r="N729" i="3" s="1"/>
  <c r="AA730" i="3"/>
  <c r="Z730" i="3"/>
  <c r="AD730" i="3"/>
  <c r="P730" i="3"/>
  <c r="Q730" i="3" s="1"/>
  <c r="R730" i="3" s="1"/>
  <c r="S730" i="3" s="1"/>
  <c r="AC730" i="3"/>
  <c r="U729" i="3" l="1"/>
  <c r="Y728" i="3"/>
  <c r="T730" i="3"/>
  <c r="AG730" i="3" s="1"/>
  <c r="D730" i="3" l="1"/>
  <c r="E730" i="3"/>
  <c r="H730" i="3" s="1"/>
  <c r="AH730" i="3"/>
  <c r="K730" i="3" l="1"/>
  <c r="AE730" i="3" s="1"/>
  <c r="F730" i="3"/>
  <c r="G730" i="3"/>
  <c r="I730" i="3" l="1"/>
  <c r="J730" i="3"/>
  <c r="M730" i="3"/>
  <c r="N730" i="3" s="1"/>
  <c r="V730" i="3"/>
  <c r="A731" i="3"/>
  <c r="B731" i="3" s="1"/>
  <c r="W730" i="3" l="1"/>
  <c r="L730" i="3"/>
  <c r="P731" i="3"/>
  <c r="Q731" i="3" s="1"/>
  <c r="R731" i="3" s="1"/>
  <c r="S731" i="3" s="1"/>
  <c r="Z731" i="3"/>
  <c r="AA731" i="3"/>
  <c r="AD731" i="3"/>
  <c r="AC731" i="3"/>
  <c r="U730" i="3" l="1"/>
  <c r="Y729" i="3"/>
  <c r="T731" i="3"/>
  <c r="AG731" i="3" s="1"/>
  <c r="E731" i="3" l="1"/>
  <c r="H731" i="3" s="1"/>
  <c r="K731" i="3" s="1"/>
  <c r="AE731" i="3" s="1"/>
  <c r="AH731" i="3"/>
  <c r="D731" i="3"/>
  <c r="F731" i="3" l="1"/>
  <c r="G731" i="3"/>
  <c r="J731" i="3" s="1"/>
  <c r="V731" i="3"/>
  <c r="A732" i="3"/>
  <c r="B732" i="3" s="1"/>
  <c r="M731" i="3" l="1"/>
  <c r="N731" i="3" s="1"/>
  <c r="I731" i="3"/>
  <c r="W731" i="3" s="1"/>
  <c r="L731" i="3"/>
  <c r="AC732" i="3"/>
  <c r="Z732" i="3"/>
  <c r="AD732" i="3"/>
  <c r="AA732" i="3"/>
  <c r="P732" i="3"/>
  <c r="Q732" i="3" s="1"/>
  <c r="R732" i="3" s="1"/>
  <c r="S732" i="3" s="1"/>
  <c r="U731" i="3" l="1"/>
  <c r="Y730" i="3"/>
  <c r="T732" i="3"/>
  <c r="E732" i="3" l="1"/>
  <c r="H732" i="3" s="1"/>
  <c r="K732" i="3" s="1"/>
  <c r="AE732" i="3" s="1"/>
  <c r="D732" i="3"/>
  <c r="G732" i="3" s="1"/>
  <c r="AH732" i="3"/>
  <c r="AG732" i="3"/>
  <c r="F732" i="3" l="1"/>
  <c r="I732" i="3"/>
  <c r="J732" i="3"/>
  <c r="M732" i="3"/>
  <c r="N732" i="3" s="1"/>
  <c r="V732" i="3"/>
  <c r="A733" i="3"/>
  <c r="B733" i="3" s="1"/>
  <c r="W732" i="3" l="1"/>
  <c r="L732" i="3"/>
  <c r="AC733" i="3"/>
  <c r="P733" i="3"/>
  <c r="Q733" i="3" s="1"/>
  <c r="R733" i="3" s="1"/>
  <c r="S733" i="3" s="1"/>
  <c r="AA733" i="3"/>
  <c r="Z733" i="3"/>
  <c r="AD733" i="3"/>
  <c r="T733" i="3" l="1"/>
  <c r="AH733" i="3" s="1"/>
  <c r="U732" i="3"/>
  <c r="Y731" i="3"/>
  <c r="D733" i="3" l="1"/>
  <c r="G733" i="3" s="1"/>
  <c r="E733" i="3"/>
  <c r="H733" i="3" s="1"/>
  <c r="AG733" i="3"/>
  <c r="F733" i="3" l="1"/>
  <c r="I733" i="3"/>
  <c r="J733" i="3"/>
  <c r="M733" i="3"/>
  <c r="N733" i="3" s="1"/>
  <c r="K733" i="3"/>
  <c r="AE733" i="3" s="1"/>
  <c r="V733" i="3" l="1"/>
  <c r="W733" i="3" s="1"/>
  <c r="A734" i="3"/>
  <c r="B734" i="3" s="1"/>
  <c r="L733" i="3"/>
  <c r="U733" i="3" l="1"/>
  <c r="Y732" i="3"/>
  <c r="P734" i="3"/>
  <c r="Q734" i="3" s="1"/>
  <c r="R734" i="3" s="1"/>
  <c r="S734" i="3" s="1"/>
  <c r="AC734" i="3"/>
  <c r="AA734" i="3"/>
  <c r="Z734" i="3"/>
  <c r="T734" i="3" l="1"/>
  <c r="AG734" i="3" s="1"/>
  <c r="D734" i="3" l="1"/>
  <c r="E734" i="3"/>
  <c r="H734" i="3" s="1"/>
  <c r="K734" i="3" s="1"/>
  <c r="AE734" i="3" s="1"/>
  <c r="AH734" i="3"/>
  <c r="F734" i="3" l="1"/>
  <c r="G734" i="3"/>
  <c r="M734" i="3" s="1"/>
  <c r="N734" i="3" s="1"/>
  <c r="V734" i="3"/>
  <c r="A735" i="3"/>
  <c r="B735" i="3" s="1"/>
  <c r="I734" i="3" l="1"/>
  <c r="W734" i="3" s="1"/>
  <c r="J734" i="3"/>
  <c r="AA735" i="3"/>
  <c r="Z735" i="3"/>
  <c r="P735" i="3"/>
  <c r="Q735" i="3" s="1"/>
  <c r="R735" i="3" s="1"/>
  <c r="S735" i="3" s="1"/>
  <c r="AC735" i="3"/>
  <c r="AD735" i="3"/>
  <c r="L734" i="3" l="1"/>
  <c r="Y733" i="3" s="1"/>
  <c r="AD734" i="3"/>
  <c r="T735" i="3"/>
  <c r="U734" i="3" l="1"/>
  <c r="E735" i="3" s="1"/>
  <c r="H735" i="3" s="1"/>
  <c r="AH735" i="3"/>
  <c r="AG735" i="3"/>
  <c r="D735" i="3" l="1"/>
  <c r="G735" i="3" s="1"/>
  <c r="M735" i="3" s="1"/>
  <c r="N735" i="3" s="1"/>
  <c r="K735" i="3"/>
  <c r="AE735" i="3" s="1"/>
  <c r="F735" i="3" l="1"/>
  <c r="I735" i="3"/>
  <c r="J735" i="3"/>
  <c r="L735" i="3" s="1"/>
  <c r="V735" i="3"/>
  <c r="A736" i="3"/>
  <c r="B736" i="3" s="1"/>
  <c r="W735" i="3" l="1"/>
  <c r="U735" i="3"/>
  <c r="Y734" i="3"/>
  <c r="Z736" i="3"/>
  <c r="P736" i="3"/>
  <c r="Q736" i="3" s="1"/>
  <c r="R736" i="3" s="1"/>
  <c r="S736" i="3" s="1"/>
  <c r="AA736" i="3"/>
  <c r="AD736" i="3"/>
  <c r="AC736" i="3"/>
  <c r="T736" i="3" l="1"/>
  <c r="E736" i="3" s="1"/>
  <c r="H736" i="3" s="1"/>
  <c r="AH736" i="3" l="1"/>
  <c r="D736" i="3"/>
  <c r="F736" i="3" s="1"/>
  <c r="K736" i="3"/>
  <c r="AE736" i="3" s="1"/>
  <c r="AG736" i="3"/>
  <c r="G736" i="3" l="1"/>
  <c r="M736" i="3" s="1"/>
  <c r="N736" i="3" s="1"/>
  <c r="V736" i="3"/>
  <c r="A737" i="3"/>
  <c r="B737" i="3" s="1"/>
  <c r="I736" i="3" l="1"/>
  <c r="W736" i="3" s="1"/>
  <c r="J736" i="3"/>
  <c r="L736" i="3" s="1"/>
  <c r="AC737" i="3"/>
  <c r="P737" i="3"/>
  <c r="Q737" i="3" s="1"/>
  <c r="R737" i="3" s="1"/>
  <c r="S737" i="3" s="1"/>
  <c r="Z737" i="3"/>
  <c r="AA737" i="3"/>
  <c r="U736" i="3" l="1"/>
  <c r="Y735" i="3"/>
  <c r="T737" i="3"/>
  <c r="AH737" i="3" s="1"/>
  <c r="D737" i="3" l="1"/>
  <c r="E737" i="3"/>
  <c r="H737" i="3" s="1"/>
  <c r="AG737" i="3"/>
  <c r="F737" i="3" l="1"/>
  <c r="G737" i="3"/>
  <c r="K737" i="3"/>
  <c r="AE737" i="3" s="1"/>
  <c r="V737" i="3" l="1"/>
  <c r="A738" i="3"/>
  <c r="B738" i="3" s="1"/>
  <c r="I737" i="3"/>
  <c r="J737" i="3"/>
  <c r="AD737" i="3" s="1"/>
  <c r="M737" i="3"/>
  <c r="N737" i="3" s="1"/>
  <c r="W737" i="3" l="1"/>
  <c r="L737" i="3"/>
  <c r="AA738" i="3"/>
  <c r="P738" i="3"/>
  <c r="Q738" i="3" s="1"/>
  <c r="R738" i="3" s="1"/>
  <c r="S738" i="3" s="1"/>
  <c r="AC738" i="3"/>
  <c r="Z738" i="3"/>
  <c r="AD738" i="3"/>
  <c r="U737" i="3" l="1"/>
  <c r="Y736" i="3"/>
  <c r="T738" i="3"/>
  <c r="E738" i="3" l="1"/>
  <c r="H738" i="3" s="1"/>
  <c r="K738" i="3" s="1"/>
  <c r="AE738" i="3" s="1"/>
  <c r="D738" i="3"/>
  <c r="AG738" i="3"/>
  <c r="AH738" i="3"/>
  <c r="V738" i="3" l="1"/>
  <c r="A739" i="3"/>
  <c r="B739" i="3" s="1"/>
  <c r="F738" i="3"/>
  <c r="G738" i="3"/>
  <c r="I738" i="3" l="1"/>
  <c r="W738" i="3" s="1"/>
  <c r="J738" i="3"/>
  <c r="M738" i="3"/>
  <c r="N738" i="3" s="1"/>
  <c r="P739" i="3"/>
  <c r="Q739" i="3" s="1"/>
  <c r="R739" i="3" s="1"/>
  <c r="S739" i="3" s="1"/>
  <c r="AC739" i="3"/>
  <c r="AA739" i="3"/>
  <c r="AD739" i="3"/>
  <c r="Z739" i="3"/>
  <c r="T739" i="3" l="1"/>
  <c r="L738" i="3"/>
  <c r="AH739" i="3" l="1"/>
  <c r="U738" i="3"/>
  <c r="E739" i="3" s="1"/>
  <c r="H739" i="3" s="1"/>
  <c r="AG739" i="3"/>
  <c r="Y737" i="3"/>
  <c r="D739" i="3" l="1"/>
  <c r="G739" i="3" s="1"/>
  <c r="K739" i="3"/>
  <c r="AE739" i="3" s="1"/>
  <c r="F739" i="3" l="1"/>
  <c r="I739" i="3"/>
  <c r="J739" i="3"/>
  <c r="M739" i="3"/>
  <c r="N739" i="3" s="1"/>
  <c r="V739" i="3"/>
  <c r="A740" i="3"/>
  <c r="B740" i="3" s="1"/>
  <c r="W739" i="3" l="1"/>
  <c r="L739" i="3"/>
  <c r="P740" i="3"/>
  <c r="Q740" i="3" s="1"/>
  <c r="R740" i="3" s="1"/>
  <c r="S740" i="3" s="1"/>
  <c r="Z740" i="3"/>
  <c r="AC740" i="3"/>
  <c r="AD740" i="3"/>
  <c r="AA740" i="3"/>
  <c r="U739" i="3" l="1"/>
  <c r="Y738" i="3"/>
  <c r="T740" i="3"/>
  <c r="E740" i="3" l="1"/>
  <c r="H740" i="3" s="1"/>
  <c r="K740" i="3" s="1"/>
  <c r="AE740" i="3" s="1"/>
  <c r="D740" i="3"/>
  <c r="G740" i="3" s="1"/>
  <c r="AH740" i="3"/>
  <c r="AG740" i="3"/>
  <c r="F740" i="3" l="1"/>
  <c r="I740" i="3"/>
  <c r="J740" i="3"/>
  <c r="M740" i="3"/>
  <c r="N740" i="3" s="1"/>
  <c r="V740" i="3"/>
  <c r="A741" i="3"/>
  <c r="B741" i="3" s="1"/>
  <c r="W740" i="3" l="1"/>
  <c r="L740" i="3"/>
  <c r="AA741" i="3"/>
  <c r="P741" i="3"/>
  <c r="Q741" i="3" s="1"/>
  <c r="R741" i="3" s="1"/>
  <c r="S741" i="3" s="1"/>
  <c r="AD741" i="3"/>
  <c r="Z741" i="3"/>
  <c r="AC741" i="3"/>
  <c r="T741" i="3" l="1"/>
  <c r="AG741" i="3" s="1"/>
  <c r="U740" i="3"/>
  <c r="Y739" i="3"/>
  <c r="E741" i="3" l="1"/>
  <c r="H741" i="3" s="1"/>
  <c r="D741" i="3"/>
  <c r="AH741" i="3"/>
  <c r="K741" i="3" l="1"/>
  <c r="AE741" i="3" s="1"/>
  <c r="F741" i="3"/>
  <c r="G741" i="3"/>
  <c r="V741" i="3" l="1"/>
  <c r="A742" i="3"/>
  <c r="B742" i="3" s="1"/>
  <c r="I741" i="3"/>
  <c r="J741" i="3"/>
  <c r="M741" i="3"/>
  <c r="N741" i="3" s="1"/>
  <c r="L741" i="3" l="1"/>
  <c r="W741" i="3"/>
  <c r="AC742" i="3"/>
  <c r="P742" i="3"/>
  <c r="Q742" i="3" s="1"/>
  <c r="R742" i="3" s="1"/>
  <c r="S742" i="3" s="1"/>
  <c r="AD742" i="3"/>
  <c r="Z742" i="3"/>
  <c r="AA742" i="3"/>
  <c r="U741" i="3" l="1"/>
  <c r="Y740" i="3"/>
  <c r="T742" i="3"/>
  <c r="AG742" i="3" s="1"/>
  <c r="E742" i="3" l="1"/>
  <c r="H742" i="3" s="1"/>
  <c r="K742" i="3" s="1"/>
  <c r="AE742" i="3" s="1"/>
  <c r="AH742" i="3"/>
  <c r="D742" i="3"/>
  <c r="F742" i="3" l="1"/>
  <c r="G742" i="3"/>
  <c r="V742" i="3"/>
  <c r="A743" i="3"/>
  <c r="B743" i="3" s="1"/>
  <c r="I742" i="3" l="1"/>
  <c r="W742" i="3" s="1"/>
  <c r="J742" i="3"/>
  <c r="M742" i="3"/>
  <c r="N742" i="3" s="1"/>
  <c r="Z743" i="3"/>
  <c r="AA743" i="3"/>
  <c r="P743" i="3"/>
  <c r="Q743" i="3" s="1"/>
  <c r="R743" i="3" s="1"/>
  <c r="S743" i="3" s="1"/>
  <c r="AC743" i="3"/>
  <c r="AD743" i="3"/>
  <c r="T743" i="3" l="1"/>
  <c r="L742" i="3"/>
  <c r="U742" i="3" l="1"/>
  <c r="E743" i="3" s="1"/>
  <c r="H743" i="3" s="1"/>
  <c r="AH743" i="3"/>
  <c r="AG743" i="3"/>
  <c r="Y741" i="3"/>
  <c r="D743" i="3" l="1"/>
  <c r="G743" i="3" s="1"/>
  <c r="K743" i="3"/>
  <c r="AE743" i="3" s="1"/>
  <c r="F743" i="3" l="1"/>
  <c r="I743" i="3"/>
  <c r="J743" i="3"/>
  <c r="M743" i="3"/>
  <c r="N743" i="3" s="1"/>
  <c r="V743" i="3"/>
  <c r="A744" i="3"/>
  <c r="B744" i="3" s="1"/>
  <c r="W743" i="3" l="1"/>
  <c r="L743" i="3"/>
  <c r="AA744" i="3"/>
  <c r="P744" i="3"/>
  <c r="Q744" i="3" s="1"/>
  <c r="R744" i="3" s="1"/>
  <c r="S744" i="3" s="1"/>
  <c r="AC744" i="3"/>
  <c r="Z744" i="3"/>
  <c r="U743" i="3" l="1"/>
  <c r="Y742" i="3"/>
  <c r="T744" i="3"/>
  <c r="AG744" i="3" s="1"/>
  <c r="E744" i="3" l="1"/>
  <c r="H744" i="3" s="1"/>
  <c r="K744" i="3" s="1"/>
  <c r="AE744" i="3" s="1"/>
  <c r="D744" i="3"/>
  <c r="AH744" i="3"/>
  <c r="F744" i="3" l="1"/>
  <c r="G744" i="3"/>
  <c r="I744" i="3" s="1"/>
  <c r="V744" i="3"/>
  <c r="A745" i="3"/>
  <c r="B745" i="3" s="1"/>
  <c r="J744" i="3" l="1"/>
  <c r="M744" i="3"/>
  <c r="N744" i="3" s="1"/>
  <c r="W744" i="3"/>
  <c r="P745" i="3"/>
  <c r="Q745" i="3" s="1"/>
  <c r="R745" i="3" s="1"/>
  <c r="S745" i="3" s="1"/>
  <c r="AA745" i="3"/>
  <c r="AC745" i="3"/>
  <c r="AD745" i="3"/>
  <c r="Z745" i="3"/>
  <c r="L744" i="3" l="1"/>
  <c r="U744" i="3" s="1"/>
  <c r="AD744" i="3"/>
  <c r="T745" i="3"/>
  <c r="Y743" i="3" l="1"/>
  <c r="AG745" i="3"/>
  <c r="E745" i="3"/>
  <c r="H745" i="3" s="1"/>
  <c r="K745" i="3" s="1"/>
  <c r="AE745" i="3" s="1"/>
  <c r="D745" i="3"/>
  <c r="AH745" i="3"/>
  <c r="F745" i="3" l="1"/>
  <c r="G745" i="3"/>
  <c r="M745" i="3" s="1"/>
  <c r="N745" i="3" s="1"/>
  <c r="V745" i="3"/>
  <c r="A746" i="3"/>
  <c r="B746" i="3" s="1"/>
  <c r="I745" i="3" l="1"/>
  <c r="W745" i="3" s="1"/>
  <c r="J745" i="3"/>
  <c r="L745" i="3" s="1"/>
  <c r="Z746" i="3"/>
  <c r="AD746" i="3"/>
  <c r="P746" i="3"/>
  <c r="Q746" i="3" s="1"/>
  <c r="R746" i="3" s="1"/>
  <c r="S746" i="3" s="1"/>
  <c r="AA746" i="3"/>
  <c r="AC746" i="3"/>
  <c r="U745" i="3" l="1"/>
  <c r="Y744" i="3"/>
  <c r="T746" i="3"/>
  <c r="D746" i="3" l="1"/>
  <c r="G746" i="3" s="1"/>
  <c r="AG746" i="3"/>
  <c r="E746" i="3"/>
  <c r="H746" i="3" s="1"/>
  <c r="AH746" i="3"/>
  <c r="F746" i="3" l="1"/>
  <c r="I746" i="3"/>
  <c r="J746" i="3"/>
  <c r="M746" i="3"/>
  <c r="N746" i="3" s="1"/>
  <c r="K746" i="3"/>
  <c r="AE746" i="3" s="1"/>
  <c r="V746" i="3" l="1"/>
  <c r="W746" i="3" s="1"/>
  <c r="A747" i="3"/>
  <c r="B747" i="3" s="1"/>
  <c r="L746" i="3"/>
  <c r="U746" i="3" l="1"/>
  <c r="Y745" i="3"/>
  <c r="AA747" i="3"/>
  <c r="Z747" i="3"/>
  <c r="AC747" i="3"/>
  <c r="P747" i="3"/>
  <c r="Q747" i="3" s="1"/>
  <c r="R747" i="3" s="1"/>
  <c r="S747" i="3" s="1"/>
  <c r="T747" i="3" l="1"/>
  <c r="D747" i="3" s="1"/>
  <c r="AG747" i="3" l="1"/>
  <c r="E747" i="3"/>
  <c r="H747" i="3" s="1"/>
  <c r="K747" i="3" s="1"/>
  <c r="AE747" i="3" s="1"/>
  <c r="AH747" i="3"/>
  <c r="G747" i="3"/>
  <c r="F747" i="3" l="1"/>
  <c r="I747" i="3"/>
  <c r="J747" i="3"/>
  <c r="AD747" i="3" s="1"/>
  <c r="M747" i="3"/>
  <c r="N747" i="3" s="1"/>
  <c r="V747" i="3"/>
  <c r="A748" i="3"/>
  <c r="B748" i="3" s="1"/>
  <c r="W747" i="3" l="1"/>
  <c r="L747" i="3"/>
  <c r="AC748" i="3"/>
  <c r="P748" i="3"/>
  <c r="Q748" i="3" s="1"/>
  <c r="R748" i="3" s="1"/>
  <c r="S748" i="3" s="1"/>
  <c r="AD748" i="3"/>
  <c r="Z748" i="3"/>
  <c r="AA748" i="3"/>
  <c r="U747" i="3" l="1"/>
  <c r="Y746" i="3"/>
  <c r="T748" i="3"/>
  <c r="E748" i="3" l="1"/>
  <c r="H748" i="3" s="1"/>
  <c r="K748" i="3" s="1"/>
  <c r="AE748" i="3" s="1"/>
  <c r="D748" i="3"/>
  <c r="AH748" i="3"/>
  <c r="AG748" i="3"/>
  <c r="V748" i="3" l="1"/>
  <c r="A749" i="3"/>
  <c r="B749" i="3" s="1"/>
  <c r="F748" i="3"/>
  <c r="G748" i="3"/>
  <c r="I748" i="3" l="1"/>
  <c r="W748" i="3" s="1"/>
  <c r="J748" i="3"/>
  <c r="M748" i="3"/>
  <c r="N748" i="3" s="1"/>
  <c r="AA749" i="3"/>
  <c r="Z749" i="3"/>
  <c r="P749" i="3"/>
  <c r="Q749" i="3" s="1"/>
  <c r="R749" i="3" s="1"/>
  <c r="S749" i="3" s="1"/>
  <c r="AC749" i="3"/>
  <c r="AD749" i="3"/>
  <c r="T749" i="3" l="1"/>
  <c r="L748" i="3"/>
  <c r="U748" i="3" l="1"/>
  <c r="E749" i="3" s="1"/>
  <c r="H749" i="3" s="1"/>
  <c r="AG749" i="3"/>
  <c r="AH749" i="3"/>
  <c r="Y747" i="3"/>
  <c r="K749" i="3" l="1"/>
  <c r="AE749" i="3" s="1"/>
  <c r="D749" i="3"/>
  <c r="V749" i="3" l="1"/>
  <c r="A750" i="3"/>
  <c r="B750" i="3" s="1"/>
  <c r="F749" i="3"/>
  <c r="G749" i="3"/>
  <c r="I749" i="3" l="1"/>
  <c r="W749" i="3" s="1"/>
  <c r="J749" i="3"/>
  <c r="M749" i="3"/>
  <c r="N749" i="3" s="1"/>
  <c r="AA750" i="3"/>
  <c r="AC750" i="3"/>
  <c r="Z750" i="3"/>
  <c r="AD750" i="3"/>
  <c r="P750" i="3"/>
  <c r="Q750" i="3" s="1"/>
  <c r="R750" i="3" s="1"/>
  <c r="S750" i="3" s="1"/>
  <c r="T750" i="3" l="1"/>
  <c r="L749" i="3"/>
  <c r="AH750" i="3" l="1"/>
  <c r="AG750" i="3"/>
  <c r="U749" i="3"/>
  <c r="D750" i="3" s="1"/>
  <c r="Y748" i="3"/>
  <c r="G750" i="3" l="1"/>
  <c r="E750" i="3"/>
  <c r="H750" i="3" s="1"/>
  <c r="F750" i="3" l="1"/>
  <c r="I750" i="3"/>
  <c r="J750" i="3"/>
  <c r="M750" i="3"/>
  <c r="N750" i="3" s="1"/>
  <c r="K750" i="3"/>
  <c r="AE750" i="3" s="1"/>
  <c r="V750" i="3" l="1"/>
  <c r="W750" i="3" s="1"/>
  <c r="A751" i="3"/>
  <c r="B751" i="3" s="1"/>
  <c r="L750" i="3"/>
  <c r="U750" i="3" l="1"/>
  <c r="Y749" i="3"/>
  <c r="P751" i="3"/>
  <c r="Q751" i="3" s="1"/>
  <c r="R751" i="3" s="1"/>
  <c r="S751" i="3" s="1"/>
  <c r="Z751" i="3"/>
  <c r="AA751" i="3"/>
  <c r="AC751" i="3"/>
  <c r="AD751" i="3"/>
  <c r="T751" i="3" l="1"/>
  <c r="AH751" i="3" s="1"/>
  <c r="E751" i="3" l="1"/>
  <c r="H751" i="3" s="1"/>
  <c r="K751" i="3" s="1"/>
  <c r="AE751" i="3" s="1"/>
  <c r="AG751" i="3"/>
  <c r="D751" i="3"/>
  <c r="F751" i="3" l="1"/>
  <c r="G751" i="3"/>
  <c r="V751" i="3"/>
  <c r="A752" i="3"/>
  <c r="B752" i="3" s="1"/>
  <c r="AA752" i="3" l="1"/>
  <c r="AD752" i="3"/>
  <c r="Z752" i="3"/>
  <c r="AC752" i="3"/>
  <c r="P752" i="3"/>
  <c r="Q752" i="3" s="1"/>
  <c r="R752" i="3" s="1"/>
  <c r="S752" i="3" s="1"/>
  <c r="I751" i="3"/>
  <c r="W751" i="3" s="1"/>
  <c r="J751" i="3"/>
  <c r="M751" i="3"/>
  <c r="N751" i="3" s="1"/>
  <c r="L751" i="3" l="1"/>
  <c r="T752" i="3"/>
  <c r="U751" i="3" l="1"/>
  <c r="E752" i="3" s="1"/>
  <c r="H752" i="3" s="1"/>
  <c r="AG752" i="3"/>
  <c r="AH752" i="3"/>
  <c r="Y750" i="3"/>
  <c r="K752" i="3" l="1"/>
  <c r="AE752" i="3" s="1"/>
  <c r="D752" i="3"/>
  <c r="V752" i="3" l="1"/>
  <c r="A753" i="3"/>
  <c r="B753" i="3" s="1"/>
  <c r="F752" i="3"/>
  <c r="G752" i="3"/>
  <c r="I752" i="3" l="1"/>
  <c r="W752" i="3" s="1"/>
  <c r="J752" i="3"/>
  <c r="M752" i="3"/>
  <c r="N752" i="3" s="1"/>
  <c r="AD753" i="3"/>
  <c r="AA753" i="3"/>
  <c r="Z753" i="3"/>
  <c r="P753" i="3"/>
  <c r="Q753" i="3" s="1"/>
  <c r="R753" i="3" s="1"/>
  <c r="S753" i="3" s="1"/>
  <c r="AC753" i="3"/>
  <c r="T753" i="3" l="1"/>
  <c r="L752" i="3"/>
  <c r="AG753" i="3" l="1"/>
  <c r="U752" i="3"/>
  <c r="E753" i="3" s="1"/>
  <c r="H753" i="3" s="1"/>
  <c r="AH753" i="3"/>
  <c r="Y751" i="3"/>
  <c r="K753" i="3" l="1"/>
  <c r="AE753" i="3" s="1"/>
  <c r="D753" i="3"/>
  <c r="V753" i="3" l="1"/>
  <c r="A754" i="3"/>
  <c r="B754" i="3" s="1"/>
  <c r="F753" i="3"/>
  <c r="G753" i="3"/>
  <c r="I753" i="3" l="1"/>
  <c r="W753" i="3" s="1"/>
  <c r="J753" i="3"/>
  <c r="M753" i="3"/>
  <c r="N753" i="3" s="1"/>
  <c r="AC754" i="3"/>
  <c r="P754" i="3"/>
  <c r="Q754" i="3" s="1"/>
  <c r="R754" i="3" s="1"/>
  <c r="S754" i="3" s="1"/>
  <c r="Z754" i="3"/>
  <c r="AA754" i="3"/>
  <c r="T754" i="3" l="1"/>
  <c r="L753" i="3"/>
  <c r="AG754" i="3" l="1"/>
  <c r="AH754" i="3"/>
  <c r="U753" i="3"/>
  <c r="E754" i="3" s="1"/>
  <c r="H754" i="3" s="1"/>
  <c r="Y752" i="3"/>
  <c r="D754" i="3" l="1"/>
  <c r="G754" i="3" s="1"/>
  <c r="K754" i="3"/>
  <c r="AE754" i="3" s="1"/>
  <c r="F754" i="3" l="1"/>
  <c r="I754" i="3"/>
  <c r="J754" i="3"/>
  <c r="AD754" i="3" s="1"/>
  <c r="M754" i="3"/>
  <c r="N754" i="3" s="1"/>
  <c r="V754" i="3"/>
  <c r="A755" i="3"/>
  <c r="B755" i="3" s="1"/>
  <c r="W754" i="3" l="1"/>
  <c r="L754" i="3"/>
  <c r="AD755" i="3"/>
  <c r="AC755" i="3"/>
  <c r="AA755" i="3"/>
  <c r="P755" i="3"/>
  <c r="Q755" i="3" s="1"/>
  <c r="R755" i="3" s="1"/>
  <c r="S755" i="3" s="1"/>
  <c r="Z755" i="3"/>
  <c r="T755" i="3" l="1"/>
  <c r="U754" i="3"/>
  <c r="Y753" i="3"/>
  <c r="E755" i="3" l="1"/>
  <c r="H755" i="3" s="1"/>
  <c r="K755" i="3" s="1"/>
  <c r="AE755" i="3" s="1"/>
  <c r="AH755" i="3"/>
  <c r="AG755" i="3"/>
  <c r="D755" i="3"/>
  <c r="F755" i="3" l="1"/>
  <c r="G755" i="3"/>
  <c r="V755" i="3"/>
  <c r="A756" i="3"/>
  <c r="B756" i="3" s="1"/>
  <c r="P756" i="3" l="1"/>
  <c r="Q756" i="3" s="1"/>
  <c r="R756" i="3" s="1"/>
  <c r="S756" i="3" s="1"/>
  <c r="Z756" i="3"/>
  <c r="AA756" i="3"/>
  <c r="AC756" i="3"/>
  <c r="AD756" i="3"/>
  <c r="I755" i="3"/>
  <c r="W755" i="3" s="1"/>
  <c r="J755" i="3"/>
  <c r="M755" i="3"/>
  <c r="N755" i="3" s="1"/>
  <c r="T756" i="3" l="1"/>
  <c r="L755" i="3"/>
  <c r="AG756" i="3" l="1"/>
  <c r="U755" i="3"/>
  <c r="E756" i="3" s="1"/>
  <c r="H756" i="3" s="1"/>
  <c r="AH756" i="3"/>
  <c r="Y754" i="3"/>
  <c r="D756" i="3" l="1"/>
  <c r="F756" i="3" s="1"/>
  <c r="K756" i="3"/>
  <c r="AE756" i="3" s="1"/>
  <c r="G756" i="3" l="1"/>
  <c r="M756" i="3" s="1"/>
  <c r="N756" i="3" s="1"/>
  <c r="V756" i="3"/>
  <c r="A757" i="3"/>
  <c r="B757" i="3" s="1"/>
  <c r="I756" i="3" l="1"/>
  <c r="W756" i="3" s="1"/>
  <c r="J756" i="3"/>
  <c r="L756" i="3" s="1"/>
  <c r="AC757" i="3"/>
  <c r="P757" i="3"/>
  <c r="Q757" i="3" s="1"/>
  <c r="R757" i="3" s="1"/>
  <c r="S757" i="3" s="1"/>
  <c r="Z757" i="3"/>
  <c r="AA757" i="3"/>
  <c r="T757" i="3" l="1"/>
  <c r="U756" i="3"/>
  <c r="Y755" i="3"/>
  <c r="E757" i="3" l="1"/>
  <c r="H757" i="3" s="1"/>
  <c r="K757" i="3" s="1"/>
  <c r="AE757" i="3" s="1"/>
  <c r="AH757" i="3"/>
  <c r="D757" i="3"/>
  <c r="AG757" i="3"/>
  <c r="V757" i="3" l="1"/>
  <c r="A758" i="3"/>
  <c r="B758" i="3" s="1"/>
  <c r="F757" i="3"/>
  <c r="G757" i="3"/>
  <c r="I757" i="3" l="1"/>
  <c r="W757" i="3" s="1"/>
  <c r="J757" i="3"/>
  <c r="AD757" i="3" s="1"/>
  <c r="M757" i="3"/>
  <c r="N757" i="3" s="1"/>
  <c r="AA758" i="3"/>
  <c r="Z758" i="3"/>
  <c r="AD758" i="3"/>
  <c r="AC758" i="3"/>
  <c r="P758" i="3"/>
  <c r="Q758" i="3" s="1"/>
  <c r="R758" i="3" s="1"/>
  <c r="S758" i="3" s="1"/>
  <c r="T758" i="3" l="1"/>
  <c r="L757" i="3"/>
  <c r="AG758" i="3" l="1"/>
  <c r="U757" i="3"/>
  <c r="D758" i="3" s="1"/>
  <c r="AH758" i="3"/>
  <c r="Y756" i="3"/>
  <c r="E758" i="3" l="1"/>
  <c r="H758" i="3" s="1"/>
  <c r="K758" i="3" s="1"/>
  <c r="AE758" i="3" s="1"/>
  <c r="G758" i="3"/>
  <c r="F758" i="3" l="1"/>
  <c r="V758" i="3"/>
  <c r="A759" i="3"/>
  <c r="B759" i="3" s="1"/>
  <c r="I758" i="3"/>
  <c r="J758" i="3"/>
  <c r="M758" i="3"/>
  <c r="N758" i="3" s="1"/>
  <c r="L758" i="3" l="1"/>
  <c r="W758" i="3"/>
  <c r="AD759" i="3"/>
  <c r="P759" i="3"/>
  <c r="Q759" i="3" s="1"/>
  <c r="R759" i="3" s="1"/>
  <c r="S759" i="3" s="1"/>
  <c r="Z759" i="3"/>
  <c r="AA759" i="3"/>
  <c r="AC759" i="3"/>
  <c r="U758" i="3" l="1"/>
  <c r="Y757" i="3"/>
  <c r="T759" i="3"/>
  <c r="D759" i="3" l="1"/>
  <c r="G759" i="3" s="1"/>
  <c r="AG759" i="3"/>
  <c r="E759" i="3"/>
  <c r="H759" i="3" s="1"/>
  <c r="AH759" i="3"/>
  <c r="F759" i="3" l="1"/>
  <c r="I759" i="3"/>
  <c r="J759" i="3"/>
  <c r="M759" i="3"/>
  <c r="N759" i="3" s="1"/>
  <c r="K759" i="3"/>
  <c r="AE759" i="3" s="1"/>
  <c r="V759" i="3" l="1"/>
  <c r="W759" i="3" s="1"/>
  <c r="A760" i="3"/>
  <c r="B760" i="3" s="1"/>
  <c r="L759" i="3"/>
  <c r="U759" i="3" l="1"/>
  <c r="Y758" i="3"/>
  <c r="AA760" i="3"/>
  <c r="AC760" i="3"/>
  <c r="Z760" i="3"/>
  <c r="P760" i="3"/>
  <c r="Q760" i="3" s="1"/>
  <c r="R760" i="3" s="1"/>
  <c r="S760" i="3" s="1"/>
  <c r="AD760" i="3"/>
  <c r="T760" i="3" l="1"/>
  <c r="E760" i="3" s="1"/>
  <c r="H760" i="3" s="1"/>
  <c r="AH760" i="3" l="1"/>
  <c r="AG760" i="3"/>
  <c r="D760" i="3"/>
  <c r="G760" i="3" s="1"/>
  <c r="K760" i="3"/>
  <c r="AE760" i="3" s="1"/>
  <c r="F760" i="3" l="1"/>
  <c r="I760" i="3"/>
  <c r="J760" i="3"/>
  <c r="M760" i="3"/>
  <c r="N760" i="3" s="1"/>
  <c r="V760" i="3"/>
  <c r="A761" i="3"/>
  <c r="B761" i="3" s="1"/>
  <c r="W760" i="3" l="1"/>
  <c r="L760" i="3"/>
  <c r="P761" i="3"/>
  <c r="Q761" i="3" s="1"/>
  <c r="R761" i="3" s="1"/>
  <c r="S761" i="3" s="1"/>
  <c r="Z761" i="3"/>
  <c r="AA761" i="3"/>
  <c r="AD761" i="3"/>
  <c r="AC761" i="3"/>
  <c r="T761" i="3" l="1"/>
  <c r="U760" i="3"/>
  <c r="Y759" i="3"/>
  <c r="D761" i="3" l="1"/>
  <c r="G761" i="3" s="1"/>
  <c r="AG761" i="3"/>
  <c r="AH761" i="3"/>
  <c r="E761" i="3"/>
  <c r="H761" i="3" s="1"/>
  <c r="F761" i="3" l="1"/>
  <c r="I761" i="3"/>
  <c r="J761" i="3"/>
  <c r="M761" i="3"/>
  <c r="N761" i="3" s="1"/>
  <c r="K761" i="3"/>
  <c r="AE761" i="3" s="1"/>
  <c r="V761" i="3" l="1"/>
  <c r="W761" i="3" s="1"/>
  <c r="A762" i="3"/>
  <c r="B762" i="3" s="1"/>
  <c r="L761" i="3"/>
  <c r="U761" i="3" l="1"/>
  <c r="Y760" i="3"/>
  <c r="AA762" i="3"/>
  <c r="Z762" i="3"/>
  <c r="AC762" i="3"/>
  <c r="P762" i="3"/>
  <c r="Q762" i="3" s="1"/>
  <c r="R762" i="3" s="1"/>
  <c r="S762" i="3" s="1"/>
  <c r="AD762" i="3"/>
  <c r="T762" i="3" l="1"/>
  <c r="D762" i="3" s="1"/>
  <c r="E762" i="3" l="1"/>
  <c r="H762" i="3" s="1"/>
  <c r="K762" i="3" s="1"/>
  <c r="AE762" i="3" s="1"/>
  <c r="AH762" i="3"/>
  <c r="AG762" i="3"/>
  <c r="G762" i="3"/>
  <c r="F762" i="3" l="1"/>
  <c r="I762" i="3"/>
  <c r="J762" i="3"/>
  <c r="M762" i="3"/>
  <c r="N762" i="3" s="1"/>
  <c r="V762" i="3"/>
  <c r="A763" i="3"/>
  <c r="B763" i="3" s="1"/>
  <c r="W762" i="3" l="1"/>
  <c r="L762" i="3"/>
  <c r="AC763" i="3"/>
  <c r="Z763" i="3"/>
  <c r="AA763" i="3"/>
  <c r="P763" i="3"/>
  <c r="Q763" i="3" s="1"/>
  <c r="R763" i="3" s="1"/>
  <c r="S763" i="3" s="1"/>
  <c r="AD763" i="3"/>
  <c r="U762" i="3" l="1"/>
  <c r="Y761" i="3"/>
  <c r="T763" i="3"/>
  <c r="D763" i="3" l="1"/>
  <c r="G763" i="3" s="1"/>
  <c r="AG763" i="3"/>
  <c r="AH763" i="3"/>
  <c r="E763" i="3"/>
  <c r="H763" i="3" s="1"/>
  <c r="K763" i="3" s="1"/>
  <c r="AE763" i="3" s="1"/>
  <c r="F763" i="3" l="1"/>
  <c r="I763" i="3"/>
  <c r="J763" i="3"/>
  <c r="M763" i="3"/>
  <c r="N763" i="3" s="1"/>
  <c r="V763" i="3"/>
  <c r="A764" i="3"/>
  <c r="B764" i="3" s="1"/>
  <c r="W763" i="3" l="1"/>
  <c r="L763" i="3"/>
  <c r="Z764" i="3"/>
  <c r="P764" i="3"/>
  <c r="Q764" i="3" s="1"/>
  <c r="R764" i="3" s="1"/>
  <c r="S764" i="3" s="1"/>
  <c r="AC764" i="3"/>
  <c r="AA764" i="3"/>
  <c r="U763" i="3" l="1"/>
  <c r="Y762" i="3"/>
  <c r="T764" i="3"/>
  <c r="E764" i="3" l="1"/>
  <c r="H764" i="3" s="1"/>
  <c r="K764" i="3" s="1"/>
  <c r="AE764" i="3" s="1"/>
  <c r="AG764" i="3"/>
  <c r="D764" i="3"/>
  <c r="AH764" i="3"/>
  <c r="F764" i="3" l="1"/>
  <c r="G764" i="3"/>
  <c r="V764" i="3"/>
  <c r="A765" i="3"/>
  <c r="B765" i="3" s="1"/>
  <c r="P765" i="3" l="1"/>
  <c r="Q765" i="3" s="1"/>
  <c r="R765" i="3" s="1"/>
  <c r="S765" i="3" s="1"/>
  <c r="Z765" i="3"/>
  <c r="AA765" i="3"/>
  <c r="AC765" i="3"/>
  <c r="AD765" i="3"/>
  <c r="I764" i="3"/>
  <c r="W764" i="3" s="1"/>
  <c r="J764" i="3"/>
  <c r="AD764" i="3" s="1"/>
  <c r="M764" i="3"/>
  <c r="N764" i="3" s="1"/>
  <c r="T765" i="3" l="1"/>
  <c r="L764" i="3"/>
  <c r="AG765" i="3" l="1"/>
  <c r="AH765" i="3"/>
  <c r="U764" i="3"/>
  <c r="D765" i="3" s="1"/>
  <c r="Y763" i="3"/>
  <c r="E765" i="3" l="1"/>
  <c r="H765" i="3" s="1"/>
  <c r="K765" i="3" s="1"/>
  <c r="AE765" i="3" s="1"/>
  <c r="G765" i="3"/>
  <c r="F765" i="3" l="1"/>
  <c r="I765" i="3"/>
  <c r="J765" i="3"/>
  <c r="M765" i="3"/>
  <c r="N765" i="3" s="1"/>
  <c r="V765" i="3"/>
  <c r="A766" i="3"/>
  <c r="B766" i="3" s="1"/>
  <c r="W765" i="3" l="1"/>
  <c r="L765" i="3"/>
  <c r="AD766" i="3"/>
  <c r="P766" i="3"/>
  <c r="Q766" i="3" s="1"/>
  <c r="R766" i="3" s="1"/>
  <c r="S766" i="3" s="1"/>
  <c r="AA766" i="3"/>
  <c r="Z766" i="3"/>
  <c r="AC766" i="3"/>
  <c r="U765" i="3" l="1"/>
  <c r="Y764" i="3"/>
  <c r="T766" i="3"/>
  <c r="E766" i="3" l="1"/>
  <c r="H766" i="3" s="1"/>
  <c r="K766" i="3" s="1"/>
  <c r="AE766" i="3" s="1"/>
  <c r="D766" i="3"/>
  <c r="AG766" i="3"/>
  <c r="AH766" i="3"/>
  <c r="V766" i="3" l="1"/>
  <c r="A767" i="3"/>
  <c r="B767" i="3" s="1"/>
  <c r="F766" i="3"/>
  <c r="G766" i="3"/>
  <c r="I766" i="3" l="1"/>
  <c r="W766" i="3" s="1"/>
  <c r="J766" i="3"/>
  <c r="M766" i="3"/>
  <c r="N766" i="3" s="1"/>
  <c r="P767" i="3"/>
  <c r="Q767" i="3" s="1"/>
  <c r="R767" i="3" s="1"/>
  <c r="S767" i="3" s="1"/>
  <c r="AC767" i="3"/>
  <c r="AA767" i="3"/>
  <c r="Z767" i="3"/>
  <c r="T767" i="3" l="1"/>
  <c r="L766" i="3"/>
  <c r="AH767" i="3" l="1"/>
  <c r="AG767" i="3"/>
  <c r="U766" i="3"/>
  <c r="D767" i="3" s="1"/>
  <c r="Y765" i="3"/>
  <c r="E767" i="3" l="1"/>
  <c r="H767" i="3" s="1"/>
  <c r="K767" i="3" s="1"/>
  <c r="AE767" i="3" s="1"/>
  <c r="G767" i="3"/>
  <c r="F767" i="3" l="1"/>
  <c r="I767" i="3"/>
  <c r="J767" i="3"/>
  <c r="AD767" i="3" s="1"/>
  <c r="M767" i="3"/>
  <c r="N767" i="3" s="1"/>
  <c r="V767" i="3"/>
  <c r="A768" i="3"/>
  <c r="B768" i="3" s="1"/>
  <c r="W767" i="3" l="1"/>
  <c r="L767" i="3"/>
  <c r="AC768" i="3"/>
  <c r="AA768" i="3"/>
  <c r="AD768" i="3"/>
  <c r="P768" i="3"/>
  <c r="Q768" i="3" s="1"/>
  <c r="R768" i="3" s="1"/>
  <c r="S768" i="3" s="1"/>
  <c r="Z768" i="3"/>
  <c r="T768" i="3" l="1"/>
  <c r="AG768" i="3" s="1"/>
  <c r="U767" i="3"/>
  <c r="Y766" i="3"/>
  <c r="D768" i="3" l="1"/>
  <c r="G768" i="3" s="1"/>
  <c r="AH768" i="3"/>
  <c r="E768" i="3"/>
  <c r="H768" i="3" s="1"/>
  <c r="K768" i="3" l="1"/>
  <c r="AE768" i="3" s="1"/>
  <c r="I768" i="3"/>
  <c r="J768" i="3"/>
  <c r="M768" i="3"/>
  <c r="N768" i="3" s="1"/>
  <c r="F768" i="3"/>
  <c r="L768" i="3" l="1"/>
  <c r="V768" i="3"/>
  <c r="W768" i="3" s="1"/>
  <c r="A769" i="3"/>
  <c r="B769" i="3" s="1"/>
  <c r="AD769" i="3" l="1"/>
  <c r="AC769" i="3"/>
  <c r="Z769" i="3"/>
  <c r="P769" i="3"/>
  <c r="Q769" i="3" s="1"/>
  <c r="R769" i="3" s="1"/>
  <c r="S769" i="3" s="1"/>
  <c r="AA769" i="3"/>
  <c r="U768" i="3"/>
  <c r="Y767" i="3"/>
  <c r="T769" i="3" l="1"/>
  <c r="AG769" i="3" l="1"/>
  <c r="D769" i="3"/>
  <c r="AH769" i="3"/>
  <c r="E769" i="3"/>
  <c r="H769" i="3" s="1"/>
  <c r="F769" i="3" l="1"/>
  <c r="G769" i="3"/>
  <c r="K769" i="3"/>
  <c r="AE769" i="3" s="1"/>
  <c r="V769" i="3" l="1"/>
  <c r="A770" i="3"/>
  <c r="B770" i="3" s="1"/>
  <c r="I769" i="3"/>
  <c r="J769" i="3"/>
  <c r="M769" i="3"/>
  <c r="N769" i="3" s="1"/>
  <c r="W769" i="3" l="1"/>
  <c r="L769" i="3"/>
  <c r="AC770" i="3"/>
  <c r="P770" i="3"/>
  <c r="Q770" i="3" s="1"/>
  <c r="R770" i="3" s="1"/>
  <c r="S770" i="3" s="1"/>
  <c r="AD770" i="3"/>
  <c r="Z770" i="3"/>
  <c r="AA770" i="3"/>
  <c r="U769" i="3" l="1"/>
  <c r="Y768" i="3"/>
  <c r="T770" i="3"/>
  <c r="AG770" i="3" s="1"/>
  <c r="E770" i="3" l="1"/>
  <c r="H770" i="3" s="1"/>
  <c r="K770" i="3" s="1"/>
  <c r="AE770" i="3" s="1"/>
  <c r="D770" i="3"/>
  <c r="AH770" i="3"/>
  <c r="F770" i="3" l="1"/>
  <c r="G770" i="3"/>
  <c r="M770" i="3" s="1"/>
  <c r="N770" i="3" s="1"/>
  <c r="V770" i="3"/>
  <c r="A771" i="3"/>
  <c r="B771" i="3" s="1"/>
  <c r="I770" i="3" l="1"/>
  <c r="W770" i="3" s="1"/>
  <c r="J770" i="3"/>
  <c r="L770" i="3" s="1"/>
  <c r="AA771" i="3"/>
  <c r="AC771" i="3"/>
  <c r="P771" i="3"/>
  <c r="Q771" i="3" s="1"/>
  <c r="R771" i="3" s="1"/>
  <c r="S771" i="3" s="1"/>
  <c r="Z771" i="3"/>
  <c r="AD771" i="3"/>
  <c r="U770" i="3" l="1"/>
  <c r="Y769" i="3"/>
  <c r="T771" i="3"/>
  <c r="AH771" i="3" s="1"/>
  <c r="E771" i="3" l="1"/>
  <c r="H771" i="3" s="1"/>
  <c r="AG771" i="3"/>
  <c r="D771" i="3"/>
  <c r="K771" i="3" l="1"/>
  <c r="AE771" i="3" s="1"/>
  <c r="F771" i="3"/>
  <c r="G771" i="3"/>
  <c r="V771" i="3" l="1"/>
  <c r="A772" i="3"/>
  <c r="B772" i="3" s="1"/>
  <c r="I771" i="3"/>
  <c r="J771" i="3"/>
  <c r="M771" i="3"/>
  <c r="N771" i="3" s="1"/>
  <c r="L771" i="3" l="1"/>
  <c r="W771" i="3"/>
  <c r="AD772" i="3"/>
  <c r="AA772" i="3"/>
  <c r="Z772" i="3"/>
  <c r="AC772" i="3"/>
  <c r="P772" i="3"/>
  <c r="Q772" i="3" s="1"/>
  <c r="R772" i="3" s="1"/>
  <c r="S772" i="3" s="1"/>
  <c r="U771" i="3" l="1"/>
  <c r="Y770" i="3"/>
  <c r="T772" i="3"/>
  <c r="E772" i="3" l="1"/>
  <c r="H772" i="3" s="1"/>
  <c r="K772" i="3" s="1"/>
  <c r="AE772" i="3" s="1"/>
  <c r="D772" i="3"/>
  <c r="G772" i="3" s="1"/>
  <c r="AG772" i="3"/>
  <c r="AH772" i="3"/>
  <c r="F772" i="3" l="1"/>
  <c r="V772" i="3"/>
  <c r="A773" i="3"/>
  <c r="B773" i="3" s="1"/>
  <c r="I772" i="3"/>
  <c r="J772" i="3"/>
  <c r="M772" i="3"/>
  <c r="N772" i="3" s="1"/>
  <c r="W772" i="3" l="1"/>
  <c r="L772" i="3"/>
  <c r="AA773" i="3"/>
  <c r="P773" i="3"/>
  <c r="Q773" i="3" s="1"/>
  <c r="R773" i="3" s="1"/>
  <c r="S773" i="3" s="1"/>
  <c r="Z773" i="3"/>
  <c r="AD773" i="3"/>
  <c r="AC773" i="3"/>
  <c r="U772" i="3" l="1"/>
  <c r="Y771" i="3"/>
  <c r="T773" i="3"/>
  <c r="AG773" i="3" s="1"/>
  <c r="D773" i="3" l="1"/>
  <c r="E773" i="3"/>
  <c r="H773" i="3" s="1"/>
  <c r="K773" i="3" s="1"/>
  <c r="AE773" i="3" s="1"/>
  <c r="AH773" i="3"/>
  <c r="F773" i="3" l="1"/>
  <c r="G773" i="3"/>
  <c r="M773" i="3" s="1"/>
  <c r="N773" i="3" s="1"/>
  <c r="V773" i="3"/>
  <c r="A774" i="3"/>
  <c r="B774" i="3" s="1"/>
  <c r="I773" i="3" l="1"/>
  <c r="W773" i="3" s="1"/>
  <c r="J773" i="3"/>
  <c r="L773" i="3" s="1"/>
  <c r="AC774" i="3"/>
  <c r="P774" i="3"/>
  <c r="Q774" i="3" s="1"/>
  <c r="R774" i="3" s="1"/>
  <c r="S774" i="3" s="1"/>
  <c r="AA774" i="3"/>
  <c r="Z774" i="3"/>
  <c r="U773" i="3" l="1"/>
  <c r="Y772" i="3"/>
  <c r="T774" i="3"/>
  <c r="AG774" i="3" s="1"/>
  <c r="E774" i="3" l="1"/>
  <c r="H774" i="3" s="1"/>
  <c r="K774" i="3" s="1"/>
  <c r="AE774" i="3" s="1"/>
  <c r="AH774" i="3"/>
  <c r="D774" i="3"/>
  <c r="F774" i="3" l="1"/>
  <c r="G774" i="3"/>
  <c r="M774" i="3" s="1"/>
  <c r="N774" i="3" s="1"/>
  <c r="V774" i="3"/>
  <c r="A775" i="3"/>
  <c r="B775" i="3" s="1"/>
  <c r="I774" i="3" l="1"/>
  <c r="W774" i="3" s="1"/>
  <c r="J774" i="3"/>
  <c r="P775" i="3"/>
  <c r="Q775" i="3" s="1"/>
  <c r="R775" i="3" s="1"/>
  <c r="S775" i="3" s="1"/>
  <c r="Z775" i="3"/>
  <c r="AD775" i="3"/>
  <c r="AA775" i="3"/>
  <c r="AC775" i="3"/>
  <c r="L774" i="3" l="1"/>
  <c r="Y773" i="3" s="1"/>
  <c r="AD774" i="3"/>
  <c r="T775" i="3"/>
  <c r="U774" i="3" l="1"/>
  <c r="D775" i="3" s="1"/>
  <c r="AG775" i="3"/>
  <c r="AH775" i="3"/>
  <c r="E775" i="3" l="1"/>
  <c r="H775" i="3" s="1"/>
  <c r="K775" i="3" s="1"/>
  <c r="AE775" i="3" s="1"/>
  <c r="G775" i="3"/>
  <c r="M775" i="3" l="1"/>
  <c r="N775" i="3" s="1"/>
  <c r="A776" i="3"/>
  <c r="B776" i="3" s="1"/>
  <c r="AD776" i="3" s="1"/>
  <c r="V775" i="3"/>
  <c r="F775" i="3"/>
  <c r="I775" i="3"/>
  <c r="J775" i="3"/>
  <c r="L775" i="3" s="1"/>
  <c r="W775" i="3" l="1"/>
  <c r="P776" i="3"/>
  <c r="Q776" i="3" s="1"/>
  <c r="R776" i="3" s="1"/>
  <c r="S776" i="3" s="1"/>
  <c r="T776" i="3" s="1"/>
  <c r="AA776" i="3"/>
  <c r="AC776" i="3"/>
  <c r="Z776" i="3"/>
  <c r="U775" i="3"/>
  <c r="Y774" i="3"/>
  <c r="AG776" i="3" l="1"/>
  <c r="AH776" i="3"/>
  <c r="E776" i="3"/>
  <c r="H776" i="3" s="1"/>
  <c r="K776" i="3" s="1"/>
  <c r="AE776" i="3" s="1"/>
  <c r="D776" i="3"/>
  <c r="G776" i="3" s="1"/>
  <c r="F776" i="3" l="1"/>
  <c r="I776" i="3"/>
  <c r="J776" i="3"/>
  <c r="M776" i="3"/>
  <c r="N776" i="3" s="1"/>
  <c r="V776" i="3"/>
  <c r="A777" i="3"/>
  <c r="B777" i="3" s="1"/>
  <c r="W776" i="3" l="1"/>
  <c r="L776" i="3"/>
  <c r="Z777" i="3"/>
  <c r="AA777" i="3"/>
  <c r="P777" i="3"/>
  <c r="Q777" i="3" s="1"/>
  <c r="R777" i="3" s="1"/>
  <c r="S777" i="3" s="1"/>
  <c r="AD777" i="3"/>
  <c r="AC777" i="3"/>
  <c r="U776" i="3" l="1"/>
  <c r="Y775" i="3"/>
  <c r="T777" i="3"/>
  <c r="AH777" i="3" s="1"/>
  <c r="E777" i="3" l="1"/>
  <c r="H777" i="3" s="1"/>
  <c r="D777" i="3"/>
  <c r="AG777" i="3"/>
  <c r="K777" i="3" l="1"/>
  <c r="AE777" i="3" s="1"/>
  <c r="F777" i="3"/>
  <c r="G777" i="3"/>
  <c r="I777" i="3" l="1"/>
  <c r="J777" i="3"/>
  <c r="M777" i="3"/>
  <c r="N777" i="3" s="1"/>
  <c r="V777" i="3"/>
  <c r="A778" i="3"/>
  <c r="B778" i="3" s="1"/>
  <c r="L777" i="3" l="1"/>
  <c r="W777" i="3"/>
  <c r="P778" i="3"/>
  <c r="Q778" i="3" s="1"/>
  <c r="R778" i="3" s="1"/>
  <c r="S778" i="3" s="1"/>
  <c r="Z778" i="3"/>
  <c r="AD778" i="3"/>
  <c r="AA778" i="3"/>
  <c r="AC778" i="3"/>
  <c r="U777" i="3" l="1"/>
  <c r="Y776" i="3"/>
  <c r="T778" i="3"/>
  <c r="AH778" i="3" s="1"/>
  <c r="E778" i="3" l="1"/>
  <c r="H778" i="3" s="1"/>
  <c r="K778" i="3" s="1"/>
  <c r="AE778" i="3" s="1"/>
  <c r="AG778" i="3"/>
  <c r="D778" i="3"/>
  <c r="G778" i="3" s="1"/>
  <c r="F778" i="3" l="1"/>
  <c r="I778" i="3"/>
  <c r="J778" i="3"/>
  <c r="M778" i="3"/>
  <c r="N778" i="3" s="1"/>
  <c r="V778" i="3"/>
  <c r="A779" i="3"/>
  <c r="B779" i="3" s="1"/>
  <c r="W778" i="3" l="1"/>
  <c r="L778" i="3"/>
  <c r="P779" i="3"/>
  <c r="Q779" i="3" s="1"/>
  <c r="R779" i="3" s="1"/>
  <c r="S779" i="3" s="1"/>
  <c r="AA779" i="3"/>
  <c r="AC779" i="3"/>
  <c r="AD779" i="3"/>
  <c r="Z779" i="3"/>
  <c r="U778" i="3" l="1"/>
  <c r="Y777" i="3"/>
  <c r="T779" i="3"/>
  <c r="E779" i="3" l="1"/>
  <c r="H779" i="3" s="1"/>
  <c r="K779" i="3" s="1"/>
  <c r="AE779" i="3" s="1"/>
  <c r="AG779" i="3"/>
  <c r="AH779" i="3"/>
  <c r="D779" i="3"/>
  <c r="G779" i="3" s="1"/>
  <c r="F779" i="3" l="1"/>
  <c r="I779" i="3"/>
  <c r="J779" i="3"/>
  <c r="M779" i="3"/>
  <c r="N779" i="3" s="1"/>
  <c r="V779" i="3"/>
  <c r="A780" i="3"/>
  <c r="B780" i="3" s="1"/>
  <c r="W779" i="3" l="1"/>
  <c r="L779" i="3"/>
  <c r="P780" i="3"/>
  <c r="Q780" i="3" s="1"/>
  <c r="R780" i="3" s="1"/>
  <c r="S780" i="3" s="1"/>
  <c r="AD780" i="3"/>
  <c r="AA780" i="3"/>
  <c r="Z780" i="3"/>
  <c r="AC780" i="3"/>
  <c r="U779" i="3" l="1"/>
  <c r="Y778" i="3"/>
  <c r="T780" i="3"/>
  <c r="D780" i="3" l="1"/>
  <c r="G780" i="3" s="1"/>
  <c r="AH780" i="3"/>
  <c r="E780" i="3"/>
  <c r="H780" i="3" s="1"/>
  <c r="K780" i="3" s="1"/>
  <c r="AE780" i="3" s="1"/>
  <c r="AG780" i="3"/>
  <c r="F780" i="3" l="1"/>
  <c r="I780" i="3"/>
  <c r="J780" i="3"/>
  <c r="M780" i="3"/>
  <c r="N780" i="3" s="1"/>
  <c r="V780" i="3"/>
  <c r="A781" i="3"/>
  <c r="B781" i="3" s="1"/>
  <c r="W780" i="3" l="1"/>
  <c r="L780" i="3"/>
  <c r="P781" i="3"/>
  <c r="Q781" i="3" s="1"/>
  <c r="R781" i="3" s="1"/>
  <c r="S781" i="3" s="1"/>
  <c r="AD781" i="3"/>
  <c r="Z781" i="3"/>
  <c r="AA781" i="3"/>
  <c r="AC781" i="3"/>
  <c r="T781" i="3" l="1"/>
  <c r="U780" i="3"/>
  <c r="Y779" i="3"/>
  <c r="E781" i="3" l="1"/>
  <c r="H781" i="3" s="1"/>
  <c r="K781" i="3" s="1"/>
  <c r="AE781" i="3" s="1"/>
  <c r="AG781" i="3"/>
  <c r="AH781" i="3"/>
  <c r="D781" i="3"/>
  <c r="F781" i="3" l="1"/>
  <c r="G781" i="3"/>
  <c r="V781" i="3"/>
  <c r="A782" i="3"/>
  <c r="B782" i="3" s="1"/>
  <c r="P782" i="3" l="1"/>
  <c r="Q782" i="3" s="1"/>
  <c r="R782" i="3" s="1"/>
  <c r="S782" i="3" s="1"/>
  <c r="AC782" i="3"/>
  <c r="AD782" i="3"/>
  <c r="AA782" i="3"/>
  <c r="Z782" i="3"/>
  <c r="I781" i="3"/>
  <c r="W781" i="3" s="1"/>
  <c r="J781" i="3"/>
  <c r="M781" i="3"/>
  <c r="N781" i="3" s="1"/>
  <c r="T782" i="3" l="1"/>
  <c r="L781" i="3"/>
  <c r="U781" i="3" l="1"/>
  <c r="D782" i="3" s="1"/>
  <c r="AH782" i="3"/>
  <c r="AG782" i="3"/>
  <c r="Y780" i="3"/>
  <c r="E782" i="3" l="1"/>
  <c r="H782" i="3" s="1"/>
  <c r="K782" i="3" s="1"/>
  <c r="AE782" i="3" s="1"/>
  <c r="G782" i="3"/>
  <c r="F782" i="3" l="1"/>
  <c r="I782" i="3"/>
  <c r="J782" i="3"/>
  <c r="M782" i="3"/>
  <c r="N782" i="3" s="1"/>
  <c r="V782" i="3"/>
  <c r="A783" i="3"/>
  <c r="B783" i="3" s="1"/>
  <c r="W782" i="3" l="1"/>
  <c r="L782" i="3"/>
  <c r="AA783" i="3"/>
  <c r="Z783" i="3"/>
  <c r="P783" i="3"/>
  <c r="Q783" i="3" s="1"/>
  <c r="R783" i="3" s="1"/>
  <c r="S783" i="3" s="1"/>
  <c r="AD783" i="3"/>
  <c r="AC783" i="3"/>
  <c r="U782" i="3" l="1"/>
  <c r="Y781" i="3"/>
  <c r="T783" i="3"/>
  <c r="AH783" i="3" s="1"/>
  <c r="AG783" i="3" l="1"/>
  <c r="D783" i="3"/>
  <c r="G783" i="3" s="1"/>
  <c r="E783" i="3"/>
  <c r="H783" i="3" s="1"/>
  <c r="K783" i="3" s="1"/>
  <c r="AE783" i="3" s="1"/>
  <c r="F783" i="3" l="1"/>
  <c r="I783" i="3"/>
  <c r="J783" i="3"/>
  <c r="M783" i="3"/>
  <c r="N783" i="3" s="1"/>
  <c r="V783" i="3"/>
  <c r="A784" i="3"/>
  <c r="B784" i="3" s="1"/>
  <c r="W783" i="3" l="1"/>
  <c r="L783" i="3"/>
  <c r="AC784" i="3"/>
  <c r="Z784" i="3"/>
  <c r="P784" i="3"/>
  <c r="Q784" i="3" s="1"/>
  <c r="R784" i="3" s="1"/>
  <c r="S784" i="3" s="1"/>
  <c r="AA784" i="3"/>
  <c r="T784" i="3" l="1"/>
  <c r="AG784" i="3" s="1"/>
  <c r="U783" i="3"/>
  <c r="Y782" i="3"/>
  <c r="E784" i="3" l="1"/>
  <c r="H784" i="3" s="1"/>
  <c r="AH784" i="3"/>
  <c r="D784" i="3"/>
  <c r="K784" i="3" l="1"/>
  <c r="AE784" i="3" s="1"/>
  <c r="F784" i="3"/>
  <c r="G784" i="3"/>
  <c r="V784" i="3" l="1"/>
  <c r="A785" i="3"/>
  <c r="B785" i="3" s="1"/>
  <c r="I784" i="3"/>
  <c r="J784" i="3"/>
  <c r="AD784" i="3" s="1"/>
  <c r="M784" i="3"/>
  <c r="N784" i="3" s="1"/>
  <c r="W784" i="3" l="1"/>
  <c r="L784" i="3"/>
  <c r="AA785" i="3"/>
  <c r="AD785" i="3"/>
  <c r="P785" i="3"/>
  <c r="Q785" i="3" s="1"/>
  <c r="R785" i="3" s="1"/>
  <c r="S785" i="3" s="1"/>
  <c r="AC785" i="3"/>
  <c r="Z785" i="3"/>
  <c r="U784" i="3" l="1"/>
  <c r="Y783" i="3"/>
  <c r="T785" i="3"/>
  <c r="AH785" i="3" s="1"/>
  <c r="E785" i="3" l="1"/>
  <c r="H785" i="3" s="1"/>
  <c r="AG785" i="3"/>
  <c r="D785" i="3"/>
  <c r="K785" i="3" l="1"/>
  <c r="AE785" i="3" s="1"/>
  <c r="F785" i="3"/>
  <c r="G785" i="3"/>
  <c r="I785" i="3" l="1"/>
  <c r="J785" i="3"/>
  <c r="M785" i="3"/>
  <c r="N785" i="3" s="1"/>
  <c r="V785" i="3"/>
  <c r="A786" i="3"/>
  <c r="B786" i="3" s="1"/>
  <c r="W785" i="3" l="1"/>
  <c r="L785" i="3"/>
  <c r="Z786" i="3"/>
  <c r="AD786" i="3"/>
  <c r="AA786" i="3"/>
  <c r="P786" i="3"/>
  <c r="Q786" i="3" s="1"/>
  <c r="R786" i="3" s="1"/>
  <c r="S786" i="3" s="1"/>
  <c r="AC786" i="3"/>
  <c r="U785" i="3" l="1"/>
  <c r="Y784" i="3"/>
  <c r="T786" i="3"/>
  <c r="E786" i="3" l="1"/>
  <c r="H786" i="3" s="1"/>
  <c r="K786" i="3" s="1"/>
  <c r="AE786" i="3" s="1"/>
  <c r="AG786" i="3"/>
  <c r="D786" i="3"/>
  <c r="G786" i="3" s="1"/>
  <c r="AH786" i="3"/>
  <c r="F786" i="3" l="1"/>
  <c r="I786" i="3"/>
  <c r="J786" i="3"/>
  <c r="M786" i="3"/>
  <c r="N786" i="3" s="1"/>
  <c r="V786" i="3"/>
  <c r="A787" i="3"/>
  <c r="B787" i="3" s="1"/>
  <c r="L786" i="3" l="1"/>
  <c r="W786" i="3"/>
  <c r="AC787" i="3"/>
  <c r="P787" i="3"/>
  <c r="Q787" i="3" s="1"/>
  <c r="R787" i="3" s="1"/>
  <c r="S787" i="3" s="1"/>
  <c r="Z787" i="3"/>
  <c r="AD787" i="3"/>
  <c r="AA787" i="3"/>
  <c r="U786" i="3" l="1"/>
  <c r="Y785" i="3"/>
  <c r="T787" i="3"/>
  <c r="D787" i="3" l="1"/>
  <c r="G787" i="3" s="1"/>
  <c r="AH787" i="3"/>
  <c r="E787" i="3"/>
  <c r="H787" i="3" s="1"/>
  <c r="AG787" i="3"/>
  <c r="F787" i="3" l="1"/>
  <c r="I787" i="3"/>
  <c r="J787" i="3"/>
  <c r="M787" i="3"/>
  <c r="N787" i="3" s="1"/>
  <c r="K787" i="3"/>
  <c r="AE787" i="3" s="1"/>
  <c r="V787" i="3" l="1"/>
  <c r="W787" i="3" s="1"/>
  <c r="A788" i="3"/>
  <c r="B788" i="3" s="1"/>
  <c r="L787" i="3"/>
  <c r="U787" i="3" l="1"/>
  <c r="Y786" i="3"/>
  <c r="AC788" i="3"/>
  <c r="Z788" i="3"/>
  <c r="AD788" i="3"/>
  <c r="AA788" i="3"/>
  <c r="P788" i="3"/>
  <c r="Q788" i="3" s="1"/>
  <c r="R788" i="3" s="1"/>
  <c r="S788" i="3" s="1"/>
  <c r="T788" i="3" l="1"/>
  <c r="E788" i="3" s="1"/>
  <c r="H788" i="3" s="1"/>
  <c r="D788" i="3" l="1"/>
  <c r="F788" i="3" s="1"/>
  <c r="AG788" i="3"/>
  <c r="AH788" i="3"/>
  <c r="K788" i="3"/>
  <c r="AE788" i="3" s="1"/>
  <c r="G788" i="3" l="1"/>
  <c r="I788" i="3" s="1"/>
  <c r="V788" i="3"/>
  <c r="A789" i="3"/>
  <c r="B789" i="3" s="1"/>
  <c r="M788" i="3" l="1"/>
  <c r="N788" i="3" s="1"/>
  <c r="J788" i="3"/>
  <c r="L788" i="3" s="1"/>
  <c r="W788" i="3"/>
  <c r="P789" i="3"/>
  <c r="Q789" i="3" s="1"/>
  <c r="R789" i="3" s="1"/>
  <c r="S789" i="3" s="1"/>
  <c r="AC789" i="3"/>
  <c r="AD789" i="3"/>
  <c r="AA789" i="3"/>
  <c r="Z789" i="3"/>
  <c r="U788" i="3" l="1"/>
  <c r="Y787" i="3"/>
  <c r="T789" i="3"/>
  <c r="D789" i="3" l="1"/>
  <c r="G789" i="3" s="1"/>
  <c r="E789" i="3"/>
  <c r="H789" i="3" s="1"/>
  <c r="AH789" i="3"/>
  <c r="AG789" i="3"/>
  <c r="F789" i="3" l="1"/>
  <c r="I789" i="3"/>
  <c r="J789" i="3"/>
  <c r="M789" i="3"/>
  <c r="N789" i="3" s="1"/>
  <c r="K789" i="3"/>
  <c r="AE789" i="3" s="1"/>
  <c r="L789" i="3" l="1"/>
  <c r="V789" i="3"/>
  <c r="W789" i="3" s="1"/>
  <c r="A790" i="3"/>
  <c r="B790" i="3" s="1"/>
  <c r="AA790" i="3" l="1"/>
  <c r="AC790" i="3"/>
  <c r="Z790" i="3"/>
  <c r="AD790" i="3"/>
  <c r="P790" i="3"/>
  <c r="Q790" i="3" s="1"/>
  <c r="R790" i="3" s="1"/>
  <c r="S790" i="3" s="1"/>
  <c r="U789" i="3"/>
  <c r="Y788" i="3"/>
  <c r="T790" i="3" l="1"/>
  <c r="D790" i="3" s="1"/>
  <c r="AG790" i="3" l="1"/>
  <c r="G790" i="3"/>
  <c r="AH790" i="3"/>
  <c r="E790" i="3"/>
  <c r="H790" i="3" s="1"/>
  <c r="F790" i="3" l="1"/>
  <c r="I790" i="3"/>
  <c r="J790" i="3"/>
  <c r="M790" i="3"/>
  <c r="N790" i="3" s="1"/>
  <c r="K790" i="3"/>
  <c r="AE790" i="3" s="1"/>
  <c r="V790" i="3" l="1"/>
  <c r="W790" i="3" s="1"/>
  <c r="A791" i="3"/>
  <c r="B791" i="3" s="1"/>
  <c r="L790" i="3"/>
  <c r="U790" i="3" l="1"/>
  <c r="Y789" i="3"/>
  <c r="AD791" i="3"/>
  <c r="P791" i="3"/>
  <c r="Q791" i="3" s="1"/>
  <c r="R791" i="3" s="1"/>
  <c r="S791" i="3" s="1"/>
  <c r="AA791" i="3"/>
  <c r="AC791" i="3"/>
  <c r="Z791" i="3"/>
  <c r="T791" i="3" l="1"/>
  <c r="AG791" i="3" s="1"/>
  <c r="E791" i="3" l="1"/>
  <c r="H791" i="3" s="1"/>
  <c r="K791" i="3" s="1"/>
  <c r="AE791" i="3" s="1"/>
  <c r="D791" i="3"/>
  <c r="G791" i="3" s="1"/>
  <c r="AH791" i="3"/>
  <c r="F791" i="3" l="1"/>
  <c r="I791" i="3"/>
  <c r="J791" i="3"/>
  <c r="M791" i="3"/>
  <c r="N791" i="3" s="1"/>
  <c r="V791" i="3"/>
  <c r="A792" i="3"/>
  <c r="B792" i="3" s="1"/>
  <c r="W791" i="3" l="1"/>
  <c r="L791" i="3"/>
  <c r="P792" i="3"/>
  <c r="Q792" i="3" s="1"/>
  <c r="R792" i="3" s="1"/>
  <c r="S792" i="3" s="1"/>
  <c r="AC792" i="3"/>
  <c r="AD792" i="3"/>
  <c r="Z792" i="3"/>
  <c r="AA792" i="3"/>
  <c r="U791" i="3" l="1"/>
  <c r="Y790" i="3"/>
  <c r="T792" i="3"/>
  <c r="AG792" i="3" s="1"/>
  <c r="AH792" i="3" l="1"/>
  <c r="D792" i="3"/>
  <c r="E792" i="3"/>
  <c r="H792" i="3" s="1"/>
  <c r="F792" i="3" l="1"/>
  <c r="G792" i="3"/>
  <c r="K792" i="3"/>
  <c r="AE792" i="3" s="1"/>
  <c r="I792" i="3" l="1"/>
  <c r="J792" i="3"/>
  <c r="M792" i="3"/>
  <c r="N792" i="3" s="1"/>
  <c r="V792" i="3"/>
  <c r="A793" i="3"/>
  <c r="B793" i="3" s="1"/>
  <c r="L792" i="3" l="1"/>
  <c r="W792" i="3"/>
  <c r="AD793" i="3"/>
  <c r="AC793" i="3"/>
  <c r="Z793" i="3"/>
  <c r="P793" i="3"/>
  <c r="Q793" i="3" s="1"/>
  <c r="R793" i="3" s="1"/>
  <c r="S793" i="3" s="1"/>
  <c r="AA793" i="3"/>
  <c r="T793" i="3" l="1"/>
  <c r="U792" i="3"/>
  <c r="Y791" i="3"/>
  <c r="E793" i="3" l="1"/>
  <c r="H793" i="3" s="1"/>
  <c r="K793" i="3" s="1"/>
  <c r="AE793" i="3" s="1"/>
  <c r="D793" i="3"/>
  <c r="AG793" i="3"/>
  <c r="AH793" i="3"/>
  <c r="F793" i="3" l="1"/>
  <c r="G793" i="3"/>
  <c r="M793" i="3" s="1"/>
  <c r="N793" i="3" s="1"/>
  <c r="V793" i="3"/>
  <c r="A794" i="3"/>
  <c r="B794" i="3" s="1"/>
  <c r="I793" i="3" l="1"/>
  <c r="W793" i="3" s="1"/>
  <c r="J793" i="3"/>
  <c r="L793" i="3" s="1"/>
  <c r="Z794" i="3"/>
  <c r="AC794" i="3"/>
  <c r="P794" i="3"/>
  <c r="Q794" i="3" s="1"/>
  <c r="R794" i="3" s="1"/>
  <c r="S794" i="3" s="1"/>
  <c r="AA794" i="3"/>
  <c r="T794" i="3" l="1"/>
  <c r="AH794" i="3" s="1"/>
  <c r="U793" i="3"/>
  <c r="Y792" i="3"/>
  <c r="AG794" i="3" l="1"/>
  <c r="D794" i="3"/>
  <c r="E794" i="3"/>
  <c r="H794" i="3" s="1"/>
  <c r="F794" i="3" l="1"/>
  <c r="G794" i="3"/>
  <c r="K794" i="3"/>
  <c r="AE794" i="3" s="1"/>
  <c r="I794" i="3" l="1"/>
  <c r="J794" i="3"/>
  <c r="AD794" i="3" s="1"/>
  <c r="M794" i="3"/>
  <c r="N794" i="3" s="1"/>
  <c r="V794" i="3"/>
  <c r="A795" i="3"/>
  <c r="B795" i="3" s="1"/>
  <c r="L794" i="3" l="1"/>
  <c r="W794" i="3"/>
  <c r="P795" i="3"/>
  <c r="Q795" i="3" s="1"/>
  <c r="R795" i="3" s="1"/>
  <c r="S795" i="3" s="1"/>
  <c r="Z795" i="3"/>
  <c r="AA795" i="3"/>
  <c r="AC795" i="3"/>
  <c r="T795" i="3" l="1"/>
  <c r="U794" i="3"/>
  <c r="Y793" i="3"/>
  <c r="D795" i="3" l="1"/>
  <c r="G795" i="3" s="1"/>
  <c r="E795" i="3"/>
  <c r="H795" i="3" s="1"/>
  <c r="K795" i="3" s="1"/>
  <c r="AE795" i="3" s="1"/>
  <c r="AH795" i="3"/>
  <c r="AG795" i="3"/>
  <c r="F795" i="3" l="1"/>
  <c r="I795" i="3"/>
  <c r="J795" i="3"/>
  <c r="AD795" i="3" s="1"/>
  <c r="M795" i="3"/>
  <c r="N795" i="3" s="1"/>
  <c r="V795" i="3"/>
  <c r="A796" i="3"/>
  <c r="B796" i="3" s="1"/>
  <c r="W795" i="3" l="1"/>
  <c r="L795" i="3"/>
  <c r="Z796" i="3"/>
  <c r="AA796" i="3"/>
  <c r="AC796" i="3"/>
  <c r="P796" i="3"/>
  <c r="Q796" i="3" s="1"/>
  <c r="R796" i="3" s="1"/>
  <c r="S796" i="3" s="1"/>
  <c r="T796" i="3" l="1"/>
  <c r="U795" i="3"/>
  <c r="Y794" i="3"/>
  <c r="E796" i="3" l="1"/>
  <c r="H796" i="3" s="1"/>
  <c r="K796" i="3" s="1"/>
  <c r="AE796" i="3" s="1"/>
  <c r="AH796" i="3"/>
  <c r="AG796" i="3"/>
  <c r="D796" i="3"/>
  <c r="F796" i="3" l="1"/>
  <c r="G796" i="3"/>
  <c r="V796" i="3"/>
  <c r="A797" i="3"/>
  <c r="B797" i="3" s="1"/>
  <c r="I796" i="3" l="1"/>
  <c r="W796" i="3" s="1"/>
  <c r="J796" i="3"/>
  <c r="AD796" i="3" s="1"/>
  <c r="M796" i="3"/>
  <c r="N796" i="3" s="1"/>
  <c r="P797" i="3"/>
  <c r="Q797" i="3" s="1"/>
  <c r="R797" i="3" s="1"/>
  <c r="S797" i="3" s="1"/>
  <c r="AA797" i="3"/>
  <c r="AC797" i="3"/>
  <c r="Z797" i="3"/>
  <c r="T797" i="3" l="1"/>
  <c r="L796" i="3"/>
  <c r="AH797" i="3" l="1"/>
  <c r="AG797" i="3"/>
  <c r="U796" i="3"/>
  <c r="E797" i="3" s="1"/>
  <c r="H797" i="3" s="1"/>
  <c r="Y795" i="3"/>
  <c r="D797" i="3" l="1"/>
  <c r="G797" i="3" s="1"/>
  <c r="K797" i="3"/>
  <c r="AE797" i="3" s="1"/>
  <c r="F797" i="3" l="1"/>
  <c r="I797" i="3"/>
  <c r="J797" i="3"/>
  <c r="AD797" i="3" s="1"/>
  <c r="M797" i="3"/>
  <c r="N797" i="3" s="1"/>
  <c r="V797" i="3"/>
  <c r="A798" i="3"/>
  <c r="B798" i="3" s="1"/>
  <c r="W797" i="3" l="1"/>
  <c r="L797" i="3"/>
  <c r="Z798" i="3"/>
  <c r="AA798" i="3"/>
  <c r="P798" i="3"/>
  <c r="Q798" i="3" s="1"/>
  <c r="R798" i="3" s="1"/>
  <c r="S798" i="3" s="1"/>
  <c r="AC798" i="3"/>
  <c r="T798" i="3" l="1"/>
  <c r="U797" i="3"/>
  <c r="Y796" i="3"/>
  <c r="E798" i="3" l="1"/>
  <c r="H798" i="3" s="1"/>
  <c r="K798" i="3" s="1"/>
  <c r="AE798" i="3" s="1"/>
  <c r="D798" i="3"/>
  <c r="G798" i="3" s="1"/>
  <c r="AH798" i="3"/>
  <c r="AG798" i="3"/>
  <c r="F798" i="3" l="1"/>
  <c r="I798" i="3"/>
  <c r="J798" i="3"/>
  <c r="AD798" i="3" s="1"/>
  <c r="M798" i="3"/>
  <c r="N798" i="3" s="1"/>
  <c r="V798" i="3"/>
  <c r="A799" i="3"/>
  <c r="B799" i="3" s="1"/>
  <c r="W798" i="3" l="1"/>
  <c r="L798" i="3"/>
  <c r="Z799" i="3"/>
  <c r="P799" i="3"/>
  <c r="Q799" i="3" s="1"/>
  <c r="R799" i="3" s="1"/>
  <c r="S799" i="3" s="1"/>
  <c r="AC799" i="3"/>
  <c r="AA799" i="3"/>
  <c r="T799" i="3" l="1"/>
  <c r="AH799" i="3" s="1"/>
  <c r="U798" i="3"/>
  <c r="Y797" i="3"/>
  <c r="AG799" i="3" l="1"/>
  <c r="E799" i="3"/>
  <c r="H799" i="3" s="1"/>
  <c r="D799" i="3"/>
  <c r="K799" i="3" l="1"/>
  <c r="AE799" i="3" s="1"/>
  <c r="F799" i="3"/>
  <c r="G799" i="3"/>
  <c r="V799" i="3" l="1"/>
  <c r="A800" i="3"/>
  <c r="B800" i="3" s="1"/>
  <c r="I799" i="3"/>
  <c r="J799" i="3"/>
  <c r="AD799" i="3" s="1"/>
  <c r="M799" i="3"/>
  <c r="N799" i="3" s="1"/>
  <c r="W799" i="3" l="1"/>
  <c r="L799" i="3"/>
  <c r="AC800" i="3"/>
  <c r="AA800" i="3"/>
  <c r="P800" i="3"/>
  <c r="Q800" i="3" s="1"/>
  <c r="R800" i="3" s="1"/>
  <c r="S800" i="3" s="1"/>
  <c r="Z800" i="3"/>
  <c r="U799" i="3" l="1"/>
  <c r="Y798" i="3"/>
  <c r="T800" i="3"/>
  <c r="E800" i="3" l="1"/>
  <c r="H800" i="3" s="1"/>
  <c r="K800" i="3" s="1"/>
  <c r="AE800" i="3" s="1"/>
  <c r="D800" i="3"/>
  <c r="AG800" i="3"/>
  <c r="AH800" i="3"/>
  <c r="V800" i="3" l="1"/>
  <c r="A801" i="3"/>
  <c r="B801" i="3" s="1"/>
  <c r="F800" i="3"/>
  <c r="G800" i="3"/>
  <c r="I800" i="3" l="1"/>
  <c r="W800" i="3" s="1"/>
  <c r="J800" i="3"/>
  <c r="AD800" i="3" s="1"/>
  <c r="M800" i="3"/>
  <c r="N800" i="3" s="1"/>
  <c r="AA801" i="3"/>
  <c r="Z801" i="3"/>
  <c r="P801" i="3"/>
  <c r="Q801" i="3" s="1"/>
  <c r="R801" i="3" s="1"/>
  <c r="S801" i="3" s="1"/>
  <c r="AC801" i="3"/>
  <c r="L800" i="3" l="1"/>
  <c r="T801" i="3"/>
  <c r="AG801" i="3" l="1"/>
  <c r="AH801" i="3"/>
  <c r="U800" i="3"/>
  <c r="E801" i="3" s="1"/>
  <c r="H801" i="3" s="1"/>
  <c r="Y799" i="3"/>
  <c r="D801" i="3" l="1"/>
  <c r="G801" i="3" s="1"/>
  <c r="K801" i="3"/>
  <c r="AE801" i="3" s="1"/>
  <c r="F801" i="3" l="1"/>
  <c r="I801" i="3"/>
  <c r="J801" i="3"/>
  <c r="AD801" i="3" s="1"/>
  <c r="M801" i="3"/>
  <c r="N801" i="3" s="1"/>
  <c r="V801" i="3"/>
  <c r="A802" i="3"/>
  <c r="B802" i="3" s="1"/>
  <c r="W801" i="3" l="1"/>
  <c r="L801" i="3"/>
  <c r="Z802" i="3"/>
  <c r="P802" i="3"/>
  <c r="Q802" i="3" s="1"/>
  <c r="R802" i="3" s="1"/>
  <c r="S802" i="3" s="1"/>
  <c r="AA802" i="3"/>
  <c r="AC802" i="3"/>
  <c r="U801" i="3" l="1"/>
  <c r="Y800" i="3"/>
  <c r="T802" i="3"/>
  <c r="AG802" i="3" s="1"/>
  <c r="E802" i="3" l="1"/>
  <c r="H802" i="3" s="1"/>
  <c r="D802" i="3"/>
  <c r="AH802" i="3"/>
  <c r="K802" i="3" l="1"/>
  <c r="AE802" i="3" s="1"/>
  <c r="F802" i="3"/>
  <c r="G802" i="3"/>
  <c r="I802" i="3" l="1"/>
  <c r="J802" i="3"/>
  <c r="AD802" i="3" s="1"/>
  <c r="M802" i="3"/>
  <c r="N802" i="3" s="1"/>
  <c r="V802" i="3"/>
  <c r="A803" i="3"/>
  <c r="B803" i="3" s="1"/>
  <c r="L802" i="3" l="1"/>
  <c r="W802" i="3"/>
  <c r="Z803" i="3"/>
  <c r="AA803" i="3"/>
  <c r="AC803" i="3"/>
  <c r="P803" i="3"/>
  <c r="Q803" i="3" s="1"/>
  <c r="R803" i="3" s="1"/>
  <c r="S803" i="3" s="1"/>
  <c r="U802" i="3" l="1"/>
  <c r="Y801" i="3"/>
  <c r="T803" i="3"/>
  <c r="AG803" i="3" s="1"/>
  <c r="AH803" i="3" l="1"/>
  <c r="D803" i="3"/>
  <c r="E803" i="3"/>
  <c r="H803" i="3" s="1"/>
  <c r="F803" i="3" l="1"/>
  <c r="G803" i="3"/>
  <c r="K803" i="3"/>
  <c r="AE803" i="3" s="1"/>
  <c r="V803" i="3" l="1"/>
  <c r="A804" i="3"/>
  <c r="B804" i="3" s="1"/>
  <c r="I803" i="3"/>
  <c r="J803" i="3"/>
  <c r="AD803" i="3" s="1"/>
  <c r="M803" i="3"/>
  <c r="N803" i="3" s="1"/>
  <c r="L803" i="3" l="1"/>
  <c r="W803" i="3"/>
  <c r="AC804" i="3"/>
  <c r="P804" i="3"/>
  <c r="Q804" i="3" s="1"/>
  <c r="R804" i="3" s="1"/>
  <c r="S804" i="3" s="1"/>
  <c r="AA804" i="3"/>
  <c r="Z804" i="3"/>
  <c r="U803" i="3" l="1"/>
  <c r="Y802" i="3"/>
  <c r="T804" i="3"/>
  <c r="AH804" i="3" s="1"/>
  <c r="D804" i="3" l="1"/>
  <c r="G804" i="3" s="1"/>
  <c r="AG804" i="3"/>
  <c r="E804" i="3"/>
  <c r="H804" i="3" s="1"/>
  <c r="K804" i="3" s="1"/>
  <c r="AE804" i="3" s="1"/>
  <c r="F804" i="3" l="1"/>
  <c r="I804" i="3"/>
  <c r="J804" i="3"/>
  <c r="AD804" i="3" s="1"/>
  <c r="M804" i="3"/>
  <c r="N804" i="3" s="1"/>
  <c r="V804" i="3"/>
  <c r="A805" i="3"/>
  <c r="B805" i="3" s="1"/>
  <c r="W804" i="3" l="1"/>
  <c r="L804" i="3"/>
  <c r="Z805" i="3"/>
  <c r="P805" i="3"/>
  <c r="Q805" i="3" s="1"/>
  <c r="R805" i="3" s="1"/>
  <c r="S805" i="3" s="1"/>
  <c r="AC805" i="3"/>
  <c r="AA805" i="3"/>
  <c r="T805" i="3" l="1"/>
  <c r="AH805" i="3" s="1"/>
  <c r="U804" i="3"/>
  <c r="Y803" i="3"/>
  <c r="E805" i="3" l="1"/>
  <c r="H805" i="3" s="1"/>
  <c r="AG805" i="3"/>
  <c r="D805" i="3"/>
  <c r="K805" i="3" l="1"/>
  <c r="AE805" i="3" s="1"/>
  <c r="F805" i="3"/>
  <c r="G805" i="3"/>
  <c r="I805" i="3" l="1"/>
  <c r="J805" i="3"/>
  <c r="AD805" i="3" s="1"/>
  <c r="M805" i="3"/>
  <c r="N805" i="3" s="1"/>
  <c r="V805" i="3"/>
  <c r="A806" i="3"/>
  <c r="B806" i="3" s="1"/>
  <c r="W805" i="3" l="1"/>
  <c r="L805" i="3"/>
  <c r="Z806" i="3"/>
  <c r="AA806" i="3"/>
  <c r="P806" i="3"/>
  <c r="Q806" i="3" s="1"/>
  <c r="R806" i="3" s="1"/>
  <c r="S806" i="3" s="1"/>
  <c r="AC806" i="3"/>
  <c r="T806" i="3" l="1"/>
  <c r="U805" i="3"/>
  <c r="Y804" i="3"/>
  <c r="D806" i="3" l="1"/>
  <c r="G806" i="3" s="1"/>
  <c r="AH806" i="3"/>
  <c r="AG806" i="3"/>
  <c r="E806" i="3"/>
  <c r="H806" i="3" s="1"/>
  <c r="K806" i="3" l="1"/>
  <c r="AE806" i="3" s="1"/>
  <c r="I806" i="3"/>
  <c r="J806" i="3"/>
  <c r="AD806" i="3" s="1"/>
  <c r="M806" i="3"/>
  <c r="N806" i="3" s="1"/>
  <c r="F806" i="3"/>
  <c r="L806" i="3" l="1"/>
  <c r="V806" i="3"/>
  <c r="W806" i="3" s="1"/>
  <c r="A807" i="3"/>
  <c r="B807" i="3" s="1"/>
  <c r="AC807" i="3" l="1"/>
  <c r="P807" i="3"/>
  <c r="Q807" i="3" s="1"/>
  <c r="R807" i="3" s="1"/>
  <c r="S807" i="3" s="1"/>
  <c r="AA807" i="3"/>
  <c r="Z807" i="3"/>
  <c r="U806" i="3"/>
  <c r="Y805" i="3"/>
  <c r="T807" i="3" l="1"/>
  <c r="AH807" i="3" l="1"/>
  <c r="AG807" i="3"/>
  <c r="E807" i="3"/>
  <c r="H807" i="3" s="1"/>
  <c r="D807" i="3"/>
  <c r="K807" i="3" l="1"/>
  <c r="AE807" i="3" s="1"/>
  <c r="F807" i="3"/>
  <c r="G807" i="3"/>
  <c r="I807" i="3" l="1"/>
  <c r="J807" i="3"/>
  <c r="AD807" i="3" s="1"/>
  <c r="M807" i="3"/>
  <c r="N807" i="3" s="1"/>
  <c r="V807" i="3"/>
  <c r="A808" i="3"/>
  <c r="B808" i="3" s="1"/>
  <c r="W807" i="3" l="1"/>
  <c r="L807" i="3"/>
  <c r="P808" i="3"/>
  <c r="Q808" i="3" s="1"/>
  <c r="R808" i="3" s="1"/>
  <c r="S808" i="3" s="1"/>
  <c r="AA808" i="3"/>
  <c r="Z808" i="3"/>
  <c r="AC808" i="3"/>
  <c r="U807" i="3" l="1"/>
  <c r="Y806" i="3"/>
  <c r="T808" i="3"/>
  <c r="AH808" i="3" s="1"/>
  <c r="D808" i="3" l="1"/>
  <c r="G808" i="3" s="1"/>
  <c r="E808" i="3"/>
  <c r="H808" i="3" s="1"/>
  <c r="K808" i="3" s="1"/>
  <c r="AE808" i="3" s="1"/>
  <c r="AG808" i="3"/>
  <c r="F808" i="3" l="1"/>
  <c r="I808" i="3"/>
  <c r="J808" i="3"/>
  <c r="AD808" i="3" s="1"/>
  <c r="M808" i="3"/>
  <c r="N808" i="3" s="1"/>
  <c r="V808" i="3"/>
  <c r="A809" i="3"/>
  <c r="B809" i="3" s="1"/>
  <c r="W808" i="3" l="1"/>
  <c r="AC809" i="3"/>
  <c r="Z809" i="3"/>
  <c r="AA809" i="3"/>
  <c r="P809" i="3"/>
  <c r="Q809" i="3" s="1"/>
  <c r="R809" i="3" s="1"/>
  <c r="S809" i="3" s="1"/>
  <c r="L808" i="3"/>
  <c r="T809" i="3" l="1"/>
  <c r="U808" i="3"/>
  <c r="Y807" i="3"/>
  <c r="E809" i="3" l="1"/>
  <c r="H809" i="3" s="1"/>
  <c r="K809" i="3" s="1"/>
  <c r="AE809" i="3" s="1"/>
  <c r="AG809" i="3"/>
  <c r="D809" i="3"/>
  <c r="AH809" i="3"/>
  <c r="V809" i="3" l="1"/>
  <c r="A810" i="3"/>
  <c r="B810" i="3" s="1"/>
  <c r="F809" i="3"/>
  <c r="G809" i="3"/>
  <c r="I809" i="3" l="1"/>
  <c r="W809" i="3" s="1"/>
  <c r="J809" i="3"/>
  <c r="AD809" i="3" s="1"/>
  <c r="M809" i="3"/>
  <c r="N809" i="3" s="1"/>
  <c r="P810" i="3"/>
  <c r="Q810" i="3" s="1"/>
  <c r="R810" i="3" s="1"/>
  <c r="S810" i="3" s="1"/>
  <c r="AA810" i="3"/>
  <c r="AC810" i="3"/>
  <c r="Z810" i="3"/>
  <c r="T810" i="3" l="1"/>
  <c r="L809" i="3"/>
  <c r="AH810" i="3" l="1"/>
  <c r="AG810" i="3"/>
  <c r="U809" i="3"/>
  <c r="E810" i="3" s="1"/>
  <c r="H810" i="3" s="1"/>
  <c r="Y808" i="3"/>
  <c r="D810" i="3" l="1"/>
  <c r="G810" i="3" s="1"/>
  <c r="K810" i="3"/>
  <c r="AE810" i="3" s="1"/>
  <c r="F810" i="3" l="1"/>
  <c r="I810" i="3"/>
  <c r="J810" i="3"/>
  <c r="AD810" i="3" s="1"/>
  <c r="M810" i="3"/>
  <c r="N810" i="3" s="1"/>
  <c r="V810" i="3"/>
  <c r="A811" i="3"/>
  <c r="B811" i="3" s="1"/>
  <c r="L810" i="3" l="1"/>
  <c r="W810" i="3"/>
  <c r="AA811" i="3"/>
  <c r="P811" i="3"/>
  <c r="Q811" i="3" s="1"/>
  <c r="R811" i="3" s="1"/>
  <c r="S811" i="3" s="1"/>
  <c r="Z811" i="3"/>
  <c r="AC811" i="3"/>
  <c r="U810" i="3" l="1"/>
  <c r="Y809" i="3"/>
  <c r="T811" i="3"/>
  <c r="E811" i="3" l="1"/>
  <c r="H811" i="3" s="1"/>
  <c r="K811" i="3" s="1"/>
  <c r="AE811" i="3" s="1"/>
  <c r="AH811" i="3"/>
  <c r="AG811" i="3"/>
  <c r="D811" i="3"/>
  <c r="V811" i="3" l="1"/>
  <c r="A812" i="3"/>
  <c r="B812" i="3" s="1"/>
  <c r="F811" i="3"/>
  <c r="G811" i="3"/>
  <c r="I811" i="3" l="1"/>
  <c r="W811" i="3" s="1"/>
  <c r="J811" i="3"/>
  <c r="AD811" i="3" s="1"/>
  <c r="M811" i="3"/>
  <c r="N811" i="3" s="1"/>
  <c r="Z812" i="3"/>
  <c r="AA812" i="3"/>
  <c r="P812" i="3"/>
  <c r="Q812" i="3" s="1"/>
  <c r="R812" i="3" s="1"/>
  <c r="S812" i="3" s="1"/>
  <c r="AC812" i="3"/>
  <c r="T812" i="3" l="1"/>
  <c r="L811" i="3"/>
  <c r="AG812" i="3" l="1"/>
  <c r="U811" i="3"/>
  <c r="D812" i="3" s="1"/>
  <c r="AH812" i="3"/>
  <c r="Y810" i="3"/>
  <c r="G812" i="3" l="1"/>
  <c r="E812" i="3"/>
  <c r="H812" i="3" s="1"/>
  <c r="I812" i="3" l="1"/>
  <c r="J812" i="3"/>
  <c r="AD812" i="3" s="1"/>
  <c r="M812" i="3"/>
  <c r="N812" i="3" s="1"/>
  <c r="F812" i="3"/>
  <c r="K812" i="3"/>
  <c r="AE812" i="3" s="1"/>
  <c r="L812" i="3" l="1"/>
  <c r="V812" i="3"/>
  <c r="W812" i="3" s="1"/>
  <c r="A813" i="3"/>
  <c r="B813" i="3" s="1"/>
  <c r="U812" i="3" l="1"/>
  <c r="Y811" i="3"/>
  <c r="AA813" i="3"/>
  <c r="P813" i="3"/>
  <c r="Q813" i="3" s="1"/>
  <c r="R813" i="3" s="1"/>
  <c r="S813" i="3" s="1"/>
  <c r="Z813" i="3"/>
  <c r="AC813" i="3"/>
  <c r="T813" i="3" l="1"/>
  <c r="AG813" i="3" s="1"/>
  <c r="AH813" i="3" l="1"/>
  <c r="D813" i="3"/>
  <c r="E813" i="3"/>
  <c r="H813" i="3" s="1"/>
  <c r="F813" i="3" l="1"/>
  <c r="G813" i="3"/>
  <c r="K813" i="3"/>
  <c r="AE813" i="3" s="1"/>
  <c r="I813" i="3" l="1"/>
  <c r="J813" i="3"/>
  <c r="AD813" i="3" s="1"/>
  <c r="M813" i="3"/>
  <c r="N813" i="3" s="1"/>
  <c r="V813" i="3"/>
  <c r="A814" i="3"/>
  <c r="B814" i="3" s="1"/>
  <c r="W813" i="3" l="1"/>
  <c r="L813" i="3"/>
  <c r="P814" i="3"/>
  <c r="Q814" i="3" s="1"/>
  <c r="R814" i="3" s="1"/>
  <c r="S814" i="3" s="1"/>
  <c r="AA814" i="3"/>
  <c r="Z814" i="3"/>
  <c r="AC814" i="3"/>
  <c r="U813" i="3" l="1"/>
  <c r="Y812" i="3"/>
  <c r="T814" i="3"/>
  <c r="D814" i="3" l="1"/>
  <c r="G814" i="3" s="1"/>
  <c r="E814" i="3"/>
  <c r="H814" i="3" s="1"/>
  <c r="K814" i="3" s="1"/>
  <c r="AE814" i="3" s="1"/>
  <c r="AH814" i="3"/>
  <c r="AG814" i="3"/>
  <c r="F814" i="3" l="1"/>
  <c r="I814" i="3"/>
  <c r="J814" i="3"/>
  <c r="AD814" i="3" s="1"/>
  <c r="M814" i="3"/>
  <c r="N814" i="3" s="1"/>
  <c r="V814" i="3"/>
  <c r="A815" i="3"/>
  <c r="B815" i="3" s="1"/>
  <c r="W814" i="3" l="1"/>
  <c r="L814" i="3"/>
  <c r="AA815" i="3"/>
  <c r="AC815" i="3"/>
  <c r="Z815" i="3"/>
  <c r="P815" i="3"/>
  <c r="Q815" i="3" s="1"/>
  <c r="R815" i="3" s="1"/>
  <c r="S815" i="3" s="1"/>
  <c r="T815" i="3" l="1"/>
  <c r="AH815" i="3" s="1"/>
  <c r="U814" i="3"/>
  <c r="Y813" i="3"/>
  <c r="AG815" i="3" l="1"/>
  <c r="E815" i="3"/>
  <c r="H815" i="3" s="1"/>
  <c r="D815" i="3"/>
  <c r="K815" i="3" l="1"/>
  <c r="AE815" i="3" s="1"/>
  <c r="F815" i="3"/>
  <c r="G815" i="3"/>
  <c r="V815" i="3" l="1"/>
  <c r="A816" i="3"/>
  <c r="B816" i="3" s="1"/>
  <c r="I815" i="3"/>
  <c r="J815" i="3"/>
  <c r="AD815" i="3" s="1"/>
  <c r="M815" i="3"/>
  <c r="N815" i="3" s="1"/>
  <c r="W815" i="3" l="1"/>
  <c r="L815" i="3"/>
  <c r="P816" i="3"/>
  <c r="Q816" i="3" s="1"/>
  <c r="R816" i="3" s="1"/>
  <c r="S816" i="3" s="1"/>
  <c r="AC816" i="3"/>
  <c r="AA816" i="3"/>
  <c r="Z816" i="3"/>
  <c r="T816" i="3" l="1"/>
  <c r="U815" i="3"/>
  <c r="Y814" i="3"/>
  <c r="E816" i="3" l="1"/>
  <c r="H816" i="3" s="1"/>
  <c r="K816" i="3" s="1"/>
  <c r="AE816" i="3" s="1"/>
  <c r="D816" i="3"/>
  <c r="G816" i="3" s="1"/>
  <c r="AG816" i="3"/>
  <c r="AH816" i="3"/>
  <c r="F816" i="3" l="1"/>
  <c r="I816" i="3"/>
  <c r="J816" i="3"/>
  <c r="AD816" i="3" s="1"/>
  <c r="M816" i="3"/>
  <c r="N816" i="3" s="1"/>
  <c r="V816" i="3"/>
  <c r="A817" i="3"/>
  <c r="B817" i="3" s="1"/>
  <c r="W816" i="3" l="1"/>
  <c r="L816" i="3"/>
  <c r="P817" i="3"/>
  <c r="Q817" i="3" s="1"/>
  <c r="R817" i="3" s="1"/>
  <c r="S817" i="3" s="1"/>
  <c r="Z817" i="3"/>
  <c r="AA817" i="3"/>
  <c r="AC817" i="3"/>
  <c r="U816" i="3" l="1"/>
  <c r="Y815" i="3"/>
  <c r="T817" i="3"/>
  <c r="AG817" i="3" s="1"/>
  <c r="E817" i="3" l="1"/>
  <c r="H817" i="3" s="1"/>
  <c r="AH817" i="3"/>
  <c r="D817" i="3"/>
  <c r="F817" i="3" l="1"/>
  <c r="G817" i="3"/>
  <c r="K817" i="3"/>
  <c r="AE817" i="3" s="1"/>
  <c r="V817" i="3" l="1"/>
  <c r="A818" i="3"/>
  <c r="B818" i="3" s="1"/>
  <c r="I817" i="3"/>
  <c r="J817" i="3"/>
  <c r="AD817" i="3" s="1"/>
  <c r="M817" i="3"/>
  <c r="N817" i="3" s="1"/>
  <c r="W817" i="3" l="1"/>
  <c r="L817" i="3"/>
  <c r="Z818" i="3"/>
  <c r="AA818" i="3"/>
  <c r="P818" i="3"/>
  <c r="Q818" i="3" s="1"/>
  <c r="R818" i="3" s="1"/>
  <c r="S818" i="3" s="1"/>
  <c r="AC818" i="3"/>
  <c r="T818" i="3" l="1"/>
  <c r="U817" i="3"/>
  <c r="Y816" i="3"/>
  <c r="E818" i="3" l="1"/>
  <c r="H818" i="3" s="1"/>
  <c r="K818" i="3" s="1"/>
  <c r="AE818" i="3" s="1"/>
  <c r="D818" i="3"/>
  <c r="G818" i="3" s="1"/>
  <c r="AH818" i="3"/>
  <c r="AG818" i="3"/>
  <c r="F818" i="3" l="1"/>
  <c r="V818" i="3"/>
  <c r="A819" i="3"/>
  <c r="B819" i="3" s="1"/>
  <c r="I818" i="3"/>
  <c r="J818" i="3"/>
  <c r="AD818" i="3" s="1"/>
  <c r="M818" i="3"/>
  <c r="N818" i="3" s="1"/>
  <c r="W818" i="3" l="1"/>
  <c r="L818" i="3"/>
  <c r="AC819" i="3"/>
  <c r="AA819" i="3"/>
  <c r="Z819" i="3"/>
  <c r="P819" i="3"/>
  <c r="Q819" i="3" s="1"/>
  <c r="R819" i="3" s="1"/>
  <c r="S819" i="3" s="1"/>
  <c r="T819" i="3" l="1"/>
  <c r="AG819" i="3" s="1"/>
  <c r="U818" i="3"/>
  <c r="Y817" i="3"/>
  <c r="AH819" i="3" l="1"/>
  <c r="E819" i="3"/>
  <c r="H819" i="3" s="1"/>
  <c r="K819" i="3" s="1"/>
  <c r="AE819" i="3" s="1"/>
  <c r="D819" i="3"/>
  <c r="V819" i="3" l="1"/>
  <c r="A820" i="3"/>
  <c r="B820" i="3" s="1"/>
  <c r="F819" i="3"/>
  <c r="G819" i="3"/>
  <c r="I819" i="3" l="1"/>
  <c r="W819" i="3" s="1"/>
  <c r="J819" i="3"/>
  <c r="AD819" i="3" s="1"/>
  <c r="M819" i="3"/>
  <c r="N819" i="3" s="1"/>
  <c r="Z820" i="3"/>
  <c r="AA820" i="3"/>
  <c r="P820" i="3"/>
  <c r="Q820" i="3" s="1"/>
  <c r="R820" i="3" s="1"/>
  <c r="S820" i="3" s="1"/>
  <c r="AC820" i="3"/>
  <c r="T820" i="3" l="1"/>
  <c r="L819" i="3"/>
  <c r="U819" i="3" l="1"/>
  <c r="E820" i="3" s="1"/>
  <c r="H820" i="3" s="1"/>
  <c r="AG820" i="3"/>
  <c r="AH820" i="3"/>
  <c r="Y818" i="3"/>
  <c r="D820" i="3" l="1"/>
  <c r="G820" i="3" s="1"/>
  <c r="K820" i="3"/>
  <c r="AE820" i="3" s="1"/>
  <c r="F820" i="3" l="1"/>
  <c r="I820" i="3"/>
  <c r="J820" i="3"/>
  <c r="AD820" i="3" s="1"/>
  <c r="M820" i="3"/>
  <c r="N820" i="3" s="1"/>
  <c r="V820" i="3"/>
  <c r="A821" i="3"/>
  <c r="B821" i="3" s="1"/>
  <c r="W820" i="3" l="1"/>
  <c r="L820" i="3"/>
  <c r="P821" i="3"/>
  <c r="Q821" i="3" s="1"/>
  <c r="R821" i="3" s="1"/>
  <c r="S821" i="3" s="1"/>
  <c r="AA821" i="3"/>
  <c r="Z821" i="3"/>
  <c r="AC821" i="3"/>
  <c r="U820" i="3" l="1"/>
  <c r="Y819" i="3"/>
  <c r="T821" i="3"/>
  <c r="AH821" i="3" s="1"/>
  <c r="AG821" i="3" l="1"/>
  <c r="D821" i="3"/>
  <c r="G821" i="3" s="1"/>
  <c r="E821" i="3"/>
  <c r="H821" i="3" s="1"/>
  <c r="F821" i="3" l="1"/>
  <c r="K821" i="3"/>
  <c r="AE821" i="3" s="1"/>
  <c r="I821" i="3"/>
  <c r="J821" i="3"/>
  <c r="AD821" i="3" s="1"/>
  <c r="M821" i="3"/>
  <c r="N821" i="3" s="1"/>
  <c r="L821" i="3" l="1"/>
  <c r="V821" i="3"/>
  <c r="W821" i="3" s="1"/>
  <c r="A822" i="3"/>
  <c r="B822" i="3" s="1"/>
  <c r="P822" i="3" l="1"/>
  <c r="Q822" i="3" s="1"/>
  <c r="R822" i="3" s="1"/>
  <c r="S822" i="3" s="1"/>
  <c r="AA822" i="3"/>
  <c r="Z822" i="3"/>
  <c r="AC822" i="3"/>
  <c r="U821" i="3"/>
  <c r="Y820" i="3"/>
  <c r="T822" i="3" l="1"/>
  <c r="AH822" i="3" s="1"/>
  <c r="D822" i="3" l="1"/>
  <c r="E822" i="3"/>
  <c r="H822" i="3" s="1"/>
  <c r="AG822" i="3"/>
  <c r="K822" i="3" l="1"/>
  <c r="AE822" i="3" s="1"/>
  <c r="F822" i="3"/>
  <c r="G822" i="3"/>
  <c r="I822" i="3" l="1"/>
  <c r="J822" i="3"/>
  <c r="AD822" i="3" s="1"/>
  <c r="M822" i="3"/>
  <c r="N822" i="3" s="1"/>
  <c r="V822" i="3"/>
  <c r="A823" i="3"/>
  <c r="B823" i="3" s="1"/>
  <c r="W822" i="3" l="1"/>
  <c r="L822" i="3"/>
  <c r="AC823" i="3"/>
  <c r="Z823" i="3"/>
  <c r="P823" i="3"/>
  <c r="Q823" i="3" s="1"/>
  <c r="R823" i="3" s="1"/>
  <c r="S823" i="3" s="1"/>
  <c r="AA823" i="3"/>
  <c r="U822" i="3" l="1"/>
  <c r="Y821" i="3"/>
  <c r="T823" i="3"/>
  <c r="D823" i="3" l="1"/>
  <c r="G823" i="3" s="1"/>
  <c r="E823" i="3"/>
  <c r="H823" i="3" s="1"/>
  <c r="AG823" i="3"/>
  <c r="AH823" i="3"/>
  <c r="F823" i="3" l="1"/>
  <c r="I823" i="3"/>
  <c r="J823" i="3"/>
  <c r="AD823" i="3" s="1"/>
  <c r="M823" i="3"/>
  <c r="N823" i="3" s="1"/>
  <c r="K823" i="3"/>
  <c r="AE823" i="3" s="1"/>
  <c r="V823" i="3" l="1"/>
  <c r="W823" i="3" s="1"/>
  <c r="A824" i="3"/>
  <c r="B824" i="3" s="1"/>
  <c r="L823" i="3"/>
  <c r="U823" i="3" l="1"/>
  <c r="Y822" i="3"/>
  <c r="Z824" i="3"/>
  <c r="P824" i="3"/>
  <c r="Q824" i="3" s="1"/>
  <c r="R824" i="3" s="1"/>
  <c r="S824" i="3" s="1"/>
  <c r="AC824" i="3"/>
  <c r="AA824" i="3"/>
  <c r="T824" i="3" l="1"/>
  <c r="D824" i="3" s="1"/>
  <c r="AH824" i="3" l="1"/>
  <c r="E824" i="3"/>
  <c r="H824" i="3" s="1"/>
  <c r="K824" i="3" s="1"/>
  <c r="AE824" i="3" s="1"/>
  <c r="AG824" i="3"/>
  <c r="G824" i="3"/>
  <c r="F824" i="3" l="1"/>
  <c r="V824" i="3"/>
  <c r="A825" i="3"/>
  <c r="B825" i="3" s="1"/>
  <c r="I824" i="3"/>
  <c r="J824" i="3"/>
  <c r="AD824" i="3" s="1"/>
  <c r="M824" i="3"/>
  <c r="N824" i="3" s="1"/>
  <c r="L824" i="3" l="1"/>
  <c r="W824" i="3"/>
  <c r="Z825" i="3"/>
  <c r="AC825" i="3"/>
  <c r="P825" i="3"/>
  <c r="Q825" i="3" s="1"/>
  <c r="R825" i="3" s="1"/>
  <c r="S825" i="3" s="1"/>
  <c r="AA825" i="3"/>
  <c r="AD825" i="3"/>
  <c r="T825" i="3" l="1"/>
  <c r="AG825" i="3" s="1"/>
  <c r="U824" i="3"/>
  <c r="Y823" i="3"/>
  <c r="D825" i="3" l="1"/>
  <c r="E825" i="3"/>
  <c r="H825" i="3" s="1"/>
  <c r="AH825" i="3"/>
  <c r="F825" i="3" l="1"/>
  <c r="G825" i="3"/>
  <c r="K825" i="3"/>
  <c r="AE825" i="3" s="1"/>
  <c r="I825" i="3" l="1"/>
  <c r="J825" i="3"/>
  <c r="M825" i="3"/>
  <c r="N825" i="3" s="1"/>
  <c r="V825" i="3"/>
  <c r="A826" i="3"/>
  <c r="B826" i="3" s="1"/>
  <c r="W825" i="3" l="1"/>
  <c r="L825" i="3"/>
  <c r="P826" i="3"/>
  <c r="Q826" i="3" s="1"/>
  <c r="R826" i="3" s="1"/>
  <c r="S826" i="3" s="1"/>
  <c r="Z826" i="3"/>
  <c r="AA826" i="3"/>
  <c r="AD826" i="3"/>
  <c r="AC826" i="3"/>
  <c r="U825" i="3" l="1"/>
  <c r="Y824" i="3"/>
  <c r="T826" i="3"/>
  <c r="AG826" i="3" s="1"/>
  <c r="E826" i="3" l="1"/>
  <c r="H826" i="3" s="1"/>
  <c r="K826" i="3" s="1"/>
  <c r="AE826" i="3" s="1"/>
  <c r="AH826" i="3"/>
  <c r="D826" i="3"/>
  <c r="G826" i="3" s="1"/>
  <c r="F826" i="3" l="1"/>
  <c r="I826" i="3"/>
  <c r="J826" i="3"/>
  <c r="M826" i="3"/>
  <c r="N826" i="3" s="1"/>
  <c r="V826" i="3"/>
  <c r="A827" i="3"/>
  <c r="B827" i="3" s="1"/>
  <c r="W826" i="3" l="1"/>
  <c r="L826" i="3"/>
  <c r="Z827" i="3"/>
  <c r="AA827" i="3"/>
  <c r="AD827" i="3"/>
  <c r="P827" i="3"/>
  <c r="Q827" i="3" s="1"/>
  <c r="R827" i="3" s="1"/>
  <c r="S827" i="3" s="1"/>
  <c r="AC827" i="3"/>
  <c r="U826" i="3" l="1"/>
  <c r="Y825" i="3"/>
  <c r="T827" i="3"/>
  <c r="AH827" i="3" s="1"/>
  <c r="D827" i="3" l="1"/>
  <c r="G827" i="3" s="1"/>
  <c r="E827" i="3"/>
  <c r="H827" i="3" s="1"/>
  <c r="K827" i="3" s="1"/>
  <c r="AE827" i="3" s="1"/>
  <c r="AG827" i="3"/>
  <c r="F827" i="3" l="1"/>
  <c r="V827" i="3"/>
  <c r="A828" i="3"/>
  <c r="B828" i="3" s="1"/>
  <c r="I827" i="3"/>
  <c r="J827" i="3"/>
  <c r="M827" i="3"/>
  <c r="N827" i="3" s="1"/>
  <c r="W827" i="3" l="1"/>
  <c r="L827" i="3"/>
  <c r="AD828" i="3"/>
  <c r="P828" i="3"/>
  <c r="Q828" i="3" s="1"/>
  <c r="R828" i="3" s="1"/>
  <c r="S828" i="3" s="1"/>
  <c r="AC828" i="3"/>
  <c r="AA828" i="3"/>
  <c r="Z828" i="3"/>
  <c r="U827" i="3" l="1"/>
  <c r="Y826" i="3"/>
  <c r="T828" i="3"/>
  <c r="D828" i="3" l="1"/>
  <c r="G828" i="3" s="1"/>
  <c r="AG828" i="3"/>
  <c r="AH828" i="3"/>
  <c r="E828" i="3"/>
  <c r="H828" i="3" s="1"/>
  <c r="F828" i="3" l="1"/>
  <c r="I828" i="3"/>
  <c r="J828" i="3"/>
  <c r="M828" i="3"/>
  <c r="N828" i="3" s="1"/>
  <c r="K828" i="3"/>
  <c r="AE828" i="3" s="1"/>
  <c r="V828" i="3" l="1"/>
  <c r="W828" i="3" s="1"/>
  <c r="A829" i="3"/>
  <c r="B829" i="3" s="1"/>
  <c r="L828" i="3"/>
  <c r="U828" i="3" l="1"/>
  <c r="Y827" i="3"/>
  <c r="AC829" i="3"/>
  <c r="Z829" i="3"/>
  <c r="AA829" i="3"/>
  <c r="P829" i="3"/>
  <c r="Q829" i="3" s="1"/>
  <c r="R829" i="3" s="1"/>
  <c r="S829" i="3" s="1"/>
  <c r="AD829" i="3"/>
  <c r="T829" i="3" l="1"/>
  <c r="E829" i="3" s="1"/>
  <c r="H829" i="3" s="1"/>
  <c r="AH829" i="3" l="1"/>
  <c r="D829" i="3"/>
  <c r="G829" i="3" s="1"/>
  <c r="AG829" i="3"/>
  <c r="K829" i="3"/>
  <c r="AE829" i="3" s="1"/>
  <c r="F829" i="3" l="1"/>
  <c r="I829" i="3"/>
  <c r="J829" i="3"/>
  <c r="M829" i="3"/>
  <c r="N829" i="3" s="1"/>
  <c r="V829" i="3"/>
  <c r="A830" i="3"/>
  <c r="B830" i="3" s="1"/>
  <c r="W829" i="3" l="1"/>
  <c r="L829" i="3"/>
  <c r="AA830" i="3"/>
  <c r="Z830" i="3"/>
  <c r="AC830" i="3"/>
  <c r="AD830" i="3"/>
  <c r="P830" i="3"/>
  <c r="Q830" i="3" s="1"/>
  <c r="R830" i="3" s="1"/>
  <c r="S830" i="3" s="1"/>
  <c r="U829" i="3" l="1"/>
  <c r="Y828" i="3"/>
  <c r="T830" i="3"/>
  <c r="D830" i="3" l="1"/>
  <c r="G830" i="3" s="1"/>
  <c r="E830" i="3"/>
  <c r="H830" i="3" s="1"/>
  <c r="AG830" i="3"/>
  <c r="AH830" i="3"/>
  <c r="F830" i="3" l="1"/>
  <c r="I830" i="3"/>
  <c r="J830" i="3"/>
  <c r="M830" i="3"/>
  <c r="N830" i="3" s="1"/>
  <c r="K830" i="3"/>
  <c r="AE830" i="3" s="1"/>
  <c r="V830" i="3" l="1"/>
  <c r="W830" i="3" s="1"/>
  <c r="A831" i="3"/>
  <c r="B831" i="3" s="1"/>
  <c r="L830" i="3"/>
  <c r="U830" i="3" l="1"/>
  <c r="Y829" i="3"/>
  <c r="Z831" i="3"/>
  <c r="P831" i="3"/>
  <c r="Q831" i="3" s="1"/>
  <c r="R831" i="3" s="1"/>
  <c r="S831" i="3" s="1"/>
  <c r="AA831" i="3"/>
  <c r="AD831" i="3"/>
  <c r="AC831" i="3"/>
  <c r="T831" i="3" l="1"/>
  <c r="AH831" i="3" s="1"/>
  <c r="E831" i="3" l="1"/>
  <c r="H831" i="3" s="1"/>
  <c r="K831" i="3" s="1"/>
  <c r="AE831" i="3" s="1"/>
  <c r="D831" i="3"/>
  <c r="G831" i="3" s="1"/>
  <c r="AG831" i="3"/>
  <c r="F831" i="3" l="1"/>
  <c r="I831" i="3"/>
  <c r="J831" i="3"/>
  <c r="M831" i="3"/>
  <c r="N831" i="3" s="1"/>
  <c r="V831" i="3"/>
  <c r="A832" i="3"/>
  <c r="B832" i="3" s="1"/>
  <c r="W831" i="3" l="1"/>
  <c r="L831" i="3"/>
  <c r="P832" i="3"/>
  <c r="Q832" i="3" s="1"/>
  <c r="R832" i="3" s="1"/>
  <c r="S832" i="3" s="1"/>
  <c r="AC832" i="3"/>
  <c r="AD832" i="3"/>
  <c r="Z832" i="3"/>
  <c r="AA832" i="3"/>
  <c r="U831" i="3" l="1"/>
  <c r="Y830" i="3"/>
  <c r="T832" i="3"/>
  <c r="AH832" i="3" s="1"/>
  <c r="D832" i="3" l="1"/>
  <c r="G832" i="3" s="1"/>
  <c r="AG832" i="3"/>
  <c r="E832" i="3"/>
  <c r="H832" i="3" s="1"/>
  <c r="K832" i="3" l="1"/>
  <c r="AE832" i="3" s="1"/>
  <c r="I832" i="3"/>
  <c r="J832" i="3"/>
  <c r="M832" i="3"/>
  <c r="N832" i="3" s="1"/>
  <c r="F832" i="3"/>
  <c r="L832" i="3" l="1"/>
  <c r="V832" i="3"/>
  <c r="W832" i="3" s="1"/>
  <c r="A833" i="3"/>
  <c r="B833" i="3" s="1"/>
  <c r="U832" i="3" l="1"/>
  <c r="Y831" i="3"/>
  <c r="Z833" i="3"/>
  <c r="AC833" i="3"/>
  <c r="P833" i="3"/>
  <c r="Q833" i="3" s="1"/>
  <c r="R833" i="3" s="1"/>
  <c r="S833" i="3" s="1"/>
  <c r="AD833" i="3"/>
  <c r="AA833" i="3"/>
  <c r="T833" i="3" l="1"/>
  <c r="AH833" i="3" s="1"/>
  <c r="E833" i="3" l="1"/>
  <c r="H833" i="3" s="1"/>
  <c r="K833" i="3" s="1"/>
  <c r="AE833" i="3" s="1"/>
  <c r="AG833" i="3"/>
  <c r="D833" i="3"/>
  <c r="G833" i="3" s="1"/>
  <c r="F833" i="3" l="1"/>
  <c r="I833" i="3"/>
  <c r="J833" i="3"/>
  <c r="M833" i="3"/>
  <c r="N833" i="3" s="1"/>
  <c r="V833" i="3"/>
  <c r="A834" i="3"/>
  <c r="B834" i="3" s="1"/>
  <c r="L833" i="3" l="1"/>
  <c r="W833" i="3"/>
  <c r="AC834" i="3"/>
  <c r="P834" i="3"/>
  <c r="Q834" i="3" s="1"/>
  <c r="R834" i="3" s="1"/>
  <c r="S834" i="3" s="1"/>
  <c r="AA834" i="3"/>
  <c r="Z834" i="3"/>
  <c r="U833" i="3" l="1"/>
  <c r="Y832" i="3"/>
  <c r="T834" i="3"/>
  <c r="D834" i="3" l="1"/>
  <c r="G834" i="3" s="1"/>
  <c r="E834" i="3"/>
  <c r="H834" i="3" s="1"/>
  <c r="K834" i="3" s="1"/>
  <c r="AE834" i="3" s="1"/>
  <c r="AH834" i="3"/>
  <c r="AG834" i="3"/>
  <c r="F834" i="3" l="1"/>
  <c r="V834" i="3"/>
  <c r="A835" i="3"/>
  <c r="B835" i="3" s="1"/>
  <c r="I834" i="3"/>
  <c r="J834" i="3"/>
  <c r="AD834" i="3" s="1"/>
  <c r="M834" i="3"/>
  <c r="N834" i="3" s="1"/>
  <c r="W834" i="3" l="1"/>
  <c r="L834" i="3"/>
  <c r="Z835" i="3"/>
  <c r="P835" i="3"/>
  <c r="Q835" i="3" s="1"/>
  <c r="R835" i="3" s="1"/>
  <c r="S835" i="3" s="1"/>
  <c r="AC835" i="3"/>
  <c r="AA835" i="3"/>
  <c r="T835" i="3" l="1"/>
  <c r="U834" i="3"/>
  <c r="Y833" i="3"/>
  <c r="E835" i="3" l="1"/>
  <c r="H835" i="3" s="1"/>
  <c r="K835" i="3" s="1"/>
  <c r="AE835" i="3" s="1"/>
  <c r="AH835" i="3"/>
  <c r="AG835" i="3"/>
  <c r="D835" i="3"/>
  <c r="F835" i="3" l="1"/>
  <c r="G835" i="3"/>
  <c r="V835" i="3"/>
  <c r="A836" i="3"/>
  <c r="B836" i="3" s="1"/>
  <c r="I835" i="3" l="1"/>
  <c r="W835" i="3" s="1"/>
  <c r="J835" i="3"/>
  <c r="AD835" i="3" s="1"/>
  <c r="M835" i="3"/>
  <c r="N835" i="3" s="1"/>
  <c r="Z836" i="3"/>
  <c r="AA836" i="3"/>
  <c r="AC836" i="3"/>
  <c r="P836" i="3"/>
  <c r="Q836" i="3" s="1"/>
  <c r="R836" i="3" s="1"/>
  <c r="S836" i="3" s="1"/>
  <c r="T836" i="3" l="1"/>
  <c r="L835" i="3"/>
  <c r="AG836" i="3" l="1"/>
  <c r="U835" i="3"/>
  <c r="D836" i="3" s="1"/>
  <c r="AH836" i="3"/>
  <c r="Y834" i="3"/>
  <c r="E836" i="3" l="1"/>
  <c r="H836" i="3" s="1"/>
  <c r="K836" i="3" s="1"/>
  <c r="AE836" i="3" s="1"/>
  <c r="G836" i="3"/>
  <c r="F836" i="3" l="1"/>
  <c r="V836" i="3"/>
  <c r="A837" i="3"/>
  <c r="B837" i="3" s="1"/>
  <c r="I836" i="3"/>
  <c r="J836" i="3"/>
  <c r="AD836" i="3" s="1"/>
  <c r="M836" i="3"/>
  <c r="N836" i="3" s="1"/>
  <c r="L836" i="3" l="1"/>
  <c r="W836" i="3"/>
  <c r="P837" i="3"/>
  <c r="Q837" i="3" s="1"/>
  <c r="R837" i="3" s="1"/>
  <c r="S837" i="3" s="1"/>
  <c r="AA837" i="3"/>
  <c r="AC837" i="3"/>
  <c r="Z837" i="3"/>
  <c r="U836" i="3" l="1"/>
  <c r="Y835" i="3"/>
  <c r="T837" i="3"/>
  <c r="AH837" i="3" s="1"/>
  <c r="E837" i="3" l="1"/>
  <c r="H837" i="3" s="1"/>
  <c r="K837" i="3" s="1"/>
  <c r="AE837" i="3" s="1"/>
  <c r="D837" i="3"/>
  <c r="G837" i="3" s="1"/>
  <c r="AG837" i="3"/>
  <c r="F837" i="3" l="1"/>
  <c r="I837" i="3"/>
  <c r="J837" i="3"/>
  <c r="AD837" i="3" s="1"/>
  <c r="M837" i="3"/>
  <c r="N837" i="3" s="1"/>
  <c r="V837" i="3"/>
  <c r="A838" i="3"/>
  <c r="B838" i="3" s="1"/>
  <c r="W837" i="3" l="1"/>
  <c r="L837" i="3"/>
  <c r="P838" i="3"/>
  <c r="Q838" i="3" s="1"/>
  <c r="R838" i="3" s="1"/>
  <c r="S838" i="3" s="1"/>
  <c r="AA838" i="3"/>
  <c r="AC838" i="3"/>
  <c r="Z838" i="3"/>
  <c r="U837" i="3" l="1"/>
  <c r="Y836" i="3"/>
  <c r="T838" i="3"/>
  <c r="AH838" i="3" s="1"/>
  <c r="E838" i="3" l="1"/>
  <c r="H838" i="3" s="1"/>
  <c r="D838" i="3"/>
  <c r="AG838" i="3"/>
  <c r="K838" i="3" l="1"/>
  <c r="AE838" i="3" s="1"/>
  <c r="F838" i="3"/>
  <c r="G838" i="3"/>
  <c r="V838" i="3" l="1"/>
  <c r="A839" i="3"/>
  <c r="B839" i="3" s="1"/>
  <c r="I838" i="3"/>
  <c r="J838" i="3"/>
  <c r="AD838" i="3" s="1"/>
  <c r="M838" i="3"/>
  <c r="N838" i="3" s="1"/>
  <c r="W838" i="3" l="1"/>
  <c r="L838" i="3"/>
  <c r="AC839" i="3"/>
  <c r="Z839" i="3"/>
  <c r="AA839" i="3"/>
  <c r="P839" i="3"/>
  <c r="Q839" i="3" s="1"/>
  <c r="R839" i="3" s="1"/>
  <c r="S839" i="3" s="1"/>
  <c r="U838" i="3" l="1"/>
  <c r="Y837" i="3"/>
  <c r="T839" i="3"/>
  <c r="AG839" i="3" s="1"/>
  <c r="D839" i="3" l="1"/>
  <c r="E839" i="3"/>
  <c r="H839" i="3" s="1"/>
  <c r="AH839" i="3"/>
  <c r="F839" i="3" l="1"/>
  <c r="G839" i="3"/>
  <c r="K839" i="3"/>
  <c r="AE839" i="3" s="1"/>
  <c r="V839" i="3" l="1"/>
  <c r="A840" i="3"/>
  <c r="B840" i="3" s="1"/>
  <c r="I839" i="3"/>
  <c r="J839" i="3"/>
  <c r="AD839" i="3" s="1"/>
  <c r="M839" i="3"/>
  <c r="N839" i="3" s="1"/>
  <c r="W839" i="3" l="1"/>
  <c r="L839" i="3"/>
  <c r="AC840" i="3"/>
  <c r="P840" i="3"/>
  <c r="Q840" i="3" s="1"/>
  <c r="R840" i="3" s="1"/>
  <c r="S840" i="3" s="1"/>
  <c r="AA840" i="3"/>
  <c r="Z840" i="3"/>
  <c r="T840" i="3" l="1"/>
  <c r="U839" i="3"/>
  <c r="Y838" i="3"/>
  <c r="D840" i="3" l="1"/>
  <c r="G840" i="3" s="1"/>
  <c r="AG840" i="3"/>
  <c r="E840" i="3"/>
  <c r="H840" i="3" s="1"/>
  <c r="AH840" i="3"/>
  <c r="K840" i="3" l="1"/>
  <c r="AE840" i="3" s="1"/>
  <c r="I840" i="3"/>
  <c r="J840" i="3"/>
  <c r="AD840" i="3" s="1"/>
  <c r="M840" i="3"/>
  <c r="N840" i="3" s="1"/>
  <c r="F840" i="3"/>
  <c r="L840" i="3" l="1"/>
  <c r="V840" i="3"/>
  <c r="W840" i="3" s="1"/>
  <c r="A841" i="3"/>
  <c r="B841" i="3" s="1"/>
  <c r="U840" i="3" l="1"/>
  <c r="Y839" i="3"/>
  <c r="AA841" i="3"/>
  <c r="Z841" i="3"/>
  <c r="AC841" i="3"/>
  <c r="P841" i="3"/>
  <c r="Q841" i="3" s="1"/>
  <c r="R841" i="3" s="1"/>
  <c r="S841" i="3" s="1"/>
  <c r="T841" i="3" l="1"/>
  <c r="AH841" i="3" s="1"/>
  <c r="E841" i="3" l="1"/>
  <c r="H841" i="3" s="1"/>
  <c r="K841" i="3" s="1"/>
  <c r="AE841" i="3" s="1"/>
  <c r="AG841" i="3"/>
  <c r="D841" i="3"/>
  <c r="G841" i="3" s="1"/>
  <c r="F841" i="3" l="1"/>
  <c r="I841" i="3"/>
  <c r="J841" i="3"/>
  <c r="AD841" i="3" s="1"/>
  <c r="M841" i="3"/>
  <c r="N841" i="3" s="1"/>
  <c r="V841" i="3"/>
  <c r="A842" i="3"/>
  <c r="B842" i="3" s="1"/>
  <c r="W841" i="3" l="1"/>
  <c r="L841" i="3"/>
  <c r="P842" i="3"/>
  <c r="Q842" i="3" s="1"/>
  <c r="R842" i="3" s="1"/>
  <c r="S842" i="3" s="1"/>
  <c r="Z842" i="3"/>
  <c r="AC842" i="3"/>
  <c r="AA842" i="3"/>
  <c r="U841" i="3" l="1"/>
  <c r="Y840" i="3"/>
  <c r="T842" i="3"/>
  <c r="AG842" i="3" s="1"/>
  <c r="D842" i="3" l="1"/>
  <c r="G842" i="3" s="1"/>
  <c r="E842" i="3"/>
  <c r="H842" i="3" s="1"/>
  <c r="K842" i="3" s="1"/>
  <c r="AE842" i="3" s="1"/>
  <c r="AH842" i="3"/>
  <c r="F842" i="3" l="1"/>
  <c r="V842" i="3"/>
  <c r="A843" i="3"/>
  <c r="B843" i="3" s="1"/>
  <c r="I842" i="3"/>
  <c r="J842" i="3"/>
  <c r="AD842" i="3" s="1"/>
  <c r="M842" i="3"/>
  <c r="N842" i="3" s="1"/>
  <c r="W842" i="3" l="1"/>
  <c r="L842" i="3"/>
  <c r="AC843" i="3"/>
  <c r="AA843" i="3"/>
  <c r="Z843" i="3"/>
  <c r="P843" i="3"/>
  <c r="Q843" i="3" s="1"/>
  <c r="R843" i="3" s="1"/>
  <c r="S843" i="3" s="1"/>
  <c r="U842" i="3" l="1"/>
  <c r="Y841" i="3"/>
  <c r="T843" i="3"/>
  <c r="AG843" i="3" s="1"/>
  <c r="D843" i="3" l="1"/>
  <c r="E843" i="3"/>
  <c r="H843" i="3" s="1"/>
  <c r="AH843" i="3"/>
  <c r="F843" i="3" l="1"/>
  <c r="G843" i="3"/>
  <c r="K843" i="3"/>
  <c r="AE843" i="3" s="1"/>
  <c r="V843" i="3" l="1"/>
  <c r="A844" i="3"/>
  <c r="B844" i="3" s="1"/>
  <c r="I843" i="3"/>
  <c r="J843" i="3"/>
  <c r="AD843" i="3" s="1"/>
  <c r="M843" i="3"/>
  <c r="N843" i="3" s="1"/>
  <c r="W843" i="3" l="1"/>
  <c r="L843" i="3"/>
  <c r="AC844" i="3"/>
  <c r="P844" i="3"/>
  <c r="Q844" i="3" s="1"/>
  <c r="R844" i="3" s="1"/>
  <c r="S844" i="3" s="1"/>
  <c r="Z844" i="3"/>
  <c r="AA844" i="3"/>
  <c r="U843" i="3" l="1"/>
  <c r="Y842" i="3"/>
  <c r="T844" i="3"/>
  <c r="AH844" i="3" s="1"/>
  <c r="AG844" i="3" l="1"/>
  <c r="E844" i="3"/>
  <c r="H844" i="3" s="1"/>
  <c r="K844" i="3" s="1"/>
  <c r="AE844" i="3" s="1"/>
  <c r="D844" i="3"/>
  <c r="V844" i="3" l="1"/>
  <c r="A845" i="3"/>
  <c r="B845" i="3" s="1"/>
  <c r="F844" i="3"/>
  <c r="G844" i="3"/>
  <c r="I844" i="3" l="1"/>
  <c r="W844" i="3" s="1"/>
  <c r="J844" i="3"/>
  <c r="AD844" i="3" s="1"/>
  <c r="M844" i="3"/>
  <c r="N844" i="3" s="1"/>
  <c r="AC845" i="3"/>
  <c r="P845" i="3"/>
  <c r="Q845" i="3" s="1"/>
  <c r="R845" i="3" s="1"/>
  <c r="S845" i="3" s="1"/>
  <c r="Z845" i="3"/>
  <c r="AA845" i="3"/>
  <c r="T845" i="3" l="1"/>
  <c r="L844" i="3"/>
  <c r="AH845" i="3" l="1"/>
  <c r="U844" i="3"/>
  <c r="D845" i="3" s="1"/>
  <c r="AG845" i="3"/>
  <c r="Y843" i="3"/>
  <c r="E845" i="3" l="1"/>
  <c r="H845" i="3" s="1"/>
  <c r="K845" i="3" s="1"/>
  <c r="AE845" i="3" s="1"/>
  <c r="G845" i="3"/>
  <c r="F845" i="3" l="1"/>
  <c r="I845" i="3"/>
  <c r="J845" i="3"/>
  <c r="AD845" i="3" s="1"/>
  <c r="M845" i="3"/>
  <c r="N845" i="3" s="1"/>
  <c r="V845" i="3"/>
  <c r="A846" i="3"/>
  <c r="B846" i="3" s="1"/>
  <c r="W845" i="3" l="1"/>
  <c r="L845" i="3"/>
  <c r="P846" i="3"/>
  <c r="Q846" i="3" s="1"/>
  <c r="R846" i="3" s="1"/>
  <c r="S846" i="3" s="1"/>
  <c r="AC846" i="3"/>
  <c r="Z846" i="3"/>
  <c r="AA846" i="3"/>
  <c r="U845" i="3" l="1"/>
  <c r="Y844" i="3"/>
  <c r="T846" i="3"/>
  <c r="AH846" i="3" s="1"/>
  <c r="D846" i="3" l="1"/>
  <c r="G846" i="3" s="1"/>
  <c r="E846" i="3"/>
  <c r="H846" i="3" s="1"/>
  <c r="K846" i="3" s="1"/>
  <c r="AE846" i="3" s="1"/>
  <c r="AG846" i="3"/>
  <c r="F846" i="3" l="1"/>
  <c r="I846" i="3"/>
  <c r="J846" i="3"/>
  <c r="AD846" i="3" s="1"/>
  <c r="M846" i="3"/>
  <c r="N846" i="3" s="1"/>
  <c r="V846" i="3"/>
  <c r="A847" i="3"/>
  <c r="B847" i="3" s="1"/>
  <c r="W846" i="3" l="1"/>
  <c r="L846" i="3"/>
  <c r="AC847" i="3"/>
  <c r="P847" i="3"/>
  <c r="Q847" i="3" s="1"/>
  <c r="R847" i="3" s="1"/>
  <c r="S847" i="3" s="1"/>
  <c r="AA847" i="3"/>
  <c r="Z847" i="3"/>
  <c r="U846" i="3" l="1"/>
  <c r="Y845" i="3"/>
  <c r="T847" i="3"/>
  <c r="D847" i="3" l="1"/>
  <c r="G847" i="3" s="1"/>
  <c r="E847" i="3"/>
  <c r="H847" i="3" s="1"/>
  <c r="K847" i="3" s="1"/>
  <c r="AE847" i="3" s="1"/>
  <c r="AH847" i="3"/>
  <c r="AG847" i="3"/>
  <c r="F847" i="3" l="1"/>
  <c r="I847" i="3"/>
  <c r="J847" i="3"/>
  <c r="AD847" i="3" s="1"/>
  <c r="M847" i="3"/>
  <c r="N847" i="3" s="1"/>
  <c r="V847" i="3"/>
  <c r="A848" i="3"/>
  <c r="B848" i="3" s="1"/>
  <c r="W847" i="3" l="1"/>
  <c r="L847" i="3"/>
  <c r="AA848" i="3"/>
  <c r="P848" i="3"/>
  <c r="Q848" i="3" s="1"/>
  <c r="R848" i="3" s="1"/>
  <c r="S848" i="3" s="1"/>
  <c r="Z848" i="3"/>
  <c r="AC848" i="3"/>
  <c r="U847" i="3" l="1"/>
  <c r="Y846" i="3"/>
  <c r="T848" i="3"/>
  <c r="AG848" i="3" s="1"/>
  <c r="D848" i="3" l="1"/>
  <c r="AH848" i="3"/>
  <c r="E848" i="3"/>
  <c r="H848" i="3" s="1"/>
  <c r="F848" i="3" l="1"/>
  <c r="G848" i="3"/>
  <c r="K848" i="3"/>
  <c r="AE848" i="3" s="1"/>
  <c r="V848" i="3" l="1"/>
  <c r="A849" i="3"/>
  <c r="B849" i="3" s="1"/>
  <c r="I848" i="3"/>
  <c r="J848" i="3"/>
  <c r="AD848" i="3" s="1"/>
  <c r="M848" i="3"/>
  <c r="N848" i="3" s="1"/>
  <c r="W848" i="3" l="1"/>
  <c r="L848" i="3"/>
  <c r="P849" i="3"/>
  <c r="Q849" i="3" s="1"/>
  <c r="R849" i="3" s="1"/>
  <c r="S849" i="3" s="1"/>
  <c r="AC849" i="3"/>
  <c r="Z849" i="3"/>
  <c r="AA849" i="3"/>
  <c r="U848" i="3" l="1"/>
  <c r="Y847" i="3"/>
  <c r="T849" i="3"/>
  <c r="AG849" i="3" s="1"/>
  <c r="E849" i="3" l="1"/>
  <c r="H849" i="3" s="1"/>
  <c r="K849" i="3" s="1"/>
  <c r="AE849" i="3" s="1"/>
  <c r="D849" i="3"/>
  <c r="G849" i="3" s="1"/>
  <c r="AH849" i="3"/>
  <c r="F849" i="3" l="1"/>
  <c r="V849" i="3"/>
  <c r="A850" i="3"/>
  <c r="B850" i="3" s="1"/>
  <c r="I849" i="3"/>
  <c r="J849" i="3"/>
  <c r="AD849" i="3" s="1"/>
  <c r="M849" i="3"/>
  <c r="N849" i="3" s="1"/>
  <c r="W849" i="3" l="1"/>
  <c r="L849" i="3"/>
  <c r="AA850" i="3"/>
  <c r="AC850" i="3"/>
  <c r="P850" i="3"/>
  <c r="Q850" i="3" s="1"/>
  <c r="R850" i="3" s="1"/>
  <c r="S850" i="3" s="1"/>
  <c r="Z850" i="3"/>
  <c r="T850" i="3" l="1"/>
  <c r="AG850" i="3" s="1"/>
  <c r="U849" i="3"/>
  <c r="Y848" i="3"/>
  <c r="E850" i="3" l="1"/>
  <c r="H850" i="3" s="1"/>
  <c r="D850" i="3"/>
  <c r="AH850" i="3"/>
  <c r="K850" i="3" l="1"/>
  <c r="AE850" i="3" s="1"/>
  <c r="F850" i="3"/>
  <c r="G850" i="3"/>
  <c r="I850" i="3" l="1"/>
  <c r="J850" i="3"/>
  <c r="AD850" i="3" s="1"/>
  <c r="M850" i="3"/>
  <c r="N850" i="3" s="1"/>
  <c r="V850" i="3"/>
  <c r="A851" i="3"/>
  <c r="B851" i="3" s="1"/>
  <c r="W850" i="3" l="1"/>
  <c r="L850" i="3"/>
  <c r="P851" i="3"/>
  <c r="Q851" i="3" s="1"/>
  <c r="R851" i="3" s="1"/>
  <c r="S851" i="3" s="1"/>
  <c r="AA851" i="3"/>
  <c r="AC851" i="3"/>
  <c r="Z851" i="3"/>
  <c r="U850" i="3" l="1"/>
  <c r="Y849" i="3"/>
  <c r="T851" i="3"/>
  <c r="AH851" i="3" s="1"/>
  <c r="E851" i="3" l="1"/>
  <c r="H851" i="3" s="1"/>
  <c r="K851" i="3" s="1"/>
  <c r="AE851" i="3" s="1"/>
  <c r="AG851" i="3"/>
  <c r="D851" i="3"/>
  <c r="F851" i="3" l="1"/>
  <c r="G851" i="3"/>
  <c r="M851" i="3" s="1"/>
  <c r="N851" i="3" s="1"/>
  <c r="V851" i="3"/>
  <c r="A852" i="3"/>
  <c r="B852" i="3" s="1"/>
  <c r="I851" i="3" l="1"/>
  <c r="W851" i="3" s="1"/>
  <c r="J851" i="3"/>
  <c r="AC852" i="3"/>
  <c r="AA852" i="3"/>
  <c r="P852" i="3"/>
  <c r="Q852" i="3" s="1"/>
  <c r="R852" i="3" s="1"/>
  <c r="S852" i="3" s="1"/>
  <c r="Z852" i="3"/>
  <c r="L851" i="3" l="1"/>
  <c r="U851" i="3" s="1"/>
  <c r="AD851" i="3"/>
  <c r="T852" i="3"/>
  <c r="Y850" i="3" l="1"/>
  <c r="D852" i="3"/>
  <c r="G852" i="3" s="1"/>
  <c r="AH852" i="3"/>
  <c r="E852" i="3"/>
  <c r="H852" i="3" s="1"/>
  <c r="AG852" i="3"/>
  <c r="F852" i="3" l="1"/>
  <c r="I852" i="3"/>
  <c r="J852" i="3"/>
  <c r="AD852" i="3" s="1"/>
  <c r="M852" i="3"/>
  <c r="N852" i="3" s="1"/>
  <c r="K852" i="3"/>
  <c r="AE852" i="3" s="1"/>
  <c r="L852" i="3" l="1"/>
  <c r="V852" i="3"/>
  <c r="W852" i="3" s="1"/>
  <c r="A853" i="3"/>
  <c r="B853" i="3" s="1"/>
  <c r="U852" i="3" l="1"/>
  <c r="Y851" i="3"/>
  <c r="AC853" i="3"/>
  <c r="P853" i="3"/>
  <c r="Q853" i="3" s="1"/>
  <c r="R853" i="3" s="1"/>
  <c r="S853" i="3" s="1"/>
  <c r="Z853" i="3"/>
  <c r="AA853" i="3"/>
  <c r="T853" i="3" l="1"/>
  <c r="AG853" i="3" s="1"/>
  <c r="E853" i="3" l="1"/>
  <c r="H853" i="3" s="1"/>
  <c r="AH853" i="3"/>
  <c r="D853" i="3"/>
  <c r="K853" i="3" l="1"/>
  <c r="AE853" i="3" s="1"/>
  <c r="F853" i="3"/>
  <c r="G853" i="3"/>
  <c r="I853" i="3" l="1"/>
  <c r="J853" i="3"/>
  <c r="AD853" i="3" s="1"/>
  <c r="M853" i="3"/>
  <c r="N853" i="3" s="1"/>
  <c r="V853" i="3"/>
  <c r="A854" i="3"/>
  <c r="B854" i="3" s="1"/>
  <c r="W853" i="3" l="1"/>
  <c r="L853" i="3"/>
  <c r="Z854" i="3"/>
  <c r="P854" i="3"/>
  <c r="Q854" i="3" s="1"/>
  <c r="R854" i="3" s="1"/>
  <c r="S854" i="3" s="1"/>
  <c r="AC854" i="3"/>
  <c r="AA854" i="3"/>
  <c r="U853" i="3" l="1"/>
  <c r="Y852" i="3"/>
  <c r="T854" i="3"/>
  <c r="AG854" i="3" s="1"/>
  <c r="E854" i="3" l="1"/>
  <c r="H854" i="3" s="1"/>
  <c r="K854" i="3" s="1"/>
  <c r="AE854" i="3" s="1"/>
  <c r="AH854" i="3"/>
  <c r="D854" i="3"/>
  <c r="G854" i="3" s="1"/>
  <c r="F854" i="3" l="1"/>
  <c r="I854" i="3"/>
  <c r="J854" i="3"/>
  <c r="AD854" i="3" s="1"/>
  <c r="M854" i="3"/>
  <c r="N854" i="3" s="1"/>
  <c r="V854" i="3"/>
  <c r="A855" i="3"/>
  <c r="B855" i="3" s="1"/>
  <c r="W854" i="3" l="1"/>
  <c r="L854" i="3"/>
  <c r="Z855" i="3"/>
  <c r="P855" i="3"/>
  <c r="Q855" i="3" s="1"/>
  <c r="R855" i="3" s="1"/>
  <c r="S855" i="3" s="1"/>
  <c r="AA855" i="3"/>
  <c r="AC855" i="3"/>
  <c r="T855" i="3" l="1"/>
  <c r="AG855" i="3" s="1"/>
  <c r="U854" i="3"/>
  <c r="Y853" i="3"/>
  <c r="E855" i="3" l="1"/>
  <c r="H855" i="3" s="1"/>
  <c r="K855" i="3" s="1"/>
  <c r="AE855" i="3" s="1"/>
  <c r="D855" i="3"/>
  <c r="AH855" i="3"/>
  <c r="F855" i="3" l="1"/>
  <c r="G855" i="3"/>
  <c r="V855" i="3"/>
  <c r="A856" i="3"/>
  <c r="B856" i="3" s="1"/>
  <c r="AA856" i="3" l="1"/>
  <c r="P856" i="3"/>
  <c r="Q856" i="3" s="1"/>
  <c r="R856" i="3" s="1"/>
  <c r="S856" i="3" s="1"/>
  <c r="Z856" i="3"/>
  <c r="AC856" i="3"/>
  <c r="I855" i="3"/>
  <c r="W855" i="3" s="1"/>
  <c r="J855" i="3"/>
  <c r="AD855" i="3" s="1"/>
  <c r="M855" i="3"/>
  <c r="N855" i="3" s="1"/>
  <c r="L855" i="3" l="1"/>
  <c r="T856" i="3"/>
  <c r="U855" i="3" l="1"/>
  <c r="D856" i="3" s="1"/>
  <c r="AH856" i="3"/>
  <c r="AG856" i="3"/>
  <c r="Y854" i="3"/>
  <c r="G856" i="3" l="1"/>
  <c r="E856" i="3"/>
  <c r="H856" i="3" s="1"/>
  <c r="F856" i="3" l="1"/>
  <c r="K856" i="3"/>
  <c r="AE856" i="3" s="1"/>
  <c r="I856" i="3"/>
  <c r="J856" i="3"/>
  <c r="AD856" i="3" s="1"/>
  <c r="M856" i="3"/>
  <c r="N856" i="3" s="1"/>
  <c r="L856" i="3" l="1"/>
  <c r="V856" i="3"/>
  <c r="W856" i="3" s="1"/>
  <c r="A857" i="3"/>
  <c r="B857" i="3" s="1"/>
  <c r="Z857" i="3" l="1"/>
  <c r="AC857" i="3"/>
  <c r="AA857" i="3"/>
  <c r="P857" i="3"/>
  <c r="Q857" i="3" s="1"/>
  <c r="R857" i="3" s="1"/>
  <c r="S857" i="3" s="1"/>
  <c r="U856" i="3"/>
  <c r="Y855" i="3"/>
  <c r="T857" i="3" l="1"/>
  <c r="E857" i="3" l="1"/>
  <c r="H857" i="3" s="1"/>
  <c r="AG857" i="3"/>
  <c r="D857" i="3"/>
  <c r="AH857" i="3"/>
  <c r="K857" i="3" l="1"/>
  <c r="AE857" i="3" s="1"/>
  <c r="F857" i="3"/>
  <c r="G857" i="3"/>
  <c r="I857" i="3" l="1"/>
  <c r="J857" i="3"/>
  <c r="AD857" i="3" s="1"/>
  <c r="M857" i="3"/>
  <c r="N857" i="3" s="1"/>
  <c r="V857" i="3"/>
  <c r="A858" i="3"/>
  <c r="B858" i="3" s="1"/>
  <c r="W857" i="3" l="1"/>
  <c r="L857" i="3"/>
  <c r="AA858" i="3"/>
  <c r="Z858" i="3"/>
  <c r="P858" i="3"/>
  <c r="Q858" i="3" s="1"/>
  <c r="R858" i="3" s="1"/>
  <c r="S858" i="3" s="1"/>
  <c r="AC858" i="3"/>
  <c r="U857" i="3" l="1"/>
  <c r="Y856" i="3"/>
  <c r="T858" i="3"/>
  <c r="D858" i="3" l="1"/>
  <c r="G858" i="3" s="1"/>
  <c r="E858" i="3"/>
  <c r="H858" i="3" s="1"/>
  <c r="K858" i="3" s="1"/>
  <c r="AE858" i="3" s="1"/>
  <c r="AG858" i="3"/>
  <c r="AH858" i="3"/>
  <c r="F858" i="3" l="1"/>
  <c r="V858" i="3"/>
  <c r="A859" i="3"/>
  <c r="B859" i="3" s="1"/>
  <c r="I858" i="3"/>
  <c r="J858" i="3"/>
  <c r="AD858" i="3" s="1"/>
  <c r="M858" i="3"/>
  <c r="N858" i="3" s="1"/>
  <c r="W858" i="3" l="1"/>
  <c r="L858" i="3"/>
  <c r="AC859" i="3"/>
  <c r="P859" i="3"/>
  <c r="Q859" i="3" s="1"/>
  <c r="R859" i="3" s="1"/>
  <c r="S859" i="3" s="1"/>
  <c r="AA859" i="3"/>
  <c r="Z859" i="3"/>
  <c r="U858" i="3" l="1"/>
  <c r="Y857" i="3"/>
  <c r="T859" i="3"/>
  <c r="D859" i="3" l="1"/>
  <c r="G859" i="3" s="1"/>
  <c r="AH859" i="3"/>
  <c r="AG859" i="3"/>
  <c r="E859" i="3"/>
  <c r="H859" i="3" s="1"/>
  <c r="K859" i="3" s="1"/>
  <c r="AE859" i="3" s="1"/>
  <c r="F859" i="3" l="1"/>
  <c r="I859" i="3"/>
  <c r="J859" i="3"/>
  <c r="AD859" i="3" s="1"/>
  <c r="M859" i="3"/>
  <c r="N859" i="3" s="1"/>
  <c r="V859" i="3"/>
  <c r="A860" i="3"/>
  <c r="B860" i="3" s="1"/>
  <c r="W859" i="3" l="1"/>
  <c r="AC860" i="3"/>
  <c r="Z860" i="3"/>
  <c r="AA860" i="3"/>
  <c r="P860" i="3"/>
  <c r="Q860" i="3" s="1"/>
  <c r="R860" i="3" s="1"/>
  <c r="S860" i="3" s="1"/>
  <c r="L859" i="3"/>
  <c r="T860" i="3" l="1"/>
  <c r="U859" i="3"/>
  <c r="Y858" i="3"/>
  <c r="D860" i="3" l="1"/>
  <c r="G860" i="3" s="1"/>
  <c r="AG860" i="3"/>
  <c r="AH860" i="3"/>
  <c r="E860" i="3"/>
  <c r="H860" i="3" s="1"/>
  <c r="I860" i="3" l="1"/>
  <c r="J860" i="3"/>
  <c r="AD860" i="3" s="1"/>
  <c r="M860" i="3"/>
  <c r="N860" i="3" s="1"/>
  <c r="K860" i="3"/>
  <c r="AE860" i="3" s="1"/>
  <c r="F860" i="3"/>
  <c r="L860" i="3" l="1"/>
  <c r="V860" i="3"/>
  <c r="W860" i="3" s="1"/>
  <c r="A861" i="3"/>
  <c r="B861" i="3" s="1"/>
  <c r="U860" i="3" l="1"/>
  <c r="Y859" i="3"/>
  <c r="Z861" i="3"/>
  <c r="P861" i="3"/>
  <c r="Q861" i="3" s="1"/>
  <c r="R861" i="3" s="1"/>
  <c r="S861" i="3" s="1"/>
  <c r="AC861" i="3"/>
  <c r="AA861" i="3"/>
  <c r="T861" i="3" l="1"/>
  <c r="E861" i="3" s="1"/>
  <c r="H861" i="3" s="1"/>
  <c r="K861" i="3" l="1"/>
  <c r="AE861" i="3" s="1"/>
  <c r="D861" i="3"/>
  <c r="AH861" i="3"/>
  <c r="AG861" i="3"/>
  <c r="F861" i="3" l="1"/>
  <c r="G861" i="3"/>
  <c r="V861" i="3"/>
  <c r="A862" i="3"/>
  <c r="B862" i="3" s="1"/>
  <c r="Z862" i="3" l="1"/>
  <c r="P862" i="3"/>
  <c r="Q862" i="3" s="1"/>
  <c r="R862" i="3" s="1"/>
  <c r="S862" i="3" s="1"/>
  <c r="AC862" i="3"/>
  <c r="AA862" i="3"/>
  <c r="I861" i="3"/>
  <c r="W861" i="3" s="1"/>
  <c r="J861" i="3"/>
  <c r="AD861" i="3" s="1"/>
  <c r="M861" i="3"/>
  <c r="N861" i="3" s="1"/>
  <c r="T862" i="3" l="1"/>
  <c r="L861" i="3"/>
  <c r="AH862" i="3" l="1"/>
  <c r="U861" i="3"/>
  <c r="D862" i="3" s="1"/>
  <c r="AG862" i="3"/>
  <c r="Y860" i="3"/>
  <c r="E862" i="3" l="1"/>
  <c r="H862" i="3" s="1"/>
  <c r="K862" i="3" s="1"/>
  <c r="AE862" i="3" s="1"/>
  <c r="G862" i="3"/>
  <c r="F862" i="3" l="1"/>
  <c r="I862" i="3"/>
  <c r="J862" i="3"/>
  <c r="AD862" i="3" s="1"/>
  <c r="M862" i="3"/>
  <c r="N862" i="3" s="1"/>
  <c r="V862" i="3"/>
  <c r="A863" i="3"/>
  <c r="B863" i="3" s="1"/>
  <c r="W862" i="3" l="1"/>
  <c r="L862" i="3"/>
  <c r="AA863" i="3"/>
  <c r="Z863" i="3"/>
  <c r="P863" i="3"/>
  <c r="Q863" i="3" s="1"/>
  <c r="R863" i="3" s="1"/>
  <c r="S863" i="3" s="1"/>
  <c r="AC863" i="3"/>
  <c r="T863" i="3" l="1"/>
  <c r="U862" i="3"/>
  <c r="Y861" i="3"/>
  <c r="E863" i="3" l="1"/>
  <c r="H863" i="3" s="1"/>
  <c r="K863" i="3" s="1"/>
  <c r="AE863" i="3" s="1"/>
  <c r="D863" i="3"/>
  <c r="G863" i="3" s="1"/>
  <c r="AH863" i="3"/>
  <c r="AG863" i="3"/>
  <c r="F863" i="3" l="1"/>
  <c r="I863" i="3"/>
  <c r="J863" i="3"/>
  <c r="AD863" i="3" s="1"/>
  <c r="M863" i="3"/>
  <c r="N863" i="3" s="1"/>
  <c r="V863" i="3"/>
  <c r="A864" i="3"/>
  <c r="B864" i="3" s="1"/>
  <c r="W863" i="3" l="1"/>
  <c r="L863" i="3"/>
  <c r="AC864" i="3"/>
  <c r="Z864" i="3"/>
  <c r="AA864" i="3"/>
  <c r="P864" i="3"/>
  <c r="Q864" i="3" s="1"/>
  <c r="R864" i="3" s="1"/>
  <c r="S864" i="3" s="1"/>
  <c r="U863" i="3" l="1"/>
  <c r="Y862" i="3"/>
  <c r="T864" i="3"/>
  <c r="AH864" i="3" s="1"/>
  <c r="E864" i="3" l="1"/>
  <c r="H864" i="3" s="1"/>
  <c r="D864" i="3"/>
  <c r="AG864" i="3"/>
  <c r="K864" i="3" l="1"/>
  <c r="AE864" i="3" s="1"/>
  <c r="F864" i="3"/>
  <c r="G864" i="3"/>
  <c r="I864" i="3" l="1"/>
  <c r="J864" i="3"/>
  <c r="AD864" i="3" s="1"/>
  <c r="M864" i="3"/>
  <c r="N864" i="3" s="1"/>
  <c r="V864" i="3"/>
  <c r="A865" i="3"/>
  <c r="B865" i="3" s="1"/>
  <c r="W864" i="3" l="1"/>
  <c r="L864" i="3"/>
  <c r="AD865" i="3"/>
  <c r="P865" i="3"/>
  <c r="Q865" i="3" s="1"/>
  <c r="R865" i="3" s="1"/>
  <c r="S865" i="3" s="1"/>
  <c r="AC865" i="3"/>
  <c r="Z865" i="3"/>
  <c r="AA865" i="3"/>
  <c r="U864" i="3" l="1"/>
  <c r="Y863" i="3"/>
  <c r="T865" i="3"/>
  <c r="AG865" i="3" s="1"/>
  <c r="E865" i="3" l="1"/>
  <c r="H865" i="3" s="1"/>
  <c r="K865" i="3" s="1"/>
  <c r="AE865" i="3" s="1"/>
  <c r="D865" i="3"/>
  <c r="G865" i="3" s="1"/>
  <c r="AH865" i="3"/>
  <c r="F865" i="3" l="1"/>
  <c r="V865" i="3"/>
  <c r="A866" i="3"/>
  <c r="B866" i="3" s="1"/>
  <c r="I865" i="3"/>
  <c r="J865" i="3"/>
  <c r="M865" i="3"/>
  <c r="N865" i="3" s="1"/>
  <c r="W865" i="3" l="1"/>
  <c r="L865" i="3"/>
  <c r="P866" i="3"/>
  <c r="Q866" i="3" s="1"/>
  <c r="R866" i="3" s="1"/>
  <c r="S866" i="3" s="1"/>
  <c r="AA866" i="3"/>
  <c r="Z866" i="3"/>
  <c r="AC866" i="3"/>
  <c r="AD866" i="3"/>
  <c r="T866" i="3" l="1"/>
  <c r="U865" i="3"/>
  <c r="Y864" i="3"/>
  <c r="D866" i="3" l="1"/>
  <c r="G866" i="3" s="1"/>
  <c r="AG866" i="3"/>
  <c r="AH866" i="3"/>
  <c r="E866" i="3"/>
  <c r="H866" i="3" s="1"/>
  <c r="F866" i="3" l="1"/>
  <c r="K866" i="3"/>
  <c r="AE866" i="3" s="1"/>
  <c r="I866" i="3"/>
  <c r="J866" i="3"/>
  <c r="M866" i="3"/>
  <c r="N866" i="3" s="1"/>
  <c r="L866" i="3" l="1"/>
  <c r="V866" i="3"/>
  <c r="W866" i="3" s="1"/>
  <c r="A867" i="3"/>
  <c r="B867" i="3" s="1"/>
  <c r="Z867" i="3" l="1"/>
  <c r="AA867" i="3"/>
  <c r="P867" i="3"/>
  <c r="Q867" i="3" s="1"/>
  <c r="R867" i="3" s="1"/>
  <c r="S867" i="3" s="1"/>
  <c r="AC867" i="3"/>
  <c r="AD867" i="3"/>
  <c r="U866" i="3"/>
  <c r="Y865" i="3"/>
  <c r="T867" i="3" l="1"/>
  <c r="D867" i="3" s="1"/>
  <c r="AG867" i="3" l="1"/>
  <c r="E867" i="3"/>
  <c r="H867" i="3" s="1"/>
  <c r="K867" i="3" s="1"/>
  <c r="AE867" i="3" s="1"/>
  <c r="AH867" i="3"/>
  <c r="G867" i="3"/>
  <c r="F867" i="3" l="1"/>
  <c r="I867" i="3"/>
  <c r="J867" i="3"/>
  <c r="M867" i="3"/>
  <c r="N867" i="3" s="1"/>
  <c r="V867" i="3"/>
  <c r="A868" i="3"/>
  <c r="B868" i="3" s="1"/>
  <c r="W867" i="3" l="1"/>
  <c r="L867" i="3"/>
  <c r="AD868" i="3"/>
  <c r="Z868" i="3"/>
  <c r="AA868" i="3"/>
  <c r="AC868" i="3"/>
  <c r="P868" i="3"/>
  <c r="Q868" i="3" s="1"/>
  <c r="R868" i="3" s="1"/>
  <c r="S868" i="3" s="1"/>
  <c r="T868" i="3" l="1"/>
  <c r="U867" i="3"/>
  <c r="Y866" i="3"/>
  <c r="E868" i="3" l="1"/>
  <c r="H868" i="3" s="1"/>
  <c r="K868" i="3" s="1"/>
  <c r="AE868" i="3" s="1"/>
  <c r="AH868" i="3"/>
  <c r="D868" i="3"/>
  <c r="G868" i="3" s="1"/>
  <c r="AG868" i="3"/>
  <c r="F868" i="3" l="1"/>
  <c r="I868" i="3"/>
  <c r="J868" i="3"/>
  <c r="M868" i="3"/>
  <c r="N868" i="3" s="1"/>
  <c r="V868" i="3"/>
  <c r="A869" i="3"/>
  <c r="B869" i="3" s="1"/>
  <c r="W868" i="3" l="1"/>
  <c r="L868" i="3"/>
  <c r="P869" i="3"/>
  <c r="Q869" i="3" s="1"/>
  <c r="R869" i="3" s="1"/>
  <c r="S869" i="3" s="1"/>
  <c r="Z869" i="3"/>
  <c r="AC869" i="3"/>
  <c r="AA869" i="3"/>
  <c r="AD869" i="3"/>
  <c r="T869" i="3" l="1"/>
  <c r="U868" i="3"/>
  <c r="Y867" i="3"/>
  <c r="E869" i="3" l="1"/>
  <c r="H869" i="3" s="1"/>
  <c r="K869" i="3" s="1"/>
  <c r="AE869" i="3" s="1"/>
  <c r="AG869" i="3"/>
  <c r="D869" i="3"/>
  <c r="AH869" i="3"/>
  <c r="V869" i="3" l="1"/>
  <c r="A870" i="3"/>
  <c r="B870" i="3" s="1"/>
  <c r="F869" i="3"/>
  <c r="G869" i="3"/>
  <c r="I869" i="3" l="1"/>
  <c r="W869" i="3" s="1"/>
  <c r="J869" i="3"/>
  <c r="M869" i="3"/>
  <c r="N869" i="3" s="1"/>
  <c r="AD870" i="3"/>
  <c r="Z870" i="3"/>
  <c r="AA870" i="3"/>
  <c r="P870" i="3"/>
  <c r="Q870" i="3" s="1"/>
  <c r="R870" i="3" s="1"/>
  <c r="S870" i="3" s="1"/>
  <c r="AC870" i="3"/>
  <c r="L869" i="3" l="1"/>
  <c r="T870" i="3"/>
  <c r="U869" i="3" l="1"/>
  <c r="E870" i="3" s="1"/>
  <c r="H870" i="3" s="1"/>
  <c r="AH870" i="3"/>
  <c r="AG870" i="3"/>
  <c r="Y868" i="3"/>
  <c r="D870" i="3" l="1"/>
  <c r="G870" i="3" s="1"/>
  <c r="K870" i="3"/>
  <c r="AE870" i="3" s="1"/>
  <c r="F870" i="3" l="1"/>
  <c r="V870" i="3"/>
  <c r="A871" i="3"/>
  <c r="B871" i="3" s="1"/>
  <c r="I870" i="3"/>
  <c r="J870" i="3"/>
  <c r="M870" i="3"/>
  <c r="N870" i="3" s="1"/>
  <c r="W870" i="3" l="1"/>
  <c r="L870" i="3"/>
  <c r="Z871" i="3"/>
  <c r="P871" i="3"/>
  <c r="Q871" i="3" s="1"/>
  <c r="R871" i="3" s="1"/>
  <c r="S871" i="3" s="1"/>
  <c r="AD871" i="3"/>
  <c r="AA871" i="3"/>
  <c r="AC871" i="3"/>
  <c r="T871" i="3" l="1"/>
  <c r="AH871" i="3" s="1"/>
  <c r="U870" i="3"/>
  <c r="Y869" i="3"/>
  <c r="E871" i="3" l="1"/>
  <c r="H871" i="3" s="1"/>
  <c r="K871" i="3" s="1"/>
  <c r="AE871" i="3" s="1"/>
  <c r="AG871" i="3"/>
  <c r="D871" i="3"/>
  <c r="F871" i="3" l="1"/>
  <c r="G871" i="3"/>
  <c r="V871" i="3"/>
  <c r="A872" i="3"/>
  <c r="B872" i="3" s="1"/>
  <c r="AC872" i="3" l="1"/>
  <c r="AA872" i="3"/>
  <c r="P872" i="3"/>
  <c r="Q872" i="3" s="1"/>
  <c r="R872" i="3" s="1"/>
  <c r="S872" i="3" s="1"/>
  <c r="Z872" i="3"/>
  <c r="AD872" i="3"/>
  <c r="I871" i="3"/>
  <c r="W871" i="3" s="1"/>
  <c r="J871" i="3"/>
  <c r="M871" i="3"/>
  <c r="N871" i="3" s="1"/>
  <c r="L871" i="3" l="1"/>
  <c r="T872" i="3"/>
  <c r="AG872" i="3" l="1"/>
  <c r="AH872" i="3"/>
  <c r="U871" i="3"/>
  <c r="E872" i="3" s="1"/>
  <c r="H872" i="3" s="1"/>
  <c r="Y870" i="3"/>
  <c r="D872" i="3" l="1"/>
  <c r="G872" i="3" s="1"/>
  <c r="K872" i="3"/>
  <c r="AE872" i="3" s="1"/>
  <c r="F872" i="3" l="1"/>
  <c r="I872" i="3"/>
  <c r="J872" i="3"/>
  <c r="M872" i="3"/>
  <c r="N872" i="3" s="1"/>
  <c r="V872" i="3"/>
  <c r="A873" i="3"/>
  <c r="B873" i="3" s="1"/>
  <c r="W872" i="3" l="1"/>
  <c r="L872" i="3"/>
  <c r="AA873" i="3"/>
  <c r="AC873" i="3"/>
  <c r="AD873" i="3"/>
  <c r="P873" i="3"/>
  <c r="Q873" i="3" s="1"/>
  <c r="R873" i="3" s="1"/>
  <c r="S873" i="3" s="1"/>
  <c r="Z873" i="3"/>
  <c r="T873" i="3" l="1"/>
  <c r="AH873" i="3" s="1"/>
  <c r="U872" i="3"/>
  <c r="Y871" i="3"/>
  <c r="AG873" i="3" l="1"/>
  <c r="E873" i="3"/>
  <c r="H873" i="3" s="1"/>
  <c r="D873" i="3"/>
  <c r="K873" i="3" l="1"/>
  <c r="AE873" i="3" s="1"/>
  <c r="F873" i="3"/>
  <c r="G873" i="3"/>
  <c r="I873" i="3" l="1"/>
  <c r="J873" i="3"/>
  <c r="M873" i="3"/>
  <c r="N873" i="3" s="1"/>
  <c r="V873" i="3"/>
  <c r="A874" i="3"/>
  <c r="B874" i="3" s="1"/>
  <c r="W873" i="3" l="1"/>
  <c r="L873" i="3"/>
  <c r="AA874" i="3"/>
  <c r="P874" i="3"/>
  <c r="Q874" i="3" s="1"/>
  <c r="R874" i="3" s="1"/>
  <c r="S874" i="3" s="1"/>
  <c r="Z874" i="3"/>
  <c r="AC874" i="3"/>
  <c r="T874" i="3" l="1"/>
  <c r="AH874" i="3" s="1"/>
  <c r="U873" i="3"/>
  <c r="Y872" i="3"/>
  <c r="E874" i="3" l="1"/>
  <c r="H874" i="3" s="1"/>
  <c r="D874" i="3"/>
  <c r="AG874" i="3"/>
  <c r="K874" i="3" l="1"/>
  <c r="AE874" i="3" s="1"/>
  <c r="F874" i="3"/>
  <c r="G874" i="3"/>
  <c r="I874" i="3" l="1"/>
  <c r="J874" i="3"/>
  <c r="AD874" i="3" s="1"/>
  <c r="M874" i="3"/>
  <c r="N874" i="3" s="1"/>
  <c r="V874" i="3"/>
  <c r="A875" i="3"/>
  <c r="B875" i="3" s="1"/>
  <c r="W874" i="3" l="1"/>
  <c r="L874" i="3"/>
  <c r="AA875" i="3"/>
  <c r="Z875" i="3"/>
  <c r="P875" i="3"/>
  <c r="Q875" i="3" s="1"/>
  <c r="R875" i="3" s="1"/>
  <c r="S875" i="3" s="1"/>
  <c r="AD875" i="3"/>
  <c r="AC875" i="3"/>
  <c r="T875" i="3" l="1"/>
  <c r="U874" i="3"/>
  <c r="Y873" i="3"/>
  <c r="D875" i="3" l="1"/>
  <c r="G875" i="3" s="1"/>
  <c r="E875" i="3"/>
  <c r="H875" i="3" s="1"/>
  <c r="K875" i="3" s="1"/>
  <c r="AE875" i="3" s="1"/>
  <c r="AH875" i="3"/>
  <c r="AG875" i="3"/>
  <c r="F875" i="3" l="1"/>
  <c r="V875" i="3"/>
  <c r="A876" i="3"/>
  <c r="B876" i="3" s="1"/>
  <c r="I875" i="3"/>
  <c r="J875" i="3"/>
  <c r="M875" i="3"/>
  <c r="N875" i="3" s="1"/>
  <c r="W875" i="3" l="1"/>
  <c r="L875" i="3"/>
  <c r="AC876" i="3"/>
  <c r="P876" i="3"/>
  <c r="Q876" i="3" s="1"/>
  <c r="R876" i="3" s="1"/>
  <c r="S876" i="3" s="1"/>
  <c r="Z876" i="3"/>
  <c r="AA876" i="3"/>
  <c r="AD876" i="3"/>
  <c r="U875" i="3" l="1"/>
  <c r="Y874" i="3"/>
  <c r="T876" i="3"/>
  <c r="AG876" i="3" s="1"/>
  <c r="D876" i="3" l="1"/>
  <c r="E876" i="3"/>
  <c r="H876" i="3" s="1"/>
  <c r="AH876" i="3"/>
  <c r="K876" i="3" l="1"/>
  <c r="AE876" i="3" s="1"/>
  <c r="F876" i="3"/>
  <c r="G876" i="3"/>
  <c r="I876" i="3" l="1"/>
  <c r="J876" i="3"/>
  <c r="M876" i="3"/>
  <c r="N876" i="3" s="1"/>
  <c r="V876" i="3"/>
  <c r="A877" i="3"/>
  <c r="B877" i="3" s="1"/>
  <c r="W876" i="3" l="1"/>
  <c r="L876" i="3"/>
  <c r="P877" i="3"/>
  <c r="Q877" i="3" s="1"/>
  <c r="R877" i="3" s="1"/>
  <c r="S877" i="3" s="1"/>
  <c r="AA877" i="3"/>
  <c r="Z877" i="3"/>
  <c r="AD877" i="3"/>
  <c r="AC877" i="3"/>
  <c r="U876" i="3" l="1"/>
  <c r="Y875" i="3"/>
  <c r="T877" i="3"/>
  <c r="D877" i="3" l="1"/>
  <c r="G877" i="3" s="1"/>
  <c r="AH877" i="3"/>
  <c r="AG877" i="3"/>
  <c r="E877" i="3"/>
  <c r="H877" i="3" s="1"/>
  <c r="I877" i="3" l="1"/>
  <c r="J877" i="3"/>
  <c r="M877" i="3"/>
  <c r="N877" i="3" s="1"/>
  <c r="K877" i="3"/>
  <c r="AE877" i="3" s="1"/>
  <c r="F877" i="3"/>
  <c r="V877" i="3" l="1"/>
  <c r="W877" i="3" s="1"/>
  <c r="A878" i="3"/>
  <c r="B878" i="3" s="1"/>
  <c r="L877" i="3"/>
  <c r="U877" i="3" l="1"/>
  <c r="Y876" i="3"/>
  <c r="Z878" i="3"/>
  <c r="AD878" i="3"/>
  <c r="AC878" i="3"/>
  <c r="AA878" i="3"/>
  <c r="P878" i="3"/>
  <c r="Q878" i="3" s="1"/>
  <c r="R878" i="3" s="1"/>
  <c r="S878" i="3" s="1"/>
  <c r="T878" i="3" l="1"/>
  <c r="E878" i="3" s="1"/>
  <c r="H878" i="3" s="1"/>
  <c r="D878" i="3" l="1"/>
  <c r="G878" i="3" s="1"/>
  <c r="AG878" i="3"/>
  <c r="AH878" i="3"/>
  <c r="K878" i="3"/>
  <c r="AE878" i="3" s="1"/>
  <c r="F878" i="3" l="1"/>
  <c r="I878" i="3"/>
  <c r="J878" i="3"/>
  <c r="M878" i="3"/>
  <c r="N878" i="3" s="1"/>
  <c r="V878" i="3"/>
  <c r="A879" i="3"/>
  <c r="B879" i="3" s="1"/>
  <c r="W878" i="3" l="1"/>
  <c r="L878" i="3"/>
  <c r="AC879" i="3"/>
  <c r="AD879" i="3"/>
  <c r="P879" i="3"/>
  <c r="Q879" i="3" s="1"/>
  <c r="R879" i="3" s="1"/>
  <c r="S879" i="3" s="1"/>
  <c r="AA879" i="3"/>
  <c r="Z879" i="3"/>
  <c r="T879" i="3" l="1"/>
  <c r="AG879" i="3" s="1"/>
  <c r="U878" i="3"/>
  <c r="Y877" i="3"/>
  <c r="E879" i="3" l="1"/>
  <c r="H879" i="3" s="1"/>
  <c r="D879" i="3"/>
  <c r="AH879" i="3"/>
  <c r="F879" i="3" l="1"/>
  <c r="G879" i="3"/>
  <c r="K879" i="3"/>
  <c r="AE879" i="3" s="1"/>
  <c r="I879" i="3" l="1"/>
  <c r="J879" i="3"/>
  <c r="M879" i="3"/>
  <c r="N879" i="3" s="1"/>
  <c r="V879" i="3"/>
  <c r="A880" i="3"/>
  <c r="B880" i="3" s="1"/>
  <c r="W879" i="3" l="1"/>
  <c r="L879" i="3"/>
  <c r="AD880" i="3"/>
  <c r="AA880" i="3"/>
  <c r="AC880" i="3"/>
  <c r="Z880" i="3"/>
  <c r="P880" i="3"/>
  <c r="Q880" i="3" s="1"/>
  <c r="R880" i="3" s="1"/>
  <c r="S880" i="3" s="1"/>
  <c r="T880" i="3" l="1"/>
  <c r="AG880" i="3" s="1"/>
  <c r="U879" i="3"/>
  <c r="Y878" i="3"/>
  <c r="D880" i="3" l="1"/>
  <c r="AH880" i="3"/>
  <c r="E880" i="3"/>
  <c r="H880" i="3" s="1"/>
  <c r="F880" i="3" l="1"/>
  <c r="G880" i="3"/>
  <c r="K880" i="3"/>
  <c r="AE880" i="3" s="1"/>
  <c r="V880" i="3" l="1"/>
  <c r="A881" i="3"/>
  <c r="B881" i="3" s="1"/>
  <c r="I880" i="3"/>
  <c r="J880" i="3"/>
  <c r="M880" i="3"/>
  <c r="N880" i="3" s="1"/>
  <c r="W880" i="3" l="1"/>
  <c r="L880" i="3"/>
  <c r="AA881" i="3"/>
  <c r="AD881" i="3"/>
  <c r="P881" i="3"/>
  <c r="Q881" i="3" s="1"/>
  <c r="R881" i="3" s="1"/>
  <c r="S881" i="3" s="1"/>
  <c r="Z881" i="3"/>
  <c r="AC881" i="3"/>
  <c r="U880" i="3" l="1"/>
  <c r="Y879" i="3"/>
  <c r="T881" i="3"/>
  <c r="E881" i="3" l="1"/>
  <c r="H881" i="3" s="1"/>
  <c r="K881" i="3" s="1"/>
  <c r="AE881" i="3" s="1"/>
  <c r="D881" i="3"/>
  <c r="AG881" i="3"/>
  <c r="AH881" i="3"/>
  <c r="F881" i="3" l="1"/>
  <c r="G881" i="3"/>
  <c r="I881" i="3" s="1"/>
  <c r="V881" i="3"/>
  <c r="A882" i="3"/>
  <c r="B882" i="3" s="1"/>
  <c r="W881" i="3" l="1"/>
  <c r="M881" i="3"/>
  <c r="N881" i="3" s="1"/>
  <c r="J881" i="3"/>
  <c r="L881" i="3" s="1"/>
  <c r="Z882" i="3"/>
  <c r="P882" i="3"/>
  <c r="Q882" i="3" s="1"/>
  <c r="R882" i="3" s="1"/>
  <c r="S882" i="3" s="1"/>
  <c r="AD882" i="3"/>
  <c r="AC882" i="3"/>
  <c r="AA882" i="3"/>
  <c r="T882" i="3" l="1"/>
  <c r="AG882" i="3" s="1"/>
  <c r="U881" i="3"/>
  <c r="Y880" i="3"/>
  <c r="AH882" i="3" l="1"/>
  <c r="D882" i="3"/>
  <c r="E882" i="3"/>
  <c r="H882" i="3" s="1"/>
  <c r="F882" i="3" l="1"/>
  <c r="G882" i="3"/>
  <c r="K882" i="3"/>
  <c r="AE882" i="3" s="1"/>
  <c r="I882" i="3" l="1"/>
  <c r="J882" i="3"/>
  <c r="M882" i="3"/>
  <c r="N882" i="3" s="1"/>
  <c r="V882" i="3"/>
  <c r="A883" i="3"/>
  <c r="B883" i="3" s="1"/>
  <c r="W882" i="3" l="1"/>
  <c r="L882" i="3"/>
  <c r="AC883" i="3"/>
  <c r="AA883" i="3"/>
  <c r="Z883" i="3"/>
  <c r="AD883" i="3"/>
  <c r="P883" i="3"/>
  <c r="Q883" i="3" s="1"/>
  <c r="R883" i="3" s="1"/>
  <c r="S883" i="3" s="1"/>
  <c r="T883" i="3" l="1"/>
  <c r="AG883" i="3" s="1"/>
  <c r="U882" i="3"/>
  <c r="Y881" i="3"/>
  <c r="E883" i="3" l="1"/>
  <c r="H883" i="3" s="1"/>
  <c r="K883" i="3" s="1"/>
  <c r="AE883" i="3" s="1"/>
  <c r="D883" i="3"/>
  <c r="AH883" i="3"/>
  <c r="V883" i="3" l="1"/>
  <c r="A884" i="3"/>
  <c r="B884" i="3" s="1"/>
  <c r="F883" i="3"/>
  <c r="G883" i="3"/>
  <c r="I883" i="3" l="1"/>
  <c r="W883" i="3" s="1"/>
  <c r="J883" i="3"/>
  <c r="M883" i="3"/>
  <c r="N883" i="3" s="1"/>
  <c r="AA884" i="3"/>
  <c r="Z884" i="3"/>
  <c r="P884" i="3"/>
  <c r="Q884" i="3" s="1"/>
  <c r="R884" i="3" s="1"/>
  <c r="S884" i="3" s="1"/>
  <c r="AC884" i="3"/>
  <c r="T884" i="3" l="1"/>
  <c r="L883" i="3"/>
  <c r="AG884" i="3" l="1"/>
  <c r="U883" i="3"/>
  <c r="D884" i="3" s="1"/>
  <c r="AH884" i="3"/>
  <c r="Y882" i="3"/>
  <c r="E884" i="3" l="1"/>
  <c r="H884" i="3" s="1"/>
  <c r="K884" i="3" s="1"/>
  <c r="AE884" i="3" s="1"/>
  <c r="G884" i="3"/>
  <c r="F884" i="3" l="1"/>
  <c r="V884" i="3"/>
  <c r="A885" i="3"/>
  <c r="B885" i="3" s="1"/>
  <c r="I884" i="3"/>
  <c r="J884" i="3"/>
  <c r="AD884" i="3" s="1"/>
  <c r="M884" i="3"/>
  <c r="N884" i="3" s="1"/>
  <c r="W884" i="3" l="1"/>
  <c r="L884" i="3"/>
  <c r="P885" i="3"/>
  <c r="Q885" i="3" s="1"/>
  <c r="R885" i="3" s="1"/>
  <c r="S885" i="3" s="1"/>
  <c r="AD885" i="3"/>
  <c r="Z885" i="3"/>
  <c r="AC885" i="3"/>
  <c r="AA885" i="3"/>
  <c r="U884" i="3" l="1"/>
  <c r="Y883" i="3"/>
  <c r="T885" i="3"/>
  <c r="AH885" i="3" s="1"/>
  <c r="D885" i="3" l="1"/>
  <c r="G885" i="3" s="1"/>
  <c r="E885" i="3"/>
  <c r="H885" i="3" s="1"/>
  <c r="K885" i="3" s="1"/>
  <c r="AE885" i="3" s="1"/>
  <c r="AG885" i="3"/>
  <c r="F885" i="3" l="1"/>
  <c r="V885" i="3"/>
  <c r="A886" i="3"/>
  <c r="B886" i="3" s="1"/>
  <c r="I885" i="3"/>
  <c r="J885" i="3"/>
  <c r="M885" i="3"/>
  <c r="N885" i="3" s="1"/>
  <c r="W885" i="3" l="1"/>
  <c r="L885" i="3"/>
  <c r="P886" i="3"/>
  <c r="Q886" i="3" s="1"/>
  <c r="R886" i="3" s="1"/>
  <c r="S886" i="3" s="1"/>
  <c r="AA886" i="3"/>
  <c r="AC886" i="3"/>
  <c r="AD886" i="3"/>
  <c r="Z886" i="3"/>
  <c r="U885" i="3" l="1"/>
  <c r="Y884" i="3"/>
  <c r="T886" i="3"/>
  <c r="E886" i="3" l="1"/>
  <c r="H886" i="3" s="1"/>
  <c r="K886" i="3" s="1"/>
  <c r="AE886" i="3" s="1"/>
  <c r="AH886" i="3"/>
  <c r="AG886" i="3"/>
  <c r="D886" i="3"/>
  <c r="F886" i="3" l="1"/>
  <c r="G886" i="3"/>
  <c r="V886" i="3"/>
  <c r="A887" i="3"/>
  <c r="B887" i="3" s="1"/>
  <c r="I886" i="3" l="1"/>
  <c r="W886" i="3" s="1"/>
  <c r="J886" i="3"/>
  <c r="M886" i="3"/>
  <c r="N886" i="3" s="1"/>
  <c r="P887" i="3"/>
  <c r="Q887" i="3" s="1"/>
  <c r="R887" i="3" s="1"/>
  <c r="S887" i="3" s="1"/>
  <c r="Z887" i="3"/>
  <c r="AD887" i="3"/>
  <c r="AA887" i="3"/>
  <c r="AC887" i="3"/>
  <c r="T887" i="3" l="1"/>
  <c r="L886" i="3"/>
  <c r="AG887" i="3" l="1"/>
  <c r="AH887" i="3"/>
  <c r="U886" i="3"/>
  <c r="D887" i="3" s="1"/>
  <c r="Y885" i="3"/>
  <c r="E887" i="3" l="1"/>
  <c r="H887" i="3" s="1"/>
  <c r="K887" i="3" s="1"/>
  <c r="AE887" i="3" s="1"/>
  <c r="G887" i="3"/>
  <c r="F887" i="3" l="1"/>
  <c r="I887" i="3"/>
  <c r="J887" i="3"/>
  <c r="M887" i="3"/>
  <c r="N887" i="3" s="1"/>
  <c r="V887" i="3"/>
  <c r="A888" i="3"/>
  <c r="B888" i="3" s="1"/>
  <c r="W887" i="3" l="1"/>
  <c r="L887" i="3"/>
  <c r="AC888" i="3"/>
  <c r="AD888" i="3"/>
  <c r="AA888" i="3"/>
  <c r="Z888" i="3"/>
  <c r="P888" i="3"/>
  <c r="Q888" i="3" s="1"/>
  <c r="R888" i="3" s="1"/>
  <c r="S888" i="3" s="1"/>
  <c r="T888" i="3" l="1"/>
  <c r="U887" i="3"/>
  <c r="Y886" i="3"/>
  <c r="E888" i="3" l="1"/>
  <c r="H888" i="3" s="1"/>
  <c r="K888" i="3" s="1"/>
  <c r="AE888" i="3" s="1"/>
  <c r="D888" i="3"/>
  <c r="G888" i="3" s="1"/>
  <c r="AG888" i="3"/>
  <c r="AH888" i="3"/>
  <c r="F888" i="3" l="1"/>
  <c r="I888" i="3"/>
  <c r="J888" i="3"/>
  <c r="M888" i="3"/>
  <c r="N888" i="3" s="1"/>
  <c r="V888" i="3"/>
  <c r="A889" i="3"/>
  <c r="B889" i="3" s="1"/>
  <c r="W888" i="3" l="1"/>
  <c r="L888" i="3"/>
  <c r="AA889" i="3"/>
  <c r="Z889" i="3"/>
  <c r="AD889" i="3"/>
  <c r="P889" i="3"/>
  <c r="Q889" i="3" s="1"/>
  <c r="R889" i="3" s="1"/>
  <c r="S889" i="3" s="1"/>
  <c r="AC889" i="3"/>
  <c r="T889" i="3" l="1"/>
  <c r="AG889" i="3" s="1"/>
  <c r="U888" i="3"/>
  <c r="Y887" i="3"/>
  <c r="AH889" i="3" l="1"/>
  <c r="D889" i="3"/>
  <c r="G889" i="3" s="1"/>
  <c r="E889" i="3"/>
  <c r="H889" i="3" s="1"/>
  <c r="I889" i="3" l="1"/>
  <c r="J889" i="3"/>
  <c r="M889" i="3"/>
  <c r="N889" i="3" s="1"/>
  <c r="K889" i="3"/>
  <c r="AE889" i="3" s="1"/>
  <c r="F889" i="3"/>
  <c r="L889" i="3" l="1"/>
  <c r="V889" i="3"/>
  <c r="W889" i="3" s="1"/>
  <c r="A890" i="3"/>
  <c r="B890" i="3" s="1"/>
  <c r="AA890" i="3" l="1"/>
  <c r="P890" i="3"/>
  <c r="Q890" i="3" s="1"/>
  <c r="R890" i="3" s="1"/>
  <c r="S890" i="3" s="1"/>
  <c r="Z890" i="3"/>
  <c r="AC890" i="3"/>
  <c r="AD890" i="3"/>
  <c r="U889" i="3"/>
  <c r="Y888" i="3"/>
  <c r="T890" i="3" l="1"/>
  <c r="AG890" i="3" s="1"/>
  <c r="E890" i="3" l="1"/>
  <c r="H890" i="3" s="1"/>
  <c r="K890" i="3" s="1"/>
  <c r="AE890" i="3" s="1"/>
  <c r="AH890" i="3"/>
  <c r="D890" i="3"/>
  <c r="F890" i="3" l="1"/>
  <c r="G890" i="3"/>
  <c r="V890" i="3"/>
  <c r="A891" i="3"/>
  <c r="B891" i="3" s="1"/>
  <c r="AD891" i="3" l="1"/>
  <c r="P891" i="3"/>
  <c r="Q891" i="3" s="1"/>
  <c r="R891" i="3" s="1"/>
  <c r="S891" i="3" s="1"/>
  <c r="AC891" i="3"/>
  <c r="Z891" i="3"/>
  <c r="AA891" i="3"/>
  <c r="I890" i="3"/>
  <c r="W890" i="3" s="1"/>
  <c r="J890" i="3"/>
  <c r="M890" i="3"/>
  <c r="N890" i="3" s="1"/>
  <c r="L890" i="3" l="1"/>
  <c r="T891" i="3"/>
  <c r="U890" i="3" l="1"/>
  <c r="D891" i="3" s="1"/>
  <c r="AH891" i="3"/>
  <c r="AG891" i="3"/>
  <c r="Y889" i="3"/>
  <c r="E891" i="3" l="1"/>
  <c r="H891" i="3" s="1"/>
  <c r="K891" i="3" s="1"/>
  <c r="AE891" i="3" s="1"/>
  <c r="G891" i="3"/>
  <c r="F891" i="3" l="1"/>
  <c r="I891" i="3"/>
  <c r="J891" i="3"/>
  <c r="M891" i="3"/>
  <c r="N891" i="3" s="1"/>
  <c r="V891" i="3"/>
  <c r="A892" i="3"/>
  <c r="B892" i="3" s="1"/>
  <c r="W891" i="3" l="1"/>
  <c r="L891" i="3"/>
  <c r="P892" i="3"/>
  <c r="Q892" i="3" s="1"/>
  <c r="R892" i="3" s="1"/>
  <c r="S892" i="3" s="1"/>
  <c r="AC892" i="3"/>
  <c r="AD892" i="3"/>
  <c r="Z892" i="3"/>
  <c r="AA892" i="3"/>
  <c r="U891" i="3" l="1"/>
  <c r="Y890" i="3"/>
  <c r="T892" i="3"/>
  <c r="AG892" i="3" s="1"/>
  <c r="AH892" i="3" l="1"/>
  <c r="D892" i="3"/>
  <c r="G892" i="3" s="1"/>
  <c r="E892" i="3"/>
  <c r="H892" i="3" s="1"/>
  <c r="F892" i="3" l="1"/>
  <c r="I892" i="3"/>
  <c r="J892" i="3"/>
  <c r="M892" i="3"/>
  <c r="N892" i="3" s="1"/>
  <c r="K892" i="3"/>
  <c r="AE892" i="3" s="1"/>
  <c r="V892" i="3" l="1"/>
  <c r="W892" i="3" s="1"/>
  <c r="A893" i="3"/>
  <c r="B893" i="3" s="1"/>
  <c r="L892" i="3"/>
  <c r="U892" i="3" l="1"/>
  <c r="Y891" i="3"/>
  <c r="AC893" i="3"/>
  <c r="P893" i="3"/>
  <c r="Q893" i="3" s="1"/>
  <c r="R893" i="3" s="1"/>
  <c r="S893" i="3" s="1"/>
  <c r="AD893" i="3"/>
  <c r="AA893" i="3"/>
  <c r="Z893" i="3"/>
  <c r="T893" i="3" l="1"/>
  <c r="E893" i="3" s="1"/>
  <c r="H893" i="3" s="1"/>
  <c r="AH893" i="3" l="1"/>
  <c r="D893" i="3"/>
  <c r="F893" i="3" s="1"/>
  <c r="AG893" i="3"/>
  <c r="K893" i="3"/>
  <c r="AE893" i="3" s="1"/>
  <c r="G893" i="3" l="1"/>
  <c r="M893" i="3" s="1"/>
  <c r="N893" i="3" s="1"/>
  <c r="V893" i="3"/>
  <c r="A894" i="3"/>
  <c r="B894" i="3" s="1"/>
  <c r="I893" i="3" l="1"/>
  <c r="W893" i="3" s="1"/>
  <c r="J893" i="3"/>
  <c r="L893" i="3" s="1"/>
  <c r="Z894" i="3"/>
  <c r="P894" i="3"/>
  <c r="Q894" i="3" s="1"/>
  <c r="R894" i="3" s="1"/>
  <c r="S894" i="3" s="1"/>
  <c r="AC894" i="3"/>
  <c r="AA894" i="3"/>
  <c r="U893" i="3" l="1"/>
  <c r="Y892" i="3"/>
  <c r="T894" i="3"/>
  <c r="AH894" i="3" s="1"/>
  <c r="D894" i="3" l="1"/>
  <c r="G894" i="3" s="1"/>
  <c r="AG894" i="3"/>
  <c r="E894" i="3"/>
  <c r="H894" i="3" s="1"/>
  <c r="F894" i="3" l="1"/>
  <c r="I894" i="3"/>
  <c r="J894" i="3"/>
  <c r="AD894" i="3" s="1"/>
  <c r="M894" i="3"/>
  <c r="N894" i="3" s="1"/>
  <c r="K894" i="3"/>
  <c r="AE894" i="3" s="1"/>
  <c r="V894" i="3" l="1"/>
  <c r="W894" i="3" s="1"/>
  <c r="A895" i="3"/>
  <c r="B895" i="3" s="1"/>
  <c r="L894" i="3"/>
  <c r="U894" i="3" l="1"/>
  <c r="Y893" i="3"/>
  <c r="AD895" i="3"/>
  <c r="P895" i="3"/>
  <c r="Q895" i="3" s="1"/>
  <c r="R895" i="3" s="1"/>
  <c r="S895" i="3" s="1"/>
  <c r="AA895" i="3"/>
  <c r="AC895" i="3"/>
  <c r="Z895" i="3"/>
  <c r="T895" i="3" l="1"/>
  <c r="AH895" i="3" s="1"/>
  <c r="E895" i="3" l="1"/>
  <c r="H895" i="3" s="1"/>
  <c r="K895" i="3" s="1"/>
  <c r="AE895" i="3" s="1"/>
  <c r="D895" i="3"/>
  <c r="AG895" i="3"/>
  <c r="F895" i="3" l="1"/>
  <c r="G895" i="3"/>
  <c r="V895" i="3"/>
  <c r="A896" i="3"/>
  <c r="B896" i="3" s="1"/>
  <c r="I895" i="3" l="1"/>
  <c r="W895" i="3" s="1"/>
  <c r="J895" i="3"/>
  <c r="M895" i="3"/>
  <c r="N895" i="3" s="1"/>
  <c r="Z896" i="3"/>
  <c r="P896" i="3"/>
  <c r="Q896" i="3" s="1"/>
  <c r="R896" i="3" s="1"/>
  <c r="S896" i="3" s="1"/>
  <c r="AC896" i="3"/>
  <c r="AD896" i="3"/>
  <c r="AA896" i="3"/>
  <c r="T896" i="3" l="1"/>
  <c r="L895" i="3"/>
  <c r="AG896" i="3" l="1"/>
  <c r="AH896" i="3"/>
  <c r="U895" i="3"/>
  <c r="E896" i="3" s="1"/>
  <c r="H896" i="3" s="1"/>
  <c r="Y894" i="3"/>
  <c r="D896" i="3" l="1"/>
  <c r="G896" i="3" s="1"/>
  <c r="K896" i="3"/>
  <c r="AE896" i="3" s="1"/>
  <c r="F896" i="3" l="1"/>
  <c r="V896" i="3"/>
  <c r="A897" i="3"/>
  <c r="B897" i="3" s="1"/>
  <c r="I896" i="3"/>
  <c r="J896" i="3"/>
  <c r="M896" i="3"/>
  <c r="N896" i="3" s="1"/>
  <c r="W896" i="3" l="1"/>
  <c r="L896" i="3"/>
  <c r="Z897" i="3"/>
  <c r="AC897" i="3"/>
  <c r="AA897" i="3"/>
  <c r="P897" i="3"/>
  <c r="Q897" i="3" s="1"/>
  <c r="R897" i="3" s="1"/>
  <c r="S897" i="3" s="1"/>
  <c r="AD897" i="3"/>
  <c r="U896" i="3" l="1"/>
  <c r="Y895" i="3"/>
  <c r="T897" i="3"/>
  <c r="D897" i="3" l="1"/>
  <c r="E897" i="3"/>
  <c r="H897" i="3" s="1"/>
  <c r="AH897" i="3"/>
  <c r="AG897" i="3"/>
  <c r="F897" i="3" l="1"/>
  <c r="G897" i="3"/>
  <c r="M897" i="3" s="1"/>
  <c r="N897" i="3" s="1"/>
  <c r="K897" i="3"/>
  <c r="AE897" i="3" s="1"/>
  <c r="I897" i="3" l="1"/>
  <c r="J897" i="3"/>
  <c r="L897" i="3" s="1"/>
  <c r="V897" i="3"/>
  <c r="A898" i="3"/>
  <c r="B898" i="3" s="1"/>
  <c r="W897" i="3" l="1"/>
  <c r="AA898" i="3"/>
  <c r="AD898" i="3"/>
  <c r="P898" i="3"/>
  <c r="Q898" i="3" s="1"/>
  <c r="R898" i="3" s="1"/>
  <c r="S898" i="3" s="1"/>
  <c r="Z898" i="3"/>
  <c r="AC898" i="3"/>
  <c r="U897" i="3"/>
  <c r="Y896" i="3"/>
  <c r="T898" i="3" l="1"/>
  <c r="D898" i="3" s="1"/>
  <c r="G898" i="3" l="1"/>
  <c r="AG898" i="3"/>
  <c r="E898" i="3"/>
  <c r="H898" i="3" s="1"/>
  <c r="AH898" i="3"/>
  <c r="F898" i="3" l="1"/>
  <c r="I898" i="3"/>
  <c r="J898" i="3"/>
  <c r="M898" i="3"/>
  <c r="N898" i="3" s="1"/>
  <c r="K898" i="3"/>
  <c r="AE898" i="3" s="1"/>
  <c r="V898" i="3" l="1"/>
  <c r="W898" i="3" s="1"/>
  <c r="A899" i="3"/>
  <c r="B899" i="3" s="1"/>
  <c r="L898" i="3"/>
  <c r="U898" i="3" l="1"/>
  <c r="Y897" i="3"/>
  <c r="AC899" i="3"/>
  <c r="Z899" i="3"/>
  <c r="P899" i="3"/>
  <c r="Q899" i="3" s="1"/>
  <c r="R899" i="3" s="1"/>
  <c r="S899" i="3" s="1"/>
  <c r="AD899" i="3"/>
  <c r="AA899" i="3"/>
  <c r="T899" i="3" l="1"/>
  <c r="E899" i="3" s="1"/>
  <c r="H899" i="3" s="1"/>
  <c r="D899" i="3" l="1"/>
  <c r="G899" i="3" s="1"/>
  <c r="AG899" i="3"/>
  <c r="AH899" i="3"/>
  <c r="K899" i="3"/>
  <c r="AE899" i="3" s="1"/>
  <c r="F899" i="3" l="1"/>
  <c r="I899" i="3"/>
  <c r="J899" i="3"/>
  <c r="M899" i="3"/>
  <c r="N899" i="3" s="1"/>
  <c r="V899" i="3"/>
  <c r="A900" i="3"/>
  <c r="B900" i="3" s="1"/>
  <c r="W899" i="3" l="1"/>
  <c r="L899" i="3"/>
  <c r="P900" i="3"/>
  <c r="Q900" i="3" s="1"/>
  <c r="R900" i="3" s="1"/>
  <c r="S900" i="3" s="1"/>
  <c r="AC900" i="3"/>
  <c r="Z900" i="3"/>
  <c r="AD900" i="3"/>
  <c r="AA900" i="3"/>
  <c r="U899" i="3" l="1"/>
  <c r="Y898" i="3"/>
  <c r="T900" i="3"/>
  <c r="D900" i="3" l="1"/>
  <c r="G900" i="3" s="1"/>
  <c r="AH900" i="3"/>
  <c r="AG900" i="3"/>
  <c r="E900" i="3"/>
  <c r="H900" i="3" s="1"/>
  <c r="K900" i="3" s="1"/>
  <c r="AE900" i="3" s="1"/>
  <c r="F900" i="3" l="1"/>
  <c r="V900" i="3"/>
  <c r="A901" i="3"/>
  <c r="B901" i="3" s="1"/>
  <c r="I900" i="3"/>
  <c r="J900" i="3"/>
  <c r="M900" i="3"/>
  <c r="N900" i="3" s="1"/>
  <c r="L900" i="3" l="1"/>
  <c r="W900" i="3"/>
  <c r="AD901" i="3"/>
  <c r="P901" i="3"/>
  <c r="Q901" i="3" s="1"/>
  <c r="R901" i="3" s="1"/>
  <c r="S901" i="3" s="1"/>
  <c r="AA901" i="3"/>
  <c r="AC901" i="3"/>
  <c r="Z901" i="3"/>
  <c r="U900" i="3" l="1"/>
  <c r="Y899" i="3"/>
  <c r="T901" i="3"/>
  <c r="E901" i="3" l="1"/>
  <c r="H901" i="3" s="1"/>
  <c r="K901" i="3" s="1"/>
  <c r="AE901" i="3" s="1"/>
  <c r="AG901" i="3"/>
  <c r="D901" i="3"/>
  <c r="AH901" i="3"/>
  <c r="F901" i="3" l="1"/>
  <c r="G901" i="3"/>
  <c r="V901" i="3"/>
  <c r="A902" i="3"/>
  <c r="B902" i="3" s="1"/>
  <c r="AD902" i="3" l="1"/>
  <c r="AC902" i="3"/>
  <c r="P902" i="3"/>
  <c r="Q902" i="3" s="1"/>
  <c r="R902" i="3" s="1"/>
  <c r="S902" i="3" s="1"/>
  <c r="Z902" i="3"/>
  <c r="AA902" i="3"/>
  <c r="I901" i="3"/>
  <c r="W901" i="3" s="1"/>
  <c r="J901" i="3"/>
  <c r="M901" i="3"/>
  <c r="N901" i="3" s="1"/>
  <c r="T902" i="3" l="1"/>
  <c r="L901" i="3"/>
  <c r="U901" i="3" l="1"/>
  <c r="E902" i="3" s="1"/>
  <c r="H902" i="3" s="1"/>
  <c r="AH902" i="3"/>
  <c r="AG902" i="3"/>
  <c r="Y900" i="3"/>
  <c r="D902" i="3" l="1"/>
  <c r="F902" i="3" s="1"/>
  <c r="K902" i="3"/>
  <c r="AE902" i="3" s="1"/>
  <c r="G902" i="3" l="1"/>
  <c r="J902" i="3" s="1"/>
  <c r="V902" i="3"/>
  <c r="A903" i="3"/>
  <c r="B903" i="3" s="1"/>
  <c r="M902" i="3" l="1"/>
  <c r="N902" i="3" s="1"/>
  <c r="I902" i="3"/>
  <c r="W902" i="3" s="1"/>
  <c r="L902" i="3"/>
  <c r="Z903" i="3"/>
  <c r="AC903" i="3"/>
  <c r="P903" i="3"/>
  <c r="Q903" i="3" s="1"/>
  <c r="R903" i="3" s="1"/>
  <c r="S903" i="3" s="1"/>
  <c r="AD903" i="3"/>
  <c r="AA903" i="3"/>
  <c r="T903" i="3" l="1"/>
  <c r="AH903" i="3" s="1"/>
  <c r="U902" i="3"/>
  <c r="Y901" i="3"/>
  <c r="D903" i="3" l="1"/>
  <c r="E903" i="3"/>
  <c r="H903" i="3" s="1"/>
  <c r="AG903" i="3"/>
  <c r="K903" i="3" l="1"/>
  <c r="AE903" i="3" s="1"/>
  <c r="F903" i="3"/>
  <c r="G903" i="3"/>
  <c r="I903" i="3" l="1"/>
  <c r="J903" i="3"/>
  <c r="M903" i="3"/>
  <c r="N903" i="3" s="1"/>
  <c r="V903" i="3"/>
  <c r="A904" i="3"/>
  <c r="B904" i="3" s="1"/>
  <c r="W903" i="3" l="1"/>
  <c r="L903" i="3"/>
  <c r="AC904" i="3"/>
  <c r="Z904" i="3"/>
  <c r="P904" i="3"/>
  <c r="Q904" i="3" s="1"/>
  <c r="R904" i="3" s="1"/>
  <c r="S904" i="3" s="1"/>
  <c r="AA904" i="3"/>
  <c r="U903" i="3" l="1"/>
  <c r="Y902" i="3"/>
  <c r="T904" i="3"/>
  <c r="AH904" i="3" s="1"/>
  <c r="E904" i="3" l="1"/>
  <c r="H904" i="3" s="1"/>
  <c r="AG904" i="3"/>
  <c r="D904" i="3"/>
  <c r="K904" i="3" l="1"/>
  <c r="AE904" i="3" s="1"/>
  <c r="F904" i="3"/>
  <c r="G904" i="3"/>
  <c r="V904" i="3" l="1"/>
  <c r="A905" i="3"/>
  <c r="B905" i="3" s="1"/>
  <c r="I904" i="3"/>
  <c r="J904" i="3"/>
  <c r="AD904" i="3" s="1"/>
  <c r="M904" i="3"/>
  <c r="N904" i="3" s="1"/>
  <c r="L904" i="3" l="1"/>
  <c r="W904" i="3"/>
  <c r="AA905" i="3"/>
  <c r="Z905" i="3"/>
  <c r="AD905" i="3"/>
  <c r="AC905" i="3"/>
  <c r="P905" i="3"/>
  <c r="Q905" i="3" s="1"/>
  <c r="R905" i="3" s="1"/>
  <c r="S905" i="3" s="1"/>
  <c r="U904" i="3" l="1"/>
  <c r="Y903" i="3"/>
  <c r="T905" i="3"/>
  <c r="D905" i="3" l="1"/>
  <c r="G905" i="3" s="1"/>
  <c r="E905" i="3"/>
  <c r="H905" i="3" s="1"/>
  <c r="K905" i="3" s="1"/>
  <c r="AE905" i="3" s="1"/>
  <c r="AG905" i="3"/>
  <c r="AH905" i="3"/>
  <c r="F905" i="3" l="1"/>
  <c r="I905" i="3"/>
  <c r="J905" i="3"/>
  <c r="M905" i="3"/>
  <c r="N905" i="3" s="1"/>
  <c r="V905" i="3"/>
  <c r="A906" i="3"/>
  <c r="B906" i="3" s="1"/>
  <c r="L905" i="3" l="1"/>
  <c r="W905" i="3"/>
  <c r="AC906" i="3"/>
  <c r="P906" i="3"/>
  <c r="Q906" i="3" s="1"/>
  <c r="R906" i="3" s="1"/>
  <c r="S906" i="3" s="1"/>
  <c r="Z906" i="3"/>
  <c r="AD906" i="3"/>
  <c r="AA906" i="3"/>
  <c r="T906" i="3" l="1"/>
  <c r="U905" i="3"/>
  <c r="Y904" i="3"/>
  <c r="D906" i="3" l="1"/>
  <c r="G906" i="3" s="1"/>
  <c r="AG906" i="3"/>
  <c r="E906" i="3"/>
  <c r="H906" i="3" s="1"/>
  <c r="AH906" i="3"/>
  <c r="F906" i="3" l="1"/>
  <c r="I906" i="3"/>
  <c r="J906" i="3"/>
  <c r="M906" i="3"/>
  <c r="N906" i="3" s="1"/>
  <c r="K906" i="3"/>
  <c r="AE906" i="3" s="1"/>
  <c r="V906" i="3" l="1"/>
  <c r="W906" i="3" s="1"/>
  <c r="A907" i="3"/>
  <c r="B907" i="3" s="1"/>
  <c r="L906" i="3"/>
  <c r="U906" i="3" l="1"/>
  <c r="Y905" i="3"/>
  <c r="Z907" i="3"/>
  <c r="AC907" i="3"/>
  <c r="AA907" i="3"/>
  <c r="P907" i="3"/>
  <c r="Q907" i="3" s="1"/>
  <c r="R907" i="3" s="1"/>
  <c r="S907" i="3" s="1"/>
  <c r="AD907" i="3"/>
  <c r="T907" i="3" l="1"/>
  <c r="AG907" i="3" s="1"/>
  <c r="E907" i="3" l="1"/>
  <c r="H907" i="3" s="1"/>
  <c r="K907" i="3" s="1"/>
  <c r="AE907" i="3" s="1"/>
  <c r="D907" i="3"/>
  <c r="AH907" i="3"/>
  <c r="V907" i="3" l="1"/>
  <c r="A908" i="3"/>
  <c r="B908" i="3" s="1"/>
  <c r="F907" i="3"/>
  <c r="G907" i="3"/>
  <c r="I907" i="3" l="1"/>
  <c r="W907" i="3" s="1"/>
  <c r="J907" i="3"/>
  <c r="M907" i="3"/>
  <c r="N907" i="3" s="1"/>
  <c r="P908" i="3"/>
  <c r="Q908" i="3" s="1"/>
  <c r="R908" i="3" s="1"/>
  <c r="S908" i="3" s="1"/>
  <c r="AA908" i="3"/>
  <c r="Z908" i="3"/>
  <c r="AD908" i="3"/>
  <c r="AC908" i="3"/>
  <c r="T908" i="3" l="1"/>
  <c r="L907" i="3"/>
  <c r="AG908" i="3" l="1"/>
  <c r="AH908" i="3"/>
  <c r="U907" i="3"/>
  <c r="E908" i="3" s="1"/>
  <c r="H908" i="3" s="1"/>
  <c r="Y906" i="3"/>
  <c r="D908" i="3" l="1"/>
  <c r="G908" i="3" s="1"/>
  <c r="K908" i="3"/>
  <c r="AE908" i="3" s="1"/>
  <c r="F908" i="3" l="1"/>
  <c r="I908" i="3"/>
  <c r="J908" i="3"/>
  <c r="M908" i="3"/>
  <c r="N908" i="3" s="1"/>
  <c r="V908" i="3"/>
  <c r="A909" i="3"/>
  <c r="B909" i="3" s="1"/>
  <c r="W908" i="3" l="1"/>
  <c r="L908" i="3"/>
  <c r="AA909" i="3"/>
  <c r="Z909" i="3"/>
  <c r="P909" i="3"/>
  <c r="Q909" i="3" s="1"/>
  <c r="R909" i="3" s="1"/>
  <c r="S909" i="3" s="1"/>
  <c r="AD909" i="3"/>
  <c r="AC909" i="3"/>
  <c r="U908" i="3" l="1"/>
  <c r="Y907" i="3"/>
  <c r="T909" i="3"/>
  <c r="AH909" i="3" s="1"/>
  <c r="AG909" i="3" l="1"/>
  <c r="D909" i="3"/>
  <c r="G909" i="3" s="1"/>
  <c r="E909" i="3"/>
  <c r="H909" i="3" s="1"/>
  <c r="K909" i="3" s="1"/>
  <c r="AE909" i="3" s="1"/>
  <c r="F909" i="3" l="1"/>
  <c r="V909" i="3"/>
  <c r="A910" i="3"/>
  <c r="B910" i="3" s="1"/>
  <c r="I909" i="3"/>
  <c r="J909" i="3"/>
  <c r="M909" i="3"/>
  <c r="N909" i="3" s="1"/>
  <c r="W909" i="3" l="1"/>
  <c r="L909" i="3"/>
  <c r="AA910" i="3"/>
  <c r="AC910" i="3"/>
  <c r="P910" i="3"/>
  <c r="Q910" i="3" s="1"/>
  <c r="R910" i="3" s="1"/>
  <c r="S910" i="3" s="1"/>
  <c r="AD910" i="3"/>
  <c r="Z910" i="3"/>
  <c r="U909" i="3" l="1"/>
  <c r="Y908" i="3"/>
  <c r="T910" i="3"/>
  <c r="AH910" i="3" s="1"/>
  <c r="D910" i="3" l="1"/>
  <c r="G910" i="3" s="1"/>
  <c r="AG910" i="3"/>
  <c r="E910" i="3"/>
  <c r="H910" i="3" s="1"/>
  <c r="F910" i="3" l="1"/>
  <c r="I910" i="3"/>
  <c r="J910" i="3"/>
  <c r="M910" i="3"/>
  <c r="N910" i="3" s="1"/>
  <c r="K910" i="3"/>
  <c r="AE910" i="3" s="1"/>
  <c r="V910" i="3" l="1"/>
  <c r="W910" i="3" s="1"/>
  <c r="A911" i="3"/>
  <c r="B911" i="3" s="1"/>
  <c r="L910" i="3"/>
  <c r="U910" i="3" l="1"/>
  <c r="Y909" i="3"/>
  <c r="AD911" i="3"/>
  <c r="AA911" i="3"/>
  <c r="P911" i="3"/>
  <c r="Q911" i="3" s="1"/>
  <c r="R911" i="3" s="1"/>
  <c r="S911" i="3" s="1"/>
  <c r="Z911" i="3"/>
  <c r="AC911" i="3"/>
  <c r="T911" i="3" l="1"/>
  <c r="E911" i="3" s="1"/>
  <c r="H911" i="3" s="1"/>
  <c r="AH911" i="3" l="1"/>
  <c r="D911" i="3"/>
  <c r="G911" i="3" s="1"/>
  <c r="AG911" i="3"/>
  <c r="K911" i="3"/>
  <c r="AE911" i="3" s="1"/>
  <c r="F911" i="3" l="1"/>
  <c r="I911" i="3"/>
  <c r="J911" i="3"/>
  <c r="M911" i="3"/>
  <c r="N911" i="3" s="1"/>
  <c r="V911" i="3"/>
  <c r="A912" i="3"/>
  <c r="B912" i="3" s="1"/>
  <c r="W911" i="3" l="1"/>
  <c r="L911" i="3"/>
  <c r="AA912" i="3"/>
  <c r="AD912" i="3"/>
  <c r="AC912" i="3"/>
  <c r="P912" i="3"/>
  <c r="Q912" i="3" s="1"/>
  <c r="R912" i="3" s="1"/>
  <c r="S912" i="3" s="1"/>
  <c r="Z912" i="3"/>
  <c r="T912" i="3" l="1"/>
  <c r="U911" i="3"/>
  <c r="Y910" i="3"/>
  <c r="D912" i="3" l="1"/>
  <c r="G912" i="3" s="1"/>
  <c r="AG912" i="3"/>
  <c r="AH912" i="3"/>
  <c r="E912" i="3"/>
  <c r="H912" i="3" s="1"/>
  <c r="I912" i="3" l="1"/>
  <c r="J912" i="3"/>
  <c r="M912" i="3"/>
  <c r="N912" i="3" s="1"/>
  <c r="F912" i="3"/>
  <c r="K912" i="3"/>
  <c r="AE912" i="3" s="1"/>
  <c r="L912" i="3" l="1"/>
  <c r="V912" i="3"/>
  <c r="W912" i="3" s="1"/>
  <c r="A913" i="3"/>
  <c r="B913" i="3" s="1"/>
  <c r="U912" i="3" l="1"/>
  <c r="Y911" i="3"/>
  <c r="Z913" i="3"/>
  <c r="AD913" i="3"/>
  <c r="P913" i="3"/>
  <c r="Q913" i="3" s="1"/>
  <c r="R913" i="3" s="1"/>
  <c r="S913" i="3" s="1"/>
  <c r="AA913" i="3"/>
  <c r="AC913" i="3"/>
  <c r="T913" i="3" l="1"/>
  <c r="AH913" i="3" s="1"/>
  <c r="D913" i="3" l="1"/>
  <c r="G913" i="3" s="1"/>
  <c r="AG913" i="3"/>
  <c r="E913" i="3"/>
  <c r="H913" i="3" s="1"/>
  <c r="F913" i="3" l="1"/>
  <c r="I913" i="3"/>
  <c r="J913" i="3"/>
  <c r="M913" i="3"/>
  <c r="N913" i="3" s="1"/>
  <c r="K913" i="3"/>
  <c r="AE913" i="3" s="1"/>
  <c r="V913" i="3" l="1"/>
  <c r="W913" i="3" s="1"/>
  <c r="A914" i="3"/>
  <c r="B914" i="3" s="1"/>
  <c r="L913" i="3"/>
  <c r="U913" i="3" l="1"/>
  <c r="Y912" i="3"/>
  <c r="AA914" i="3"/>
  <c r="Z914" i="3"/>
  <c r="AC914" i="3"/>
  <c r="P914" i="3"/>
  <c r="Q914" i="3" s="1"/>
  <c r="R914" i="3" s="1"/>
  <c r="S914" i="3" s="1"/>
  <c r="T914" i="3" l="1"/>
  <c r="D914" i="3" s="1"/>
  <c r="E914" i="3" l="1"/>
  <c r="H914" i="3" s="1"/>
  <c r="K914" i="3" s="1"/>
  <c r="AE914" i="3" s="1"/>
  <c r="G914" i="3"/>
  <c r="AH914" i="3"/>
  <c r="AG914" i="3"/>
  <c r="F914" i="3" l="1"/>
  <c r="I914" i="3"/>
  <c r="J914" i="3"/>
  <c r="AD914" i="3" s="1"/>
  <c r="M914" i="3"/>
  <c r="N914" i="3" s="1"/>
  <c r="V914" i="3"/>
  <c r="A915" i="3"/>
  <c r="B915" i="3" s="1"/>
  <c r="W914" i="3" l="1"/>
  <c r="L914" i="3"/>
  <c r="P915" i="3"/>
  <c r="Q915" i="3" s="1"/>
  <c r="R915" i="3" s="1"/>
  <c r="S915" i="3" s="1"/>
  <c r="AA915" i="3"/>
  <c r="AC915" i="3"/>
  <c r="Z915" i="3"/>
  <c r="AD915" i="3"/>
  <c r="U914" i="3" l="1"/>
  <c r="Y913" i="3"/>
  <c r="T915" i="3"/>
  <c r="AH915" i="3" s="1"/>
  <c r="E915" i="3" l="1"/>
  <c r="H915" i="3" s="1"/>
  <c r="D915" i="3"/>
  <c r="AG915" i="3"/>
  <c r="K915" i="3" l="1"/>
  <c r="AE915" i="3" s="1"/>
  <c r="F915" i="3"/>
  <c r="G915" i="3"/>
  <c r="I915" i="3" l="1"/>
  <c r="J915" i="3"/>
  <c r="M915" i="3"/>
  <c r="N915" i="3" s="1"/>
  <c r="V915" i="3"/>
  <c r="A916" i="3"/>
  <c r="B916" i="3" s="1"/>
  <c r="W915" i="3" l="1"/>
  <c r="L915" i="3"/>
  <c r="AC916" i="3"/>
  <c r="AA916" i="3"/>
  <c r="Z916" i="3"/>
  <c r="P916" i="3"/>
  <c r="Q916" i="3" s="1"/>
  <c r="R916" i="3" s="1"/>
  <c r="S916" i="3" s="1"/>
  <c r="AD916" i="3"/>
  <c r="U915" i="3" l="1"/>
  <c r="Y914" i="3"/>
  <c r="T916" i="3"/>
  <c r="D916" i="3" l="1"/>
  <c r="G916" i="3" s="1"/>
  <c r="AG916" i="3"/>
  <c r="AH916" i="3"/>
  <c r="E916" i="3"/>
  <c r="H916" i="3" s="1"/>
  <c r="K916" i="3" l="1"/>
  <c r="AE916" i="3" s="1"/>
  <c r="I916" i="3"/>
  <c r="J916" i="3"/>
  <c r="M916" i="3"/>
  <c r="N916" i="3" s="1"/>
  <c r="F916" i="3"/>
  <c r="L916" i="3" l="1"/>
  <c r="V916" i="3"/>
  <c r="W916" i="3" s="1"/>
  <c r="A917" i="3"/>
  <c r="B917" i="3" s="1"/>
  <c r="U916" i="3" l="1"/>
  <c r="Y915" i="3"/>
  <c r="AD917" i="3"/>
  <c r="AC917" i="3"/>
  <c r="Z917" i="3"/>
  <c r="P917" i="3"/>
  <c r="Q917" i="3" s="1"/>
  <c r="R917" i="3" s="1"/>
  <c r="S917" i="3" s="1"/>
  <c r="AA917" i="3"/>
  <c r="T917" i="3" l="1"/>
  <c r="AG917" i="3" s="1"/>
  <c r="E917" i="3" l="1"/>
  <c r="H917" i="3" s="1"/>
  <c r="K917" i="3" s="1"/>
  <c r="AE917" i="3" s="1"/>
  <c r="AH917" i="3"/>
  <c r="D917" i="3"/>
  <c r="F917" i="3" l="1"/>
  <c r="G917" i="3"/>
  <c r="J917" i="3" s="1"/>
  <c r="V917" i="3"/>
  <c r="A918" i="3"/>
  <c r="B918" i="3" s="1"/>
  <c r="M917" i="3" l="1"/>
  <c r="N917" i="3" s="1"/>
  <c r="I917" i="3"/>
  <c r="W917" i="3" s="1"/>
  <c r="L917" i="3"/>
  <c r="AC918" i="3"/>
  <c r="AD918" i="3"/>
  <c r="AA918" i="3"/>
  <c r="Z918" i="3"/>
  <c r="P918" i="3"/>
  <c r="Q918" i="3" s="1"/>
  <c r="R918" i="3" s="1"/>
  <c r="S918" i="3" s="1"/>
  <c r="T918" i="3" l="1"/>
  <c r="U917" i="3"/>
  <c r="Y916" i="3"/>
  <c r="E918" i="3" l="1"/>
  <c r="H918" i="3" s="1"/>
  <c r="K918" i="3" s="1"/>
  <c r="AE918" i="3" s="1"/>
  <c r="AH918" i="3"/>
  <c r="D918" i="3"/>
  <c r="G918" i="3" s="1"/>
  <c r="AG918" i="3"/>
  <c r="F918" i="3" l="1"/>
  <c r="I918" i="3"/>
  <c r="J918" i="3"/>
  <c r="M918" i="3"/>
  <c r="N918" i="3" s="1"/>
  <c r="V918" i="3"/>
  <c r="A919" i="3"/>
  <c r="B919" i="3" s="1"/>
  <c r="L918" i="3" l="1"/>
  <c r="W918" i="3"/>
  <c r="P919" i="3"/>
  <c r="Q919" i="3" s="1"/>
  <c r="R919" i="3" s="1"/>
  <c r="S919" i="3" s="1"/>
  <c r="Z919" i="3"/>
  <c r="AC919" i="3"/>
  <c r="AD919" i="3"/>
  <c r="AA919" i="3"/>
  <c r="U918" i="3" l="1"/>
  <c r="Y917" i="3"/>
  <c r="T919" i="3"/>
  <c r="AG919" i="3" s="1"/>
  <c r="E919" i="3" l="1"/>
  <c r="H919" i="3" s="1"/>
  <c r="K919" i="3" s="1"/>
  <c r="AE919" i="3" s="1"/>
  <c r="AH919" i="3"/>
  <c r="D919" i="3"/>
  <c r="V919" i="3" l="1"/>
  <c r="A920" i="3"/>
  <c r="B920" i="3" s="1"/>
  <c r="F919" i="3"/>
  <c r="G919" i="3"/>
  <c r="I919" i="3" l="1"/>
  <c r="W919" i="3" s="1"/>
  <c r="J919" i="3"/>
  <c r="M919" i="3"/>
  <c r="N919" i="3" s="1"/>
  <c r="AD920" i="3"/>
  <c r="AC920" i="3"/>
  <c r="P920" i="3"/>
  <c r="Q920" i="3" s="1"/>
  <c r="R920" i="3" s="1"/>
  <c r="S920" i="3" s="1"/>
  <c r="AA920" i="3"/>
  <c r="Z920" i="3"/>
  <c r="T920" i="3" l="1"/>
  <c r="L919" i="3"/>
  <c r="AH920" i="3" l="1"/>
  <c r="U919" i="3"/>
  <c r="E920" i="3" s="1"/>
  <c r="H920" i="3" s="1"/>
  <c r="AG920" i="3"/>
  <c r="Y918" i="3"/>
  <c r="D920" i="3" l="1"/>
  <c r="G920" i="3" s="1"/>
  <c r="K920" i="3"/>
  <c r="AE920" i="3" s="1"/>
  <c r="F920" i="3" l="1"/>
  <c r="V920" i="3"/>
  <c r="A921" i="3"/>
  <c r="B921" i="3" s="1"/>
  <c r="I920" i="3"/>
  <c r="J920" i="3"/>
  <c r="M920" i="3"/>
  <c r="N920" i="3" s="1"/>
  <c r="W920" i="3" l="1"/>
  <c r="L920" i="3"/>
  <c r="AA921" i="3"/>
  <c r="Z921" i="3"/>
  <c r="P921" i="3"/>
  <c r="Q921" i="3" s="1"/>
  <c r="R921" i="3" s="1"/>
  <c r="S921" i="3" s="1"/>
  <c r="AD921" i="3"/>
  <c r="AC921" i="3"/>
  <c r="U920" i="3" l="1"/>
  <c r="Y919" i="3"/>
  <c r="T921" i="3"/>
  <c r="AG921" i="3" s="1"/>
  <c r="E921" i="3" l="1"/>
  <c r="H921" i="3" s="1"/>
  <c r="K921" i="3" s="1"/>
  <c r="AE921" i="3" s="1"/>
  <c r="AH921" i="3"/>
  <c r="D921" i="3"/>
  <c r="G921" i="3" s="1"/>
  <c r="F921" i="3" l="1"/>
  <c r="I921" i="3"/>
  <c r="J921" i="3"/>
  <c r="M921" i="3"/>
  <c r="N921" i="3" s="1"/>
  <c r="V921" i="3"/>
  <c r="A922" i="3"/>
  <c r="B922" i="3" s="1"/>
  <c r="W921" i="3" l="1"/>
  <c r="L921" i="3"/>
  <c r="AC922" i="3"/>
  <c r="AA922" i="3"/>
  <c r="Z922" i="3"/>
  <c r="P922" i="3"/>
  <c r="Q922" i="3" s="1"/>
  <c r="R922" i="3" s="1"/>
  <c r="S922" i="3" s="1"/>
  <c r="AD922" i="3"/>
  <c r="U921" i="3" l="1"/>
  <c r="Y920" i="3"/>
  <c r="T922" i="3"/>
  <c r="E922" i="3" l="1"/>
  <c r="H922" i="3" s="1"/>
  <c r="K922" i="3" s="1"/>
  <c r="AE922" i="3" s="1"/>
  <c r="AH922" i="3"/>
  <c r="D922" i="3"/>
  <c r="AG922" i="3"/>
  <c r="F922" i="3" l="1"/>
  <c r="G922" i="3"/>
  <c r="V922" i="3"/>
  <c r="A923" i="3"/>
  <c r="B923" i="3" s="1"/>
  <c r="AD923" i="3" l="1"/>
  <c r="AC923" i="3"/>
  <c r="Z923" i="3"/>
  <c r="AA923" i="3"/>
  <c r="P923" i="3"/>
  <c r="Q923" i="3" s="1"/>
  <c r="R923" i="3" s="1"/>
  <c r="S923" i="3" s="1"/>
  <c r="I922" i="3"/>
  <c r="W922" i="3" s="1"/>
  <c r="J922" i="3"/>
  <c r="M922" i="3"/>
  <c r="N922" i="3" s="1"/>
  <c r="L922" i="3" l="1"/>
  <c r="T923" i="3"/>
  <c r="AH923" i="3" l="1"/>
  <c r="AG923" i="3"/>
  <c r="U922" i="3"/>
  <c r="D923" i="3" s="1"/>
  <c r="Y921" i="3"/>
  <c r="E923" i="3" l="1"/>
  <c r="H923" i="3" s="1"/>
  <c r="K923" i="3" s="1"/>
  <c r="AE923" i="3" s="1"/>
  <c r="G923" i="3"/>
  <c r="F923" i="3" l="1"/>
  <c r="V923" i="3"/>
  <c r="A924" i="3"/>
  <c r="B924" i="3" s="1"/>
  <c r="I923" i="3"/>
  <c r="J923" i="3"/>
  <c r="M923" i="3"/>
  <c r="N923" i="3" s="1"/>
  <c r="W923" i="3" l="1"/>
  <c r="L923" i="3"/>
  <c r="Z924" i="3"/>
  <c r="AC924" i="3"/>
  <c r="P924" i="3"/>
  <c r="Q924" i="3" s="1"/>
  <c r="R924" i="3" s="1"/>
  <c r="S924" i="3" s="1"/>
  <c r="AA924" i="3"/>
  <c r="U923" i="3" l="1"/>
  <c r="Y922" i="3"/>
  <c r="T924" i="3"/>
  <c r="AH924" i="3" s="1"/>
  <c r="D924" i="3" l="1"/>
  <c r="G924" i="3" s="1"/>
  <c r="AG924" i="3"/>
  <c r="E924" i="3"/>
  <c r="H924" i="3" s="1"/>
  <c r="K924" i="3" s="1"/>
  <c r="AE924" i="3" s="1"/>
  <c r="F924" i="3" l="1"/>
  <c r="I924" i="3"/>
  <c r="J924" i="3"/>
  <c r="AD924" i="3" s="1"/>
  <c r="M924" i="3"/>
  <c r="N924" i="3" s="1"/>
  <c r="V924" i="3"/>
  <c r="A925" i="3"/>
  <c r="B925" i="3" s="1"/>
  <c r="W924" i="3" l="1"/>
  <c r="L924" i="3"/>
  <c r="Z925" i="3"/>
  <c r="AA925" i="3"/>
  <c r="AC925" i="3"/>
  <c r="P925" i="3"/>
  <c r="Q925" i="3" s="1"/>
  <c r="R925" i="3" s="1"/>
  <c r="S925" i="3" s="1"/>
  <c r="T925" i="3" l="1"/>
  <c r="AG925" i="3" s="1"/>
  <c r="U924" i="3"/>
  <c r="Y923" i="3"/>
  <c r="AH925" i="3" l="1"/>
  <c r="E925" i="3"/>
  <c r="H925" i="3" s="1"/>
  <c r="D925" i="3"/>
  <c r="K925" i="3" l="1"/>
  <c r="AE925" i="3" s="1"/>
  <c r="F925" i="3"/>
  <c r="G925" i="3"/>
  <c r="I925" i="3" l="1"/>
  <c r="J925" i="3"/>
  <c r="AD925" i="3" s="1"/>
  <c r="M925" i="3"/>
  <c r="N925" i="3" s="1"/>
  <c r="V925" i="3"/>
  <c r="A926" i="3"/>
  <c r="B926" i="3" s="1"/>
  <c r="W925" i="3" l="1"/>
  <c r="L925" i="3"/>
  <c r="AC926" i="3"/>
  <c r="AA926" i="3"/>
  <c r="P926" i="3"/>
  <c r="Q926" i="3" s="1"/>
  <c r="R926" i="3" s="1"/>
  <c r="S926" i="3" s="1"/>
  <c r="Z926" i="3"/>
  <c r="U925" i="3" l="1"/>
  <c r="Y924" i="3"/>
  <c r="T926" i="3"/>
  <c r="AG926" i="3" s="1"/>
  <c r="E926" i="3" l="1"/>
  <c r="H926" i="3" s="1"/>
  <c r="K926" i="3" s="1"/>
  <c r="AE926" i="3" s="1"/>
  <c r="AH926" i="3"/>
  <c r="D926" i="3"/>
  <c r="V926" i="3" l="1"/>
  <c r="A927" i="3"/>
  <c r="B927" i="3" s="1"/>
  <c r="F926" i="3"/>
  <c r="G926" i="3"/>
  <c r="I926" i="3" l="1"/>
  <c r="W926" i="3" s="1"/>
  <c r="J926" i="3"/>
  <c r="AD926" i="3" s="1"/>
  <c r="M926" i="3"/>
  <c r="N926" i="3" s="1"/>
  <c r="Z927" i="3"/>
  <c r="P927" i="3"/>
  <c r="Q927" i="3" s="1"/>
  <c r="R927" i="3" s="1"/>
  <c r="S927" i="3" s="1"/>
  <c r="AA927" i="3"/>
  <c r="AC927" i="3"/>
  <c r="T927" i="3" l="1"/>
  <c r="L926" i="3"/>
  <c r="U926" i="3" l="1"/>
  <c r="D927" i="3" s="1"/>
  <c r="AG927" i="3"/>
  <c r="AH927" i="3"/>
  <c r="Y925" i="3"/>
  <c r="G927" i="3" l="1"/>
  <c r="E927" i="3"/>
  <c r="H927" i="3" s="1"/>
  <c r="F927" i="3" l="1"/>
  <c r="K927" i="3"/>
  <c r="AE927" i="3" s="1"/>
  <c r="I927" i="3"/>
  <c r="J927" i="3"/>
  <c r="AD927" i="3" s="1"/>
  <c r="M927" i="3"/>
  <c r="N927" i="3" s="1"/>
  <c r="L927" i="3" l="1"/>
  <c r="V927" i="3"/>
  <c r="W927" i="3" s="1"/>
  <c r="A928" i="3"/>
  <c r="B928" i="3" s="1"/>
  <c r="U927" i="3" l="1"/>
  <c r="Y926" i="3"/>
  <c r="AC928" i="3"/>
  <c r="AA928" i="3"/>
  <c r="Z928" i="3"/>
  <c r="P928" i="3"/>
  <c r="Q928" i="3" s="1"/>
  <c r="R928" i="3" s="1"/>
  <c r="S928" i="3" s="1"/>
  <c r="T928" i="3" l="1"/>
  <c r="D928" i="3" s="1"/>
  <c r="AH928" i="3" l="1"/>
  <c r="E928" i="3"/>
  <c r="H928" i="3" s="1"/>
  <c r="K928" i="3" s="1"/>
  <c r="AE928" i="3" s="1"/>
  <c r="AG928" i="3"/>
  <c r="G928" i="3"/>
  <c r="F928" i="3" l="1"/>
  <c r="I928" i="3"/>
  <c r="J928" i="3"/>
  <c r="AD928" i="3" s="1"/>
  <c r="M928" i="3"/>
  <c r="N928" i="3" s="1"/>
  <c r="V928" i="3"/>
  <c r="A929" i="3"/>
  <c r="B929" i="3" s="1"/>
  <c r="L928" i="3" l="1"/>
  <c r="P929" i="3"/>
  <c r="Q929" i="3" s="1"/>
  <c r="R929" i="3" s="1"/>
  <c r="S929" i="3" s="1"/>
  <c r="AC929" i="3"/>
  <c r="Z929" i="3"/>
  <c r="AA929" i="3"/>
  <c r="W928" i="3"/>
  <c r="T929" i="3" l="1"/>
  <c r="AG929" i="3" s="1"/>
  <c r="U928" i="3"/>
  <c r="Y927" i="3"/>
  <c r="AH929" i="3" l="1"/>
  <c r="D929" i="3"/>
  <c r="E929" i="3"/>
  <c r="H929" i="3" s="1"/>
  <c r="F929" i="3" l="1"/>
  <c r="G929" i="3"/>
  <c r="K929" i="3"/>
  <c r="AE929" i="3" s="1"/>
  <c r="V929" i="3" l="1"/>
  <c r="A930" i="3"/>
  <c r="B930" i="3" s="1"/>
  <c r="I929" i="3"/>
  <c r="J929" i="3"/>
  <c r="AD929" i="3" s="1"/>
  <c r="M929" i="3"/>
  <c r="N929" i="3" s="1"/>
  <c r="L929" i="3" l="1"/>
  <c r="P930" i="3"/>
  <c r="Q930" i="3" s="1"/>
  <c r="R930" i="3" s="1"/>
  <c r="S930" i="3" s="1"/>
  <c r="AC930" i="3"/>
  <c r="Z930" i="3"/>
  <c r="AA930" i="3"/>
  <c r="W929" i="3"/>
  <c r="T930" i="3" l="1"/>
  <c r="U929" i="3"/>
  <c r="Y928" i="3"/>
  <c r="D930" i="3" l="1"/>
  <c r="G930" i="3" s="1"/>
  <c r="AH930" i="3"/>
  <c r="E930" i="3"/>
  <c r="H930" i="3" s="1"/>
  <c r="AG930" i="3"/>
  <c r="F930" i="3" l="1"/>
  <c r="I930" i="3"/>
  <c r="J930" i="3"/>
  <c r="AD930" i="3" s="1"/>
  <c r="M930" i="3"/>
  <c r="N930" i="3" s="1"/>
  <c r="K930" i="3"/>
  <c r="AE930" i="3" s="1"/>
  <c r="V930" i="3" l="1"/>
  <c r="W930" i="3" s="1"/>
  <c r="A931" i="3"/>
  <c r="B931" i="3" s="1"/>
  <c r="L930" i="3"/>
  <c r="U930" i="3" l="1"/>
  <c r="Y929" i="3"/>
  <c r="AC931" i="3"/>
  <c r="AA931" i="3"/>
  <c r="Z931" i="3"/>
  <c r="P931" i="3"/>
  <c r="Q931" i="3" s="1"/>
  <c r="R931" i="3" s="1"/>
  <c r="S931" i="3" s="1"/>
  <c r="T931" i="3" l="1"/>
  <c r="AH931" i="3" s="1"/>
  <c r="E931" i="3" l="1"/>
  <c r="H931" i="3" s="1"/>
  <c r="D931" i="3"/>
  <c r="AG931" i="3"/>
  <c r="K931" i="3" l="1"/>
  <c r="AE931" i="3" s="1"/>
  <c r="F931" i="3"/>
  <c r="G931" i="3"/>
  <c r="I931" i="3" l="1"/>
  <c r="J931" i="3"/>
  <c r="AD931" i="3" s="1"/>
  <c r="M931" i="3"/>
  <c r="N931" i="3" s="1"/>
  <c r="V931" i="3"/>
  <c r="A932" i="3"/>
  <c r="B932" i="3" s="1"/>
  <c r="W931" i="3" l="1"/>
  <c r="L931" i="3"/>
  <c r="AA932" i="3"/>
  <c r="Z932" i="3"/>
  <c r="AC932" i="3"/>
  <c r="P932" i="3"/>
  <c r="Q932" i="3" s="1"/>
  <c r="R932" i="3" s="1"/>
  <c r="S932" i="3" s="1"/>
  <c r="U931" i="3" l="1"/>
  <c r="Y930" i="3"/>
  <c r="T932" i="3"/>
  <c r="AH932" i="3" s="1"/>
  <c r="E932" i="3" l="1"/>
  <c r="H932" i="3" s="1"/>
  <c r="D932" i="3"/>
  <c r="AG932" i="3"/>
  <c r="K932" i="3" l="1"/>
  <c r="AE932" i="3" s="1"/>
  <c r="F932" i="3"/>
  <c r="G932" i="3"/>
  <c r="V932" i="3" l="1"/>
  <c r="A933" i="3"/>
  <c r="B933" i="3" s="1"/>
  <c r="I932" i="3"/>
  <c r="J932" i="3"/>
  <c r="AD932" i="3" s="1"/>
  <c r="M932" i="3"/>
  <c r="N932" i="3" s="1"/>
  <c r="L932" i="3" l="1"/>
  <c r="W932" i="3"/>
  <c r="AA933" i="3"/>
  <c r="P933" i="3"/>
  <c r="Q933" i="3" s="1"/>
  <c r="R933" i="3" s="1"/>
  <c r="S933" i="3" s="1"/>
  <c r="Z933" i="3"/>
  <c r="AC933" i="3"/>
  <c r="U932" i="3" l="1"/>
  <c r="Y931" i="3"/>
  <c r="T933" i="3"/>
  <c r="D933" i="3" l="1"/>
  <c r="G933" i="3" s="1"/>
  <c r="AH933" i="3"/>
  <c r="AG933" i="3"/>
  <c r="E933" i="3"/>
  <c r="H933" i="3" s="1"/>
  <c r="K933" i="3" l="1"/>
  <c r="AE933" i="3" s="1"/>
  <c r="I933" i="3"/>
  <c r="J933" i="3"/>
  <c r="AD933" i="3" s="1"/>
  <c r="M933" i="3"/>
  <c r="N933" i="3" s="1"/>
  <c r="F933" i="3"/>
  <c r="V933" i="3" l="1"/>
  <c r="W933" i="3" s="1"/>
  <c r="A934" i="3"/>
  <c r="B934" i="3" s="1"/>
  <c r="L933" i="3"/>
  <c r="U933" i="3" l="1"/>
  <c r="Y932" i="3"/>
  <c r="AC934" i="3"/>
  <c r="Z934" i="3"/>
  <c r="P934" i="3"/>
  <c r="Q934" i="3" s="1"/>
  <c r="R934" i="3" s="1"/>
  <c r="S934" i="3" s="1"/>
  <c r="AA934" i="3"/>
  <c r="T934" i="3" l="1"/>
  <c r="AH934" i="3" s="1"/>
  <c r="AG934" i="3" l="1"/>
  <c r="D934" i="3"/>
  <c r="E934" i="3"/>
  <c r="H934" i="3" s="1"/>
  <c r="K934" i="3" l="1"/>
  <c r="AE934" i="3" s="1"/>
  <c r="F934" i="3"/>
  <c r="G934" i="3"/>
  <c r="V934" i="3" l="1"/>
  <c r="A935" i="3"/>
  <c r="B935" i="3" s="1"/>
  <c r="I934" i="3"/>
  <c r="J934" i="3"/>
  <c r="AD934" i="3" s="1"/>
  <c r="M934" i="3"/>
  <c r="N934" i="3" s="1"/>
  <c r="W934" i="3" l="1"/>
  <c r="L934" i="3"/>
  <c r="AD935" i="3"/>
  <c r="P935" i="3"/>
  <c r="Q935" i="3" s="1"/>
  <c r="R935" i="3" s="1"/>
  <c r="S935" i="3" s="1"/>
  <c r="AA935" i="3"/>
  <c r="AC935" i="3"/>
  <c r="Z935" i="3"/>
  <c r="T935" i="3" l="1"/>
  <c r="U934" i="3"/>
  <c r="Y933" i="3"/>
  <c r="E935" i="3" l="1"/>
  <c r="H935" i="3" s="1"/>
  <c r="K935" i="3" s="1"/>
  <c r="AE935" i="3" s="1"/>
  <c r="AH935" i="3"/>
  <c r="AG935" i="3"/>
  <c r="D935" i="3"/>
  <c r="V935" i="3" l="1"/>
  <c r="A936" i="3"/>
  <c r="B936" i="3" s="1"/>
  <c r="F935" i="3"/>
  <c r="G935" i="3"/>
  <c r="I935" i="3" l="1"/>
  <c r="W935" i="3" s="1"/>
  <c r="J935" i="3"/>
  <c r="M935" i="3"/>
  <c r="N935" i="3" s="1"/>
  <c r="P936" i="3"/>
  <c r="Q936" i="3" s="1"/>
  <c r="R936" i="3" s="1"/>
  <c r="S936" i="3" s="1"/>
  <c r="AD936" i="3"/>
  <c r="AC936" i="3"/>
  <c r="Z936" i="3"/>
  <c r="AA936" i="3"/>
  <c r="T936" i="3" l="1"/>
  <c r="L935" i="3"/>
  <c r="AH936" i="3" l="1"/>
  <c r="U935" i="3"/>
  <c r="E936" i="3" s="1"/>
  <c r="H936" i="3" s="1"/>
  <c r="AG936" i="3"/>
  <c r="Y934" i="3"/>
  <c r="D936" i="3" l="1"/>
  <c r="F936" i="3" s="1"/>
  <c r="K936" i="3"/>
  <c r="AE936" i="3" s="1"/>
  <c r="G936" i="3" l="1"/>
  <c r="J936" i="3" s="1"/>
  <c r="V936" i="3"/>
  <c r="A937" i="3"/>
  <c r="B937" i="3" s="1"/>
  <c r="M936" i="3" l="1"/>
  <c r="N936" i="3" s="1"/>
  <c r="I936" i="3"/>
  <c r="W936" i="3" s="1"/>
  <c r="L936" i="3"/>
  <c r="AD937" i="3"/>
  <c r="P937" i="3"/>
  <c r="Q937" i="3" s="1"/>
  <c r="R937" i="3" s="1"/>
  <c r="S937" i="3" s="1"/>
  <c r="AA937" i="3"/>
  <c r="Z937" i="3"/>
  <c r="AC937" i="3"/>
  <c r="U936" i="3" l="1"/>
  <c r="Y935" i="3"/>
  <c r="T937" i="3"/>
  <c r="AG937" i="3" s="1"/>
  <c r="E937" i="3" l="1"/>
  <c r="H937" i="3" s="1"/>
  <c r="K937" i="3" s="1"/>
  <c r="AE937" i="3" s="1"/>
  <c r="D937" i="3"/>
  <c r="G937" i="3" s="1"/>
  <c r="AH937" i="3"/>
  <c r="F937" i="3" l="1"/>
  <c r="V937" i="3"/>
  <c r="A938" i="3"/>
  <c r="B938" i="3" s="1"/>
  <c r="I937" i="3"/>
  <c r="J937" i="3"/>
  <c r="M937" i="3"/>
  <c r="N937" i="3" s="1"/>
  <c r="W937" i="3" l="1"/>
  <c r="L937" i="3"/>
  <c r="Z938" i="3"/>
  <c r="P938" i="3"/>
  <c r="Q938" i="3" s="1"/>
  <c r="R938" i="3" s="1"/>
  <c r="S938" i="3" s="1"/>
  <c r="AA938" i="3"/>
  <c r="AC938" i="3"/>
  <c r="AD938" i="3"/>
  <c r="T938" i="3" l="1"/>
  <c r="AG938" i="3" s="1"/>
  <c r="U937" i="3"/>
  <c r="Y936" i="3"/>
  <c r="D938" i="3" l="1"/>
  <c r="AH938" i="3"/>
  <c r="E938" i="3"/>
  <c r="H938" i="3" s="1"/>
  <c r="F938" i="3" l="1"/>
  <c r="G938" i="3"/>
  <c r="J938" i="3" s="1"/>
  <c r="K938" i="3"/>
  <c r="AE938" i="3" s="1"/>
  <c r="I938" i="3" l="1"/>
  <c r="M938" i="3"/>
  <c r="N938" i="3" s="1"/>
  <c r="V938" i="3"/>
  <c r="A939" i="3"/>
  <c r="B939" i="3" s="1"/>
  <c r="L938" i="3"/>
  <c r="W938" i="3" l="1"/>
  <c r="U938" i="3"/>
  <c r="Y937" i="3"/>
  <c r="AA939" i="3"/>
  <c r="P939" i="3"/>
  <c r="Q939" i="3" s="1"/>
  <c r="R939" i="3" s="1"/>
  <c r="S939" i="3" s="1"/>
  <c r="Z939" i="3"/>
  <c r="AD939" i="3"/>
  <c r="AC939" i="3"/>
  <c r="T939" i="3" l="1"/>
  <c r="E939" i="3" s="1"/>
  <c r="H939" i="3" s="1"/>
  <c r="K939" i="3" l="1"/>
  <c r="AE939" i="3" s="1"/>
  <c r="AG939" i="3"/>
  <c r="D939" i="3"/>
  <c r="AH939" i="3"/>
  <c r="F939" i="3" l="1"/>
  <c r="G939" i="3"/>
  <c r="V939" i="3"/>
  <c r="A940" i="3"/>
  <c r="B940" i="3" s="1"/>
  <c r="AC940" i="3" l="1"/>
  <c r="Z940" i="3"/>
  <c r="P940" i="3"/>
  <c r="Q940" i="3" s="1"/>
  <c r="R940" i="3" s="1"/>
  <c r="S940" i="3" s="1"/>
  <c r="AA940" i="3"/>
  <c r="AD940" i="3"/>
  <c r="I939" i="3"/>
  <c r="W939" i="3" s="1"/>
  <c r="J939" i="3"/>
  <c r="M939" i="3"/>
  <c r="N939" i="3" s="1"/>
  <c r="T940" i="3" l="1"/>
  <c r="L939" i="3"/>
  <c r="AG940" i="3" l="1"/>
  <c r="AH940" i="3"/>
  <c r="U939" i="3"/>
  <c r="D940" i="3" s="1"/>
  <c r="Y938" i="3"/>
  <c r="E940" i="3" l="1"/>
  <c r="H940" i="3" s="1"/>
  <c r="K940" i="3" s="1"/>
  <c r="AE940" i="3" s="1"/>
  <c r="G940" i="3"/>
  <c r="F940" i="3" l="1"/>
  <c r="I940" i="3"/>
  <c r="J940" i="3"/>
  <c r="M940" i="3"/>
  <c r="N940" i="3" s="1"/>
  <c r="V940" i="3"/>
  <c r="A941" i="3"/>
  <c r="B941" i="3" s="1"/>
  <c r="W940" i="3" l="1"/>
  <c r="L940" i="3"/>
  <c r="AD941" i="3"/>
  <c r="P941" i="3"/>
  <c r="Q941" i="3" s="1"/>
  <c r="R941" i="3" s="1"/>
  <c r="S941" i="3" s="1"/>
  <c r="Z941" i="3"/>
  <c r="AC941" i="3"/>
  <c r="AA941" i="3"/>
  <c r="T941" i="3" l="1"/>
  <c r="U940" i="3"/>
  <c r="Y939" i="3"/>
  <c r="E941" i="3" l="1"/>
  <c r="H941" i="3" s="1"/>
  <c r="K941" i="3" s="1"/>
  <c r="AE941" i="3" s="1"/>
  <c r="AH941" i="3"/>
  <c r="AG941" i="3"/>
  <c r="D941" i="3"/>
  <c r="F941" i="3" l="1"/>
  <c r="G941" i="3"/>
  <c r="V941" i="3"/>
  <c r="A942" i="3"/>
  <c r="B942" i="3" s="1"/>
  <c r="Z942" i="3" l="1"/>
  <c r="AD942" i="3"/>
  <c r="AC942" i="3"/>
  <c r="AA942" i="3"/>
  <c r="P942" i="3"/>
  <c r="Q942" i="3" s="1"/>
  <c r="R942" i="3" s="1"/>
  <c r="S942" i="3" s="1"/>
  <c r="I941" i="3"/>
  <c r="W941" i="3" s="1"/>
  <c r="J941" i="3"/>
  <c r="M941" i="3"/>
  <c r="N941" i="3" s="1"/>
  <c r="T942" i="3" l="1"/>
  <c r="L941" i="3"/>
  <c r="U941" i="3" l="1"/>
  <c r="E942" i="3" s="1"/>
  <c r="H942" i="3" s="1"/>
  <c r="AG942" i="3"/>
  <c r="AH942" i="3"/>
  <c r="Y940" i="3"/>
  <c r="D942" i="3" l="1"/>
  <c r="G942" i="3" s="1"/>
  <c r="K942" i="3"/>
  <c r="AE942" i="3" s="1"/>
  <c r="F942" i="3" l="1"/>
  <c r="I942" i="3"/>
  <c r="J942" i="3"/>
  <c r="M942" i="3"/>
  <c r="N942" i="3" s="1"/>
  <c r="V942" i="3"/>
  <c r="A943" i="3"/>
  <c r="B943" i="3" s="1"/>
  <c r="W942" i="3" l="1"/>
  <c r="L942" i="3"/>
  <c r="AA943" i="3"/>
  <c r="AC943" i="3"/>
  <c r="P943" i="3"/>
  <c r="Q943" i="3" s="1"/>
  <c r="R943" i="3" s="1"/>
  <c r="S943" i="3" s="1"/>
  <c r="Z943" i="3"/>
  <c r="AD943" i="3"/>
  <c r="U942" i="3" l="1"/>
  <c r="Y941" i="3"/>
  <c r="T943" i="3"/>
  <c r="AG943" i="3" s="1"/>
  <c r="E943" i="3" l="1"/>
  <c r="H943" i="3" s="1"/>
  <c r="K943" i="3" s="1"/>
  <c r="AE943" i="3" s="1"/>
  <c r="D943" i="3"/>
  <c r="AH943" i="3"/>
  <c r="F943" i="3" l="1"/>
  <c r="G943" i="3"/>
  <c r="M943" i="3" s="1"/>
  <c r="N943" i="3" s="1"/>
  <c r="V943" i="3"/>
  <c r="A944" i="3"/>
  <c r="B944" i="3" s="1"/>
  <c r="I943" i="3" l="1"/>
  <c r="W943" i="3" s="1"/>
  <c r="J943" i="3"/>
  <c r="L943" i="3" s="1"/>
  <c r="P944" i="3"/>
  <c r="Q944" i="3" s="1"/>
  <c r="R944" i="3" s="1"/>
  <c r="S944" i="3" s="1"/>
  <c r="AC944" i="3"/>
  <c r="Z944" i="3"/>
  <c r="AA944" i="3"/>
  <c r="U943" i="3" l="1"/>
  <c r="Y942" i="3"/>
  <c r="T944" i="3"/>
  <c r="AH944" i="3" s="1"/>
  <c r="D944" i="3" l="1"/>
  <c r="E944" i="3"/>
  <c r="H944" i="3" s="1"/>
  <c r="AG944" i="3"/>
  <c r="F944" i="3" l="1"/>
  <c r="G944" i="3"/>
  <c r="K944" i="3"/>
  <c r="AE944" i="3" s="1"/>
  <c r="I944" i="3" l="1"/>
  <c r="J944" i="3"/>
  <c r="AD944" i="3" s="1"/>
  <c r="M944" i="3"/>
  <c r="N944" i="3" s="1"/>
  <c r="V944" i="3"/>
  <c r="A945" i="3"/>
  <c r="B945" i="3" s="1"/>
  <c r="W944" i="3" l="1"/>
  <c r="L944" i="3"/>
  <c r="P945" i="3"/>
  <c r="Q945" i="3" s="1"/>
  <c r="R945" i="3" s="1"/>
  <c r="S945" i="3" s="1"/>
  <c r="AC945" i="3"/>
  <c r="Z945" i="3"/>
  <c r="AD945" i="3"/>
  <c r="AA945" i="3"/>
  <c r="U944" i="3" l="1"/>
  <c r="Y943" i="3"/>
  <c r="T945" i="3"/>
  <c r="D945" i="3" l="1"/>
  <c r="G945" i="3" s="1"/>
  <c r="AH945" i="3"/>
  <c r="E945" i="3"/>
  <c r="H945" i="3" s="1"/>
  <c r="AG945" i="3"/>
  <c r="F945" i="3" l="1"/>
  <c r="I945" i="3"/>
  <c r="J945" i="3"/>
  <c r="M945" i="3"/>
  <c r="N945" i="3" s="1"/>
  <c r="K945" i="3"/>
  <c r="AE945" i="3" s="1"/>
  <c r="V945" i="3" l="1"/>
  <c r="W945" i="3" s="1"/>
  <c r="A946" i="3"/>
  <c r="B946" i="3" s="1"/>
  <c r="L945" i="3"/>
  <c r="U945" i="3" l="1"/>
  <c r="Y944" i="3"/>
  <c r="P946" i="3"/>
  <c r="Q946" i="3" s="1"/>
  <c r="R946" i="3" s="1"/>
  <c r="S946" i="3" s="1"/>
  <c r="AC946" i="3"/>
  <c r="AA946" i="3"/>
  <c r="AD946" i="3"/>
  <c r="Z946" i="3"/>
  <c r="T946" i="3" l="1"/>
  <c r="E946" i="3" s="1"/>
  <c r="H946" i="3" s="1"/>
  <c r="K946" i="3" l="1"/>
  <c r="AE946" i="3" s="1"/>
  <c r="AG946" i="3"/>
  <c r="D946" i="3"/>
  <c r="AH946" i="3"/>
  <c r="F946" i="3" l="1"/>
  <c r="G946" i="3"/>
  <c r="V946" i="3"/>
  <c r="A947" i="3"/>
  <c r="B947" i="3" s="1"/>
  <c r="Z947" i="3" l="1"/>
  <c r="AC947" i="3"/>
  <c r="P947" i="3"/>
  <c r="Q947" i="3" s="1"/>
  <c r="R947" i="3" s="1"/>
  <c r="S947" i="3" s="1"/>
  <c r="AA947" i="3"/>
  <c r="AD947" i="3"/>
  <c r="I946" i="3"/>
  <c r="W946" i="3" s="1"/>
  <c r="J946" i="3"/>
  <c r="M946" i="3"/>
  <c r="N946" i="3" s="1"/>
  <c r="L946" i="3" l="1"/>
  <c r="T947" i="3"/>
  <c r="AH947" i="3" l="1"/>
  <c r="AG947" i="3"/>
  <c r="U946" i="3"/>
  <c r="E947" i="3" s="1"/>
  <c r="H947" i="3" s="1"/>
  <c r="Y945" i="3"/>
  <c r="D947" i="3" l="1"/>
  <c r="G947" i="3" s="1"/>
  <c r="K947" i="3"/>
  <c r="AE947" i="3" s="1"/>
  <c r="F947" i="3" l="1"/>
  <c r="V947" i="3"/>
  <c r="A948" i="3"/>
  <c r="B948" i="3" s="1"/>
  <c r="I947" i="3"/>
  <c r="J947" i="3"/>
  <c r="M947" i="3"/>
  <c r="N947" i="3" s="1"/>
  <c r="W947" i="3" l="1"/>
  <c r="L947" i="3"/>
  <c r="P948" i="3"/>
  <c r="Q948" i="3" s="1"/>
  <c r="R948" i="3" s="1"/>
  <c r="S948" i="3" s="1"/>
  <c r="AA948" i="3"/>
  <c r="AD948" i="3"/>
  <c r="Z948" i="3"/>
  <c r="AC948" i="3"/>
  <c r="U947" i="3" l="1"/>
  <c r="Y946" i="3"/>
  <c r="T948" i="3"/>
  <c r="AH948" i="3" s="1"/>
  <c r="AG948" i="3" l="1"/>
  <c r="E948" i="3"/>
  <c r="H948" i="3" s="1"/>
  <c r="D948" i="3"/>
  <c r="K948" i="3" l="1"/>
  <c r="AE948" i="3" s="1"/>
  <c r="F948" i="3"/>
  <c r="G948" i="3"/>
  <c r="I948" i="3" l="1"/>
  <c r="J948" i="3"/>
  <c r="M948" i="3"/>
  <c r="N948" i="3" s="1"/>
  <c r="V948" i="3"/>
  <c r="A949" i="3"/>
  <c r="B949" i="3" s="1"/>
  <c r="W948" i="3" l="1"/>
  <c r="L948" i="3"/>
  <c r="AD949" i="3"/>
  <c r="AA949" i="3"/>
  <c r="AC949" i="3"/>
  <c r="Z949" i="3"/>
  <c r="P949" i="3"/>
  <c r="Q949" i="3" s="1"/>
  <c r="R949" i="3" s="1"/>
  <c r="S949" i="3" s="1"/>
  <c r="U948" i="3" l="1"/>
  <c r="Y947" i="3"/>
  <c r="T949" i="3"/>
  <c r="AH949" i="3" s="1"/>
  <c r="AG949" i="3" l="1"/>
  <c r="D949" i="3"/>
  <c r="G949" i="3" s="1"/>
  <c r="E949" i="3"/>
  <c r="H949" i="3" s="1"/>
  <c r="K949" i="3" s="1"/>
  <c r="AE949" i="3" s="1"/>
  <c r="F949" i="3" l="1"/>
  <c r="I949" i="3"/>
  <c r="J949" i="3"/>
  <c r="M949" i="3"/>
  <c r="N949" i="3" s="1"/>
  <c r="V949" i="3"/>
  <c r="A950" i="3"/>
  <c r="B950" i="3" s="1"/>
  <c r="W949" i="3" l="1"/>
  <c r="L949" i="3"/>
  <c r="Z950" i="3"/>
  <c r="AC950" i="3"/>
  <c r="P950" i="3"/>
  <c r="Q950" i="3" s="1"/>
  <c r="R950" i="3" s="1"/>
  <c r="S950" i="3" s="1"/>
  <c r="AD950" i="3"/>
  <c r="AA950" i="3"/>
  <c r="T950" i="3" l="1"/>
  <c r="U949" i="3"/>
  <c r="Y948" i="3"/>
  <c r="D950" i="3" l="1"/>
  <c r="G950" i="3" s="1"/>
  <c r="AG950" i="3"/>
  <c r="E950" i="3"/>
  <c r="H950" i="3" s="1"/>
  <c r="K950" i="3" s="1"/>
  <c r="AE950" i="3" s="1"/>
  <c r="AH950" i="3"/>
  <c r="F950" i="3" l="1"/>
  <c r="I950" i="3"/>
  <c r="J950" i="3"/>
  <c r="M950" i="3"/>
  <c r="N950" i="3" s="1"/>
  <c r="V950" i="3"/>
  <c r="A951" i="3"/>
  <c r="B951" i="3" s="1"/>
  <c r="W950" i="3" l="1"/>
  <c r="P951" i="3"/>
  <c r="Q951" i="3" s="1"/>
  <c r="R951" i="3" s="1"/>
  <c r="S951" i="3" s="1"/>
  <c r="AA951" i="3"/>
  <c r="AC951" i="3"/>
  <c r="AD951" i="3"/>
  <c r="Z951" i="3"/>
  <c r="L950" i="3"/>
  <c r="T951" i="3" l="1"/>
  <c r="U950" i="3"/>
  <c r="Y949" i="3"/>
  <c r="D951" i="3" l="1"/>
  <c r="G951" i="3" s="1"/>
  <c r="AH951" i="3"/>
  <c r="AG951" i="3"/>
  <c r="E951" i="3"/>
  <c r="H951" i="3" s="1"/>
  <c r="K951" i="3" s="1"/>
  <c r="AE951" i="3" s="1"/>
  <c r="F951" i="3" l="1"/>
  <c r="I951" i="3"/>
  <c r="J951" i="3"/>
  <c r="M951" i="3"/>
  <c r="N951" i="3" s="1"/>
  <c r="V951" i="3"/>
  <c r="A952" i="3"/>
  <c r="B952" i="3" s="1"/>
  <c r="AC952" i="3" l="1"/>
  <c r="Z952" i="3"/>
  <c r="AD952" i="3"/>
  <c r="P952" i="3"/>
  <c r="Q952" i="3" s="1"/>
  <c r="R952" i="3" s="1"/>
  <c r="S952" i="3" s="1"/>
  <c r="AA952" i="3"/>
  <c r="W951" i="3"/>
  <c r="L951" i="3"/>
  <c r="U951" i="3" l="1"/>
  <c r="Y950" i="3"/>
  <c r="T952" i="3"/>
  <c r="D952" i="3" l="1"/>
  <c r="G952" i="3" s="1"/>
  <c r="E952" i="3"/>
  <c r="H952" i="3" s="1"/>
  <c r="AH952" i="3"/>
  <c r="AG952" i="3"/>
  <c r="F952" i="3" l="1"/>
  <c r="I952" i="3"/>
  <c r="J952" i="3"/>
  <c r="M952" i="3"/>
  <c r="N952" i="3" s="1"/>
  <c r="K952" i="3"/>
  <c r="AE952" i="3" s="1"/>
  <c r="V952" i="3" l="1"/>
  <c r="W952" i="3" s="1"/>
  <c r="A953" i="3"/>
  <c r="B953" i="3" s="1"/>
  <c r="L952" i="3"/>
  <c r="U952" i="3" l="1"/>
  <c r="Y951" i="3"/>
  <c r="Z953" i="3"/>
  <c r="AA953" i="3"/>
  <c r="AD953" i="3"/>
  <c r="P953" i="3"/>
  <c r="Q953" i="3" s="1"/>
  <c r="R953" i="3" s="1"/>
  <c r="S953" i="3" s="1"/>
  <c r="AC953" i="3"/>
  <c r="T953" i="3" l="1"/>
  <c r="AG953" i="3" s="1"/>
  <c r="E953" i="3" l="1"/>
  <c r="H953" i="3" s="1"/>
  <c r="K953" i="3" s="1"/>
  <c r="AE953" i="3" s="1"/>
  <c r="AH953" i="3"/>
  <c r="D953" i="3"/>
  <c r="G953" i="3" s="1"/>
  <c r="F953" i="3" l="1"/>
  <c r="I953" i="3"/>
  <c r="J953" i="3"/>
  <c r="M953" i="3"/>
  <c r="N953" i="3" s="1"/>
  <c r="V953" i="3"/>
  <c r="A954" i="3"/>
  <c r="B954" i="3" s="1"/>
  <c r="W953" i="3" l="1"/>
  <c r="L953" i="3"/>
  <c r="AA954" i="3"/>
  <c r="P954" i="3"/>
  <c r="Q954" i="3" s="1"/>
  <c r="R954" i="3" s="1"/>
  <c r="S954" i="3" s="1"/>
  <c r="AC954" i="3"/>
  <c r="Z954" i="3"/>
  <c r="T954" i="3" l="1"/>
  <c r="U953" i="3"/>
  <c r="Y952" i="3"/>
  <c r="E954" i="3" l="1"/>
  <c r="H954" i="3" s="1"/>
  <c r="K954" i="3" s="1"/>
  <c r="AE954" i="3" s="1"/>
  <c r="AG954" i="3"/>
  <c r="AH954" i="3"/>
  <c r="D954" i="3"/>
  <c r="G954" i="3" s="1"/>
  <c r="F954" i="3" l="1"/>
  <c r="V954" i="3"/>
  <c r="A955" i="3"/>
  <c r="B955" i="3" s="1"/>
  <c r="I954" i="3"/>
  <c r="J954" i="3"/>
  <c r="AD954" i="3" s="1"/>
  <c r="M954" i="3"/>
  <c r="N954" i="3" s="1"/>
  <c r="W954" i="3" l="1"/>
  <c r="L954" i="3"/>
  <c r="P955" i="3"/>
  <c r="Q955" i="3" s="1"/>
  <c r="R955" i="3" s="1"/>
  <c r="S955" i="3" s="1"/>
  <c r="AA955" i="3"/>
  <c r="AD955" i="3"/>
  <c r="AC955" i="3"/>
  <c r="Z955" i="3"/>
  <c r="U954" i="3" l="1"/>
  <c r="Y953" i="3"/>
  <c r="T955" i="3"/>
  <c r="AG955" i="3" s="1"/>
  <c r="AH955" i="3" l="1"/>
  <c r="D955" i="3"/>
  <c r="E955" i="3"/>
  <c r="H955" i="3" s="1"/>
  <c r="F955" i="3" l="1"/>
  <c r="G955" i="3"/>
  <c r="K955" i="3"/>
  <c r="AE955" i="3" s="1"/>
  <c r="I955" i="3" l="1"/>
  <c r="J955" i="3"/>
  <c r="M955" i="3"/>
  <c r="N955" i="3" s="1"/>
  <c r="V955" i="3"/>
  <c r="A956" i="3"/>
  <c r="B956" i="3" s="1"/>
  <c r="W955" i="3" l="1"/>
  <c r="L955" i="3"/>
  <c r="AA956" i="3"/>
  <c r="P956" i="3"/>
  <c r="Q956" i="3" s="1"/>
  <c r="R956" i="3" s="1"/>
  <c r="S956" i="3" s="1"/>
  <c r="Z956" i="3"/>
  <c r="AD956" i="3"/>
  <c r="AC956" i="3"/>
  <c r="U955" i="3" l="1"/>
  <c r="Y954" i="3"/>
  <c r="T956" i="3"/>
  <c r="AH956" i="3" s="1"/>
  <c r="AG956" i="3" l="1"/>
  <c r="E956" i="3"/>
  <c r="H956" i="3" s="1"/>
  <c r="K956" i="3" s="1"/>
  <c r="AE956" i="3" s="1"/>
  <c r="D956" i="3"/>
  <c r="V956" i="3" l="1"/>
  <c r="A957" i="3"/>
  <c r="B957" i="3" s="1"/>
  <c r="F956" i="3"/>
  <c r="G956" i="3"/>
  <c r="I956" i="3" l="1"/>
  <c r="W956" i="3" s="1"/>
  <c r="J956" i="3"/>
  <c r="M956" i="3"/>
  <c r="N956" i="3" s="1"/>
  <c r="AA957" i="3"/>
  <c r="AD957" i="3"/>
  <c r="Z957" i="3"/>
  <c r="P957" i="3"/>
  <c r="Q957" i="3" s="1"/>
  <c r="R957" i="3" s="1"/>
  <c r="S957" i="3" s="1"/>
  <c r="AC957" i="3"/>
  <c r="T957" i="3" l="1"/>
  <c r="L956" i="3"/>
  <c r="AG957" i="3" l="1"/>
  <c r="U956" i="3"/>
  <c r="E957" i="3" s="1"/>
  <c r="H957" i="3" s="1"/>
  <c r="AH957" i="3"/>
  <c r="Y955" i="3"/>
  <c r="D957" i="3" l="1"/>
  <c r="G957" i="3" s="1"/>
  <c r="K957" i="3"/>
  <c r="AE957" i="3" s="1"/>
  <c r="F957" i="3" l="1"/>
  <c r="I957" i="3"/>
  <c r="J957" i="3"/>
  <c r="M957" i="3"/>
  <c r="N957" i="3" s="1"/>
  <c r="V957" i="3"/>
  <c r="A958" i="3"/>
  <c r="B958" i="3" s="1"/>
  <c r="W957" i="3" l="1"/>
  <c r="L957" i="3"/>
  <c r="AC958" i="3"/>
  <c r="AA958" i="3"/>
  <c r="P958" i="3"/>
  <c r="Q958" i="3" s="1"/>
  <c r="R958" i="3" s="1"/>
  <c r="S958" i="3" s="1"/>
  <c r="Z958" i="3"/>
  <c r="AD958" i="3"/>
  <c r="T958" i="3" l="1"/>
  <c r="AH958" i="3" s="1"/>
  <c r="U957" i="3"/>
  <c r="Y956" i="3"/>
  <c r="AG958" i="3" l="1"/>
  <c r="D958" i="3"/>
  <c r="E958" i="3"/>
  <c r="H958" i="3" s="1"/>
  <c r="K958" i="3" l="1"/>
  <c r="AE958" i="3" s="1"/>
  <c r="F958" i="3"/>
  <c r="G958" i="3"/>
  <c r="V958" i="3" l="1"/>
  <c r="A959" i="3"/>
  <c r="B959" i="3" s="1"/>
  <c r="I958" i="3"/>
  <c r="J958" i="3"/>
  <c r="M958" i="3"/>
  <c r="N958" i="3" s="1"/>
  <c r="W958" i="3" l="1"/>
  <c r="L958" i="3"/>
  <c r="Z959" i="3"/>
  <c r="AC959" i="3"/>
  <c r="P959" i="3"/>
  <c r="Q959" i="3" s="1"/>
  <c r="R959" i="3" s="1"/>
  <c r="S959" i="3" s="1"/>
  <c r="AA959" i="3"/>
  <c r="AD959" i="3"/>
  <c r="T959" i="3" l="1"/>
  <c r="AH959" i="3" s="1"/>
  <c r="U958" i="3"/>
  <c r="Y957" i="3"/>
  <c r="AG959" i="3" l="1"/>
  <c r="E959" i="3"/>
  <c r="H959" i="3" s="1"/>
  <c r="K959" i="3" s="1"/>
  <c r="AE959" i="3" s="1"/>
  <c r="D959" i="3"/>
  <c r="F959" i="3" l="1"/>
  <c r="G959" i="3"/>
  <c r="V959" i="3"/>
  <c r="A960" i="3"/>
  <c r="B960" i="3" s="1"/>
  <c r="AD960" i="3" l="1"/>
  <c r="Z960" i="3"/>
  <c r="AA960" i="3"/>
  <c r="P960" i="3"/>
  <c r="Q960" i="3" s="1"/>
  <c r="R960" i="3" s="1"/>
  <c r="S960" i="3" s="1"/>
  <c r="AC960" i="3"/>
  <c r="I959" i="3"/>
  <c r="W959" i="3" s="1"/>
  <c r="J959" i="3"/>
  <c r="M959" i="3"/>
  <c r="N959" i="3" s="1"/>
  <c r="T960" i="3" l="1"/>
  <c r="L959" i="3"/>
  <c r="U959" i="3" l="1"/>
  <c r="E960" i="3" s="1"/>
  <c r="H960" i="3" s="1"/>
  <c r="AG960" i="3"/>
  <c r="AH960" i="3"/>
  <c r="Y958" i="3"/>
  <c r="D960" i="3" l="1"/>
  <c r="G960" i="3" s="1"/>
  <c r="K960" i="3"/>
  <c r="AE960" i="3" s="1"/>
  <c r="F960" i="3" l="1"/>
  <c r="I960" i="3"/>
  <c r="J960" i="3"/>
  <c r="M960" i="3"/>
  <c r="N960" i="3" s="1"/>
  <c r="V960" i="3"/>
  <c r="A961" i="3"/>
  <c r="B961" i="3" s="1"/>
  <c r="W960" i="3" l="1"/>
  <c r="P961" i="3"/>
  <c r="Q961" i="3" s="1"/>
  <c r="R961" i="3" s="1"/>
  <c r="S961" i="3" s="1"/>
  <c r="AD961" i="3"/>
  <c r="AC961" i="3"/>
  <c r="Z961" i="3"/>
  <c r="AA961" i="3"/>
  <c r="L960" i="3"/>
  <c r="U960" i="3" l="1"/>
  <c r="Y959" i="3"/>
  <c r="T961" i="3"/>
  <c r="D961" i="3" l="1"/>
  <c r="G961" i="3" s="1"/>
  <c r="AH961" i="3"/>
  <c r="AG961" i="3"/>
  <c r="E961" i="3"/>
  <c r="H961" i="3" s="1"/>
  <c r="K961" i="3" l="1"/>
  <c r="AE961" i="3" s="1"/>
  <c r="I961" i="3"/>
  <c r="J961" i="3"/>
  <c r="M961" i="3"/>
  <c r="N961" i="3" s="1"/>
  <c r="F961" i="3"/>
  <c r="L961" i="3" l="1"/>
  <c r="V961" i="3"/>
  <c r="W961" i="3" s="1"/>
  <c r="A962" i="3"/>
  <c r="B962" i="3" s="1"/>
  <c r="Z962" i="3" l="1"/>
  <c r="AA962" i="3"/>
  <c r="P962" i="3"/>
  <c r="Q962" i="3" s="1"/>
  <c r="R962" i="3" s="1"/>
  <c r="S962" i="3" s="1"/>
  <c r="AC962" i="3"/>
  <c r="AD962" i="3"/>
  <c r="U961" i="3"/>
  <c r="Y960" i="3"/>
  <c r="T962" i="3" l="1"/>
  <c r="E962" i="3" s="1"/>
  <c r="H962" i="3" s="1"/>
  <c r="AH962" i="3" l="1"/>
  <c r="K962" i="3"/>
  <c r="AE962" i="3" s="1"/>
  <c r="D962" i="3"/>
  <c r="AG962" i="3"/>
  <c r="V962" i="3" l="1"/>
  <c r="A963" i="3"/>
  <c r="B963" i="3" s="1"/>
  <c r="F962" i="3"/>
  <c r="G962" i="3"/>
  <c r="P963" i="3" l="1"/>
  <c r="Q963" i="3" s="1"/>
  <c r="R963" i="3" s="1"/>
  <c r="S963" i="3" s="1"/>
  <c r="AC963" i="3"/>
  <c r="Z963" i="3"/>
  <c r="AA963" i="3"/>
  <c r="AD963" i="3"/>
  <c r="I962" i="3"/>
  <c r="W962" i="3" s="1"/>
  <c r="J962" i="3"/>
  <c r="M962" i="3"/>
  <c r="N962" i="3" s="1"/>
  <c r="T963" i="3" l="1"/>
  <c r="L962" i="3"/>
  <c r="U962" i="3" l="1"/>
  <c r="E963" i="3" s="1"/>
  <c r="H963" i="3" s="1"/>
  <c r="AG963" i="3"/>
  <c r="AH963" i="3"/>
  <c r="Y961" i="3"/>
  <c r="D963" i="3" l="1"/>
  <c r="G963" i="3" s="1"/>
  <c r="K963" i="3"/>
  <c r="AE963" i="3" s="1"/>
  <c r="F963" i="3" l="1"/>
  <c r="I963" i="3"/>
  <c r="J963" i="3"/>
  <c r="M963" i="3"/>
  <c r="N963" i="3" s="1"/>
  <c r="V963" i="3"/>
  <c r="A964" i="3"/>
  <c r="B964" i="3" s="1"/>
  <c r="W963" i="3" l="1"/>
  <c r="L963" i="3"/>
  <c r="Z964" i="3"/>
  <c r="P964" i="3"/>
  <c r="Q964" i="3" s="1"/>
  <c r="R964" i="3" s="1"/>
  <c r="S964" i="3" s="1"/>
  <c r="AA964" i="3"/>
  <c r="AC964" i="3"/>
  <c r="U963" i="3" l="1"/>
  <c r="Y962" i="3"/>
  <c r="T964" i="3"/>
  <c r="D964" i="3" l="1"/>
  <c r="G964" i="3" s="1"/>
  <c r="E964" i="3"/>
  <c r="H964" i="3" s="1"/>
  <c r="K964" i="3" s="1"/>
  <c r="AE964" i="3" s="1"/>
  <c r="AH964" i="3"/>
  <c r="AG964" i="3"/>
  <c r="F964" i="3" l="1"/>
  <c r="I964" i="3"/>
  <c r="J964" i="3"/>
  <c r="AD964" i="3" s="1"/>
  <c r="M964" i="3"/>
  <c r="N964" i="3" s="1"/>
  <c r="V964" i="3"/>
  <c r="A965" i="3"/>
  <c r="B965" i="3" s="1"/>
  <c r="W964" i="3" l="1"/>
  <c r="L964" i="3"/>
  <c r="AC965" i="3"/>
  <c r="P965" i="3"/>
  <c r="Q965" i="3" s="1"/>
  <c r="R965" i="3" s="1"/>
  <c r="S965" i="3" s="1"/>
  <c r="AA965" i="3"/>
  <c r="Z965" i="3"/>
  <c r="U964" i="3" l="1"/>
  <c r="Y963" i="3"/>
  <c r="T965" i="3"/>
  <c r="AH965" i="3" s="1"/>
  <c r="AG965" i="3" l="1"/>
  <c r="E965" i="3"/>
  <c r="H965" i="3" s="1"/>
  <c r="D965" i="3"/>
  <c r="F965" i="3" l="1"/>
  <c r="G965" i="3"/>
  <c r="K965" i="3"/>
  <c r="AE965" i="3" s="1"/>
  <c r="V965" i="3" l="1"/>
  <c r="A966" i="3"/>
  <c r="B966" i="3" s="1"/>
  <c r="I965" i="3"/>
  <c r="J965" i="3"/>
  <c r="AD965" i="3" s="1"/>
  <c r="M965" i="3"/>
  <c r="N965" i="3" s="1"/>
  <c r="L965" i="3" l="1"/>
  <c r="P966" i="3"/>
  <c r="Q966" i="3" s="1"/>
  <c r="R966" i="3" s="1"/>
  <c r="S966" i="3" s="1"/>
  <c r="AA966" i="3"/>
  <c r="Z966" i="3"/>
  <c r="AC966" i="3"/>
  <c r="W965" i="3"/>
  <c r="T966" i="3" l="1"/>
  <c r="AG966" i="3" s="1"/>
  <c r="U965" i="3"/>
  <c r="Y964" i="3"/>
  <c r="E966" i="3" l="1"/>
  <c r="H966" i="3" s="1"/>
  <c r="D966" i="3"/>
  <c r="AH966" i="3"/>
  <c r="K966" i="3" l="1"/>
  <c r="AE966" i="3" s="1"/>
  <c r="F966" i="3"/>
  <c r="G966" i="3"/>
  <c r="I966" i="3" l="1"/>
  <c r="J966" i="3"/>
  <c r="AD966" i="3" s="1"/>
  <c r="M966" i="3"/>
  <c r="N966" i="3" s="1"/>
  <c r="V966" i="3"/>
  <c r="A967" i="3"/>
  <c r="B967" i="3" s="1"/>
  <c r="W966" i="3" l="1"/>
  <c r="L966" i="3"/>
  <c r="AA967" i="3"/>
  <c r="P967" i="3"/>
  <c r="Q967" i="3" s="1"/>
  <c r="R967" i="3" s="1"/>
  <c r="S967" i="3" s="1"/>
  <c r="AC967" i="3"/>
  <c r="Z967" i="3"/>
  <c r="U966" i="3" l="1"/>
  <c r="Y965" i="3"/>
  <c r="T967" i="3"/>
  <c r="E967" i="3" l="1"/>
  <c r="H967" i="3" s="1"/>
  <c r="K967" i="3" s="1"/>
  <c r="AE967" i="3" s="1"/>
  <c r="AH967" i="3"/>
  <c r="AG967" i="3"/>
  <c r="D967" i="3"/>
  <c r="V967" i="3" l="1"/>
  <c r="A968" i="3"/>
  <c r="B968" i="3" s="1"/>
  <c r="F967" i="3"/>
  <c r="G967" i="3"/>
  <c r="I967" i="3" l="1"/>
  <c r="W967" i="3" s="1"/>
  <c r="J967" i="3"/>
  <c r="AD967" i="3" s="1"/>
  <c r="M967" i="3"/>
  <c r="N967" i="3" s="1"/>
  <c r="Z968" i="3"/>
  <c r="AA968" i="3"/>
  <c r="P968" i="3"/>
  <c r="Q968" i="3" s="1"/>
  <c r="R968" i="3" s="1"/>
  <c r="S968" i="3" s="1"/>
  <c r="AC968" i="3"/>
  <c r="L967" i="3" l="1"/>
  <c r="T968" i="3"/>
  <c r="AH968" i="3" l="1"/>
  <c r="AG968" i="3"/>
  <c r="U967" i="3"/>
  <c r="E968" i="3" s="1"/>
  <c r="H968" i="3" s="1"/>
  <c r="Y966" i="3"/>
  <c r="K968" i="3" l="1"/>
  <c r="AE968" i="3" s="1"/>
  <c r="D968" i="3"/>
  <c r="V968" i="3" l="1"/>
  <c r="A969" i="3"/>
  <c r="B969" i="3" s="1"/>
  <c r="F968" i="3"/>
  <c r="G968" i="3"/>
  <c r="I968" i="3" l="1"/>
  <c r="W968" i="3" s="1"/>
  <c r="J968" i="3"/>
  <c r="AD968" i="3" s="1"/>
  <c r="M968" i="3"/>
  <c r="N968" i="3" s="1"/>
  <c r="AA969" i="3"/>
  <c r="Z969" i="3"/>
  <c r="P969" i="3"/>
  <c r="Q969" i="3" s="1"/>
  <c r="R969" i="3" s="1"/>
  <c r="S969" i="3" s="1"/>
  <c r="AC969" i="3"/>
  <c r="T969" i="3" l="1"/>
  <c r="L968" i="3"/>
  <c r="AH969" i="3" l="1"/>
  <c r="U968" i="3"/>
  <c r="D969" i="3" s="1"/>
  <c r="AG969" i="3"/>
  <c r="Y967" i="3"/>
  <c r="G969" i="3" l="1"/>
  <c r="E969" i="3"/>
  <c r="H969" i="3" s="1"/>
  <c r="F969" i="3" l="1"/>
  <c r="I969" i="3"/>
  <c r="J969" i="3"/>
  <c r="AD969" i="3" s="1"/>
  <c r="M969" i="3"/>
  <c r="N969" i="3" s="1"/>
  <c r="K969" i="3"/>
  <c r="AE969" i="3" s="1"/>
  <c r="V969" i="3" l="1"/>
  <c r="W969" i="3" s="1"/>
  <c r="A970" i="3"/>
  <c r="B970" i="3" s="1"/>
  <c r="L969" i="3"/>
  <c r="U969" i="3" l="1"/>
  <c r="Y968" i="3"/>
  <c r="AA970" i="3"/>
  <c r="P970" i="3"/>
  <c r="Q970" i="3" s="1"/>
  <c r="R970" i="3" s="1"/>
  <c r="S970" i="3" s="1"/>
  <c r="AC970" i="3"/>
  <c r="Z970" i="3"/>
  <c r="T970" i="3" l="1"/>
  <c r="E970" i="3" s="1"/>
  <c r="H970" i="3" s="1"/>
  <c r="AH970" i="3" l="1"/>
  <c r="K970" i="3"/>
  <c r="AE970" i="3" s="1"/>
  <c r="D970" i="3"/>
  <c r="AG970" i="3"/>
  <c r="V970" i="3" l="1"/>
  <c r="A971" i="3"/>
  <c r="B971" i="3" s="1"/>
  <c r="F970" i="3"/>
  <c r="G970" i="3"/>
  <c r="I970" i="3" l="1"/>
  <c r="W970" i="3" s="1"/>
  <c r="J970" i="3"/>
  <c r="AD970" i="3" s="1"/>
  <c r="M970" i="3"/>
  <c r="N970" i="3" s="1"/>
  <c r="P971" i="3"/>
  <c r="Q971" i="3" s="1"/>
  <c r="R971" i="3" s="1"/>
  <c r="S971" i="3" s="1"/>
  <c r="Z971" i="3"/>
  <c r="AC971" i="3"/>
  <c r="AA971" i="3"/>
  <c r="T971" i="3" l="1"/>
  <c r="L970" i="3"/>
  <c r="U970" i="3" l="1"/>
  <c r="E971" i="3" s="1"/>
  <c r="H971" i="3" s="1"/>
  <c r="AH971" i="3"/>
  <c r="AG971" i="3"/>
  <c r="Y969" i="3"/>
  <c r="K971" i="3" l="1"/>
  <c r="AE971" i="3" s="1"/>
  <c r="D971" i="3"/>
  <c r="V971" i="3" l="1"/>
  <c r="A972" i="3"/>
  <c r="B972" i="3" s="1"/>
  <c r="F971" i="3"/>
  <c r="G971" i="3"/>
  <c r="I971" i="3" l="1"/>
  <c r="W971" i="3" s="1"/>
  <c r="J971" i="3"/>
  <c r="AD971" i="3" s="1"/>
  <c r="M971" i="3"/>
  <c r="N971" i="3" s="1"/>
  <c r="AC972" i="3"/>
  <c r="Z972" i="3"/>
  <c r="P972" i="3"/>
  <c r="Q972" i="3" s="1"/>
  <c r="R972" i="3" s="1"/>
  <c r="S972" i="3" s="1"/>
  <c r="AA972" i="3"/>
  <c r="T972" i="3" l="1"/>
  <c r="L971" i="3"/>
  <c r="U971" i="3" l="1"/>
  <c r="D972" i="3" s="1"/>
  <c r="AH972" i="3"/>
  <c r="AG972" i="3"/>
  <c r="Y970" i="3"/>
  <c r="E972" i="3" l="1"/>
  <c r="H972" i="3" s="1"/>
  <c r="K972" i="3" s="1"/>
  <c r="AE972" i="3" s="1"/>
  <c r="G972" i="3"/>
  <c r="F972" i="3" l="1"/>
  <c r="V972" i="3"/>
  <c r="A973" i="3"/>
  <c r="B973" i="3" s="1"/>
  <c r="I972" i="3"/>
  <c r="J972" i="3"/>
  <c r="AD972" i="3" s="1"/>
  <c r="M972" i="3"/>
  <c r="N972" i="3" s="1"/>
  <c r="W972" i="3" l="1"/>
  <c r="L972" i="3"/>
  <c r="AC973" i="3"/>
  <c r="P973" i="3"/>
  <c r="Q973" i="3" s="1"/>
  <c r="R973" i="3" s="1"/>
  <c r="S973" i="3" s="1"/>
  <c r="Z973" i="3"/>
  <c r="AA973" i="3"/>
  <c r="U972" i="3" l="1"/>
  <c r="Y971" i="3"/>
  <c r="T973" i="3"/>
  <c r="AG973" i="3" s="1"/>
  <c r="D973" i="3" l="1"/>
  <c r="G973" i="3" s="1"/>
  <c r="E973" i="3"/>
  <c r="H973" i="3" s="1"/>
  <c r="K973" i="3" s="1"/>
  <c r="AE973" i="3" s="1"/>
  <c r="AH973" i="3"/>
  <c r="F973" i="3" l="1"/>
  <c r="I973" i="3"/>
  <c r="J973" i="3"/>
  <c r="AD973" i="3" s="1"/>
  <c r="M973" i="3"/>
  <c r="N973" i="3" s="1"/>
  <c r="V973" i="3"/>
  <c r="A974" i="3"/>
  <c r="B974" i="3" s="1"/>
  <c r="W973" i="3" l="1"/>
  <c r="L973" i="3"/>
  <c r="P974" i="3"/>
  <c r="Q974" i="3" s="1"/>
  <c r="R974" i="3" s="1"/>
  <c r="S974" i="3" s="1"/>
  <c r="AA974" i="3"/>
  <c r="Z974" i="3"/>
  <c r="AC974" i="3"/>
  <c r="T974" i="3" l="1"/>
  <c r="AG974" i="3" s="1"/>
  <c r="U973" i="3"/>
  <c r="Y972" i="3"/>
  <c r="AH974" i="3" l="1"/>
  <c r="E974" i="3"/>
  <c r="H974" i="3" s="1"/>
  <c r="D974" i="3"/>
  <c r="K974" i="3" l="1"/>
  <c r="AE974" i="3" s="1"/>
  <c r="F974" i="3"/>
  <c r="G974" i="3"/>
  <c r="I974" i="3" l="1"/>
  <c r="J974" i="3"/>
  <c r="AD974" i="3" s="1"/>
  <c r="M974" i="3"/>
  <c r="N974" i="3" s="1"/>
  <c r="V974" i="3"/>
  <c r="A975" i="3"/>
  <c r="B975" i="3" s="1"/>
  <c r="W974" i="3" l="1"/>
  <c r="L974" i="3"/>
  <c r="AD975" i="3"/>
  <c r="P975" i="3"/>
  <c r="Q975" i="3" s="1"/>
  <c r="R975" i="3" s="1"/>
  <c r="S975" i="3" s="1"/>
  <c r="AC975" i="3"/>
  <c r="Z975" i="3"/>
  <c r="AA975" i="3"/>
  <c r="U974" i="3" l="1"/>
  <c r="Y973" i="3"/>
  <c r="T975" i="3"/>
  <c r="D975" i="3" l="1"/>
  <c r="G975" i="3" s="1"/>
  <c r="AH975" i="3"/>
  <c r="E975" i="3"/>
  <c r="H975" i="3" s="1"/>
  <c r="K975" i="3" s="1"/>
  <c r="AE975" i="3" s="1"/>
  <c r="AG975" i="3"/>
  <c r="F975" i="3" l="1"/>
  <c r="V975" i="3"/>
  <c r="A976" i="3"/>
  <c r="B976" i="3" s="1"/>
  <c r="I975" i="3"/>
  <c r="J975" i="3"/>
  <c r="M975" i="3"/>
  <c r="N975" i="3" s="1"/>
  <c r="W975" i="3" l="1"/>
  <c r="L975" i="3"/>
  <c r="AA976" i="3"/>
  <c r="AC976" i="3"/>
  <c r="Z976" i="3"/>
  <c r="AD976" i="3"/>
  <c r="P976" i="3"/>
  <c r="Q976" i="3" s="1"/>
  <c r="R976" i="3" s="1"/>
  <c r="S976" i="3" s="1"/>
  <c r="U975" i="3" l="1"/>
  <c r="Y974" i="3"/>
  <c r="T976" i="3"/>
  <c r="AG976" i="3" s="1"/>
  <c r="AH976" i="3" l="1"/>
  <c r="E976" i="3"/>
  <c r="H976" i="3" s="1"/>
  <c r="D976" i="3"/>
  <c r="K976" i="3" l="1"/>
  <c r="AE976" i="3" s="1"/>
  <c r="F976" i="3"/>
  <c r="G976" i="3"/>
  <c r="I976" i="3" l="1"/>
  <c r="J976" i="3"/>
  <c r="M976" i="3"/>
  <c r="N976" i="3" s="1"/>
  <c r="V976" i="3"/>
  <c r="A977" i="3"/>
  <c r="B977" i="3" s="1"/>
  <c r="W976" i="3" l="1"/>
  <c r="L976" i="3"/>
  <c r="Z977" i="3"/>
  <c r="P977" i="3"/>
  <c r="Q977" i="3" s="1"/>
  <c r="R977" i="3" s="1"/>
  <c r="S977" i="3" s="1"/>
  <c r="AC977" i="3"/>
  <c r="AA977" i="3"/>
  <c r="AD977" i="3"/>
  <c r="T977" i="3" l="1"/>
  <c r="U976" i="3"/>
  <c r="Y975" i="3"/>
  <c r="E977" i="3" l="1"/>
  <c r="H977" i="3" s="1"/>
  <c r="K977" i="3" s="1"/>
  <c r="AE977" i="3" s="1"/>
  <c r="AG977" i="3"/>
  <c r="D977" i="3"/>
  <c r="G977" i="3" s="1"/>
  <c r="AH977" i="3"/>
  <c r="F977" i="3" l="1"/>
  <c r="I977" i="3"/>
  <c r="J977" i="3"/>
  <c r="M977" i="3"/>
  <c r="N977" i="3" s="1"/>
  <c r="V977" i="3"/>
  <c r="A978" i="3"/>
  <c r="B978" i="3" s="1"/>
  <c r="W977" i="3" l="1"/>
  <c r="L977" i="3"/>
  <c r="AC978" i="3"/>
  <c r="AD978" i="3"/>
  <c r="Z978" i="3"/>
  <c r="AA978" i="3"/>
  <c r="P978" i="3"/>
  <c r="Q978" i="3" s="1"/>
  <c r="R978" i="3" s="1"/>
  <c r="S978" i="3" s="1"/>
  <c r="T978" i="3" l="1"/>
  <c r="U977" i="3"/>
  <c r="Y976" i="3"/>
  <c r="D978" i="3" l="1"/>
  <c r="G978" i="3" s="1"/>
  <c r="E978" i="3"/>
  <c r="H978" i="3" s="1"/>
  <c r="K978" i="3" s="1"/>
  <c r="AE978" i="3" s="1"/>
  <c r="AH978" i="3"/>
  <c r="AG978" i="3"/>
  <c r="F978" i="3" l="1"/>
  <c r="I978" i="3"/>
  <c r="J978" i="3"/>
  <c r="M978" i="3"/>
  <c r="N978" i="3" s="1"/>
  <c r="V978" i="3"/>
  <c r="A979" i="3"/>
  <c r="B979" i="3" s="1"/>
  <c r="W978" i="3" l="1"/>
  <c r="L978" i="3"/>
  <c r="AC979" i="3"/>
  <c r="AA979" i="3"/>
  <c r="AD979" i="3"/>
  <c r="Z979" i="3"/>
  <c r="P979" i="3"/>
  <c r="Q979" i="3" s="1"/>
  <c r="R979" i="3" s="1"/>
  <c r="S979" i="3" s="1"/>
  <c r="T979" i="3" l="1"/>
  <c r="U978" i="3"/>
  <c r="Y977" i="3"/>
  <c r="D979" i="3" l="1"/>
  <c r="G979" i="3" s="1"/>
  <c r="AH979" i="3"/>
  <c r="E979" i="3"/>
  <c r="H979" i="3" s="1"/>
  <c r="K979" i="3" s="1"/>
  <c r="AE979" i="3" s="1"/>
  <c r="AG979" i="3"/>
  <c r="F979" i="3" l="1"/>
  <c r="V979" i="3"/>
  <c r="A980" i="3"/>
  <c r="B980" i="3" s="1"/>
  <c r="I979" i="3"/>
  <c r="J979" i="3"/>
  <c r="M979" i="3"/>
  <c r="N979" i="3" s="1"/>
  <c r="W979" i="3" l="1"/>
  <c r="L979" i="3"/>
  <c r="P980" i="3"/>
  <c r="Q980" i="3" s="1"/>
  <c r="R980" i="3" s="1"/>
  <c r="S980" i="3" s="1"/>
  <c r="AA980" i="3"/>
  <c r="AD980" i="3"/>
  <c r="AC980" i="3"/>
  <c r="Z980" i="3"/>
  <c r="U979" i="3" l="1"/>
  <c r="Y978" i="3"/>
  <c r="T980" i="3"/>
  <c r="AH980" i="3" s="1"/>
  <c r="D980" i="3" l="1"/>
  <c r="G980" i="3" s="1"/>
  <c r="E980" i="3"/>
  <c r="H980" i="3" s="1"/>
  <c r="K980" i="3" s="1"/>
  <c r="AE980" i="3" s="1"/>
  <c r="AG980" i="3"/>
  <c r="F980" i="3" l="1"/>
  <c r="I980" i="3"/>
  <c r="J980" i="3"/>
  <c r="M980" i="3"/>
  <c r="N980" i="3" s="1"/>
  <c r="V980" i="3"/>
  <c r="A981" i="3"/>
  <c r="B981" i="3" s="1"/>
  <c r="W980" i="3" l="1"/>
  <c r="L980" i="3"/>
  <c r="AD981" i="3"/>
  <c r="AA981" i="3"/>
  <c r="AC981" i="3"/>
  <c r="Z981" i="3"/>
  <c r="P981" i="3"/>
  <c r="Q981" i="3" s="1"/>
  <c r="R981" i="3" s="1"/>
  <c r="S981" i="3" s="1"/>
  <c r="U980" i="3" l="1"/>
  <c r="Y979" i="3"/>
  <c r="T981" i="3"/>
  <c r="AH981" i="3" s="1"/>
  <c r="D981" i="3" l="1"/>
  <c r="G981" i="3" s="1"/>
  <c r="AG981" i="3"/>
  <c r="E981" i="3"/>
  <c r="H981" i="3" s="1"/>
  <c r="F981" i="3" l="1"/>
  <c r="I981" i="3"/>
  <c r="J981" i="3"/>
  <c r="M981" i="3"/>
  <c r="N981" i="3" s="1"/>
  <c r="K981" i="3"/>
  <c r="AE981" i="3" s="1"/>
  <c r="V981" i="3" l="1"/>
  <c r="W981" i="3" s="1"/>
  <c r="A982" i="3"/>
  <c r="B982" i="3" s="1"/>
  <c r="L981" i="3"/>
  <c r="U981" i="3" l="1"/>
  <c r="Y980" i="3"/>
  <c r="P982" i="3"/>
  <c r="Q982" i="3" s="1"/>
  <c r="R982" i="3" s="1"/>
  <c r="S982" i="3" s="1"/>
  <c r="AD982" i="3"/>
  <c r="AC982" i="3"/>
  <c r="AA982" i="3"/>
  <c r="Z982" i="3"/>
  <c r="T982" i="3" l="1"/>
  <c r="E982" i="3" s="1"/>
  <c r="H982" i="3" s="1"/>
  <c r="AG982" i="3" l="1"/>
  <c r="AH982" i="3"/>
  <c r="D982" i="3"/>
  <c r="G982" i="3" s="1"/>
  <c r="K982" i="3"/>
  <c r="AE982" i="3" s="1"/>
  <c r="F982" i="3" l="1"/>
  <c r="I982" i="3"/>
  <c r="J982" i="3"/>
  <c r="M982" i="3"/>
  <c r="N982" i="3" s="1"/>
  <c r="V982" i="3"/>
  <c r="A983" i="3"/>
  <c r="B983" i="3" s="1"/>
  <c r="W982" i="3" l="1"/>
  <c r="L982" i="3"/>
  <c r="AD983" i="3"/>
  <c r="Z983" i="3"/>
  <c r="P983" i="3"/>
  <c r="Q983" i="3" s="1"/>
  <c r="R983" i="3" s="1"/>
  <c r="S983" i="3" s="1"/>
  <c r="AA983" i="3"/>
  <c r="AC983" i="3"/>
  <c r="U982" i="3" l="1"/>
  <c r="Y981" i="3"/>
  <c r="T983" i="3"/>
  <c r="AG983" i="3" s="1"/>
  <c r="E983" i="3" l="1"/>
  <c r="H983" i="3" s="1"/>
  <c r="K983" i="3" s="1"/>
  <c r="AE983" i="3" s="1"/>
  <c r="D983" i="3"/>
  <c r="AH983" i="3"/>
  <c r="F983" i="3" l="1"/>
  <c r="G983" i="3"/>
  <c r="M983" i="3" s="1"/>
  <c r="N983" i="3" s="1"/>
  <c r="V983" i="3"/>
  <c r="A984" i="3"/>
  <c r="B984" i="3" s="1"/>
  <c r="I983" i="3" l="1"/>
  <c r="W983" i="3" s="1"/>
  <c r="J983" i="3"/>
  <c r="L983" i="3" s="1"/>
  <c r="P984" i="3"/>
  <c r="Q984" i="3" s="1"/>
  <c r="R984" i="3" s="1"/>
  <c r="S984" i="3" s="1"/>
  <c r="AA984" i="3"/>
  <c r="Z984" i="3"/>
  <c r="AC984" i="3"/>
  <c r="U983" i="3" l="1"/>
  <c r="Y982" i="3"/>
  <c r="T984" i="3"/>
  <c r="E984" i="3" l="1"/>
  <c r="H984" i="3" s="1"/>
  <c r="K984" i="3" s="1"/>
  <c r="AE984" i="3" s="1"/>
  <c r="AG984" i="3"/>
  <c r="D984" i="3"/>
  <c r="AH984" i="3"/>
  <c r="F984" i="3" l="1"/>
  <c r="G984" i="3"/>
  <c r="V984" i="3"/>
  <c r="A985" i="3"/>
  <c r="B985" i="3" s="1"/>
  <c r="AA985" i="3" l="1"/>
  <c r="Z985" i="3"/>
  <c r="P985" i="3"/>
  <c r="Q985" i="3" s="1"/>
  <c r="R985" i="3" s="1"/>
  <c r="S985" i="3" s="1"/>
  <c r="AD985" i="3"/>
  <c r="AC985" i="3"/>
  <c r="I984" i="3"/>
  <c r="W984" i="3" s="1"/>
  <c r="J984" i="3"/>
  <c r="AD984" i="3" s="1"/>
  <c r="M984" i="3"/>
  <c r="N984" i="3" s="1"/>
  <c r="T985" i="3" l="1"/>
  <c r="L984" i="3"/>
  <c r="AG985" i="3" l="1"/>
  <c r="AH985" i="3"/>
  <c r="U984" i="3"/>
  <c r="D985" i="3" s="1"/>
  <c r="Y983" i="3"/>
  <c r="G985" i="3" l="1"/>
  <c r="E985" i="3"/>
  <c r="H985" i="3" s="1"/>
  <c r="I985" i="3" l="1"/>
  <c r="J985" i="3"/>
  <c r="M985" i="3"/>
  <c r="N985" i="3" s="1"/>
  <c r="F985" i="3"/>
  <c r="K985" i="3"/>
  <c r="AE985" i="3" s="1"/>
  <c r="L985" i="3" l="1"/>
  <c r="V985" i="3"/>
  <c r="W985" i="3" s="1"/>
  <c r="A986" i="3"/>
  <c r="B986" i="3" s="1"/>
  <c r="U985" i="3" l="1"/>
  <c r="Y984" i="3"/>
  <c r="AC986" i="3"/>
  <c r="P986" i="3"/>
  <c r="Q986" i="3" s="1"/>
  <c r="R986" i="3" s="1"/>
  <c r="S986" i="3" s="1"/>
  <c r="Z986" i="3"/>
  <c r="AD986" i="3"/>
  <c r="AA986" i="3"/>
  <c r="T986" i="3" l="1"/>
  <c r="E986" i="3" s="1"/>
  <c r="H986" i="3" s="1"/>
  <c r="AG986" i="3" l="1"/>
  <c r="K986" i="3"/>
  <c r="AE986" i="3" s="1"/>
  <c r="AH986" i="3"/>
  <c r="D986" i="3"/>
  <c r="F986" i="3" l="1"/>
  <c r="G986" i="3"/>
  <c r="V986" i="3"/>
  <c r="A987" i="3"/>
  <c r="B987" i="3" s="1"/>
  <c r="Z987" i="3" l="1"/>
  <c r="AC987" i="3"/>
  <c r="P987" i="3"/>
  <c r="Q987" i="3" s="1"/>
  <c r="R987" i="3" s="1"/>
  <c r="S987" i="3" s="1"/>
  <c r="AD987" i="3"/>
  <c r="AA987" i="3"/>
  <c r="I986" i="3"/>
  <c r="W986" i="3" s="1"/>
  <c r="J986" i="3"/>
  <c r="M986" i="3"/>
  <c r="N986" i="3" s="1"/>
  <c r="L986" i="3" l="1"/>
  <c r="T987" i="3"/>
  <c r="U986" i="3" l="1"/>
  <c r="E987" i="3" s="1"/>
  <c r="H987" i="3" s="1"/>
  <c r="AH987" i="3"/>
  <c r="AG987" i="3"/>
  <c r="Y985" i="3"/>
  <c r="K987" i="3" l="1"/>
  <c r="AE987" i="3" s="1"/>
  <c r="D987" i="3"/>
  <c r="V987" i="3" l="1"/>
  <c r="A988" i="3"/>
  <c r="B988" i="3" s="1"/>
  <c r="F987" i="3"/>
  <c r="G987" i="3"/>
  <c r="I987" i="3" l="1"/>
  <c r="W987" i="3" s="1"/>
  <c r="J987" i="3"/>
  <c r="M987" i="3"/>
  <c r="N987" i="3" s="1"/>
  <c r="AC988" i="3"/>
  <c r="Z988" i="3"/>
  <c r="AD988" i="3"/>
  <c r="AA988" i="3"/>
  <c r="P988" i="3"/>
  <c r="Q988" i="3" s="1"/>
  <c r="R988" i="3" s="1"/>
  <c r="S988" i="3" s="1"/>
  <c r="L987" i="3" l="1"/>
  <c r="T988" i="3"/>
  <c r="AH988" i="3" l="1"/>
  <c r="U987" i="3"/>
  <c r="E988" i="3" s="1"/>
  <c r="H988" i="3" s="1"/>
  <c r="AG988" i="3"/>
  <c r="Y986" i="3"/>
  <c r="D988" i="3" l="1"/>
  <c r="G988" i="3" s="1"/>
  <c r="K988" i="3"/>
  <c r="AE988" i="3" s="1"/>
  <c r="F988" i="3" l="1"/>
  <c r="I988" i="3"/>
  <c r="J988" i="3"/>
  <c r="M988" i="3"/>
  <c r="N988" i="3" s="1"/>
  <c r="V988" i="3"/>
  <c r="A989" i="3"/>
  <c r="B989" i="3" s="1"/>
  <c r="W988" i="3" l="1"/>
  <c r="L988" i="3"/>
  <c r="AC989" i="3"/>
  <c r="AD989" i="3"/>
  <c r="P989" i="3"/>
  <c r="Q989" i="3" s="1"/>
  <c r="R989" i="3" s="1"/>
  <c r="S989" i="3" s="1"/>
  <c r="Z989" i="3"/>
  <c r="AA989" i="3"/>
  <c r="T989" i="3" l="1"/>
  <c r="U988" i="3"/>
  <c r="Y987" i="3"/>
  <c r="D989" i="3" l="1"/>
  <c r="G989" i="3" s="1"/>
  <c r="AG989" i="3"/>
  <c r="E989" i="3"/>
  <c r="H989" i="3" s="1"/>
  <c r="AH989" i="3"/>
  <c r="F989" i="3" l="1"/>
  <c r="I989" i="3"/>
  <c r="J989" i="3"/>
  <c r="M989" i="3"/>
  <c r="N989" i="3" s="1"/>
  <c r="K989" i="3"/>
  <c r="AE989" i="3" s="1"/>
  <c r="L989" i="3" l="1"/>
  <c r="V989" i="3"/>
  <c r="W989" i="3" s="1"/>
  <c r="A990" i="3"/>
  <c r="B990" i="3" s="1"/>
  <c r="U989" i="3" l="1"/>
  <c r="Y988" i="3"/>
  <c r="AC990" i="3"/>
  <c r="AD990" i="3"/>
  <c r="AA990" i="3"/>
  <c r="Z990" i="3"/>
  <c r="P990" i="3"/>
  <c r="Q990" i="3" s="1"/>
  <c r="R990" i="3" s="1"/>
  <c r="S990" i="3" s="1"/>
  <c r="T990" i="3" l="1"/>
  <c r="E990" i="3" s="1"/>
  <c r="H990" i="3" s="1"/>
  <c r="AH990" i="3" l="1"/>
  <c r="D990" i="3"/>
  <c r="G990" i="3" s="1"/>
  <c r="AG990" i="3"/>
  <c r="K990" i="3"/>
  <c r="AE990" i="3" s="1"/>
  <c r="F990" i="3" l="1"/>
  <c r="V990" i="3"/>
  <c r="A991" i="3"/>
  <c r="B991" i="3" s="1"/>
  <c r="I990" i="3"/>
  <c r="J990" i="3"/>
  <c r="M990" i="3"/>
  <c r="N990" i="3" s="1"/>
  <c r="L990" i="3" l="1"/>
  <c r="W990" i="3"/>
  <c r="AA991" i="3"/>
  <c r="AD991" i="3"/>
  <c r="P991" i="3"/>
  <c r="Q991" i="3" s="1"/>
  <c r="R991" i="3" s="1"/>
  <c r="S991" i="3" s="1"/>
  <c r="Z991" i="3"/>
  <c r="AC991" i="3"/>
  <c r="U990" i="3" l="1"/>
  <c r="Y989" i="3"/>
  <c r="T991" i="3"/>
  <c r="D991" i="3" l="1"/>
  <c r="G991" i="3" s="1"/>
  <c r="E991" i="3"/>
  <c r="H991" i="3" s="1"/>
  <c r="K991" i="3" s="1"/>
  <c r="AE991" i="3" s="1"/>
  <c r="AG991" i="3"/>
  <c r="AH991" i="3"/>
  <c r="F991" i="3" l="1"/>
  <c r="V991" i="3"/>
  <c r="A992" i="3"/>
  <c r="B992" i="3" s="1"/>
  <c r="I991" i="3"/>
  <c r="J991" i="3"/>
  <c r="M991" i="3"/>
  <c r="N991" i="3" s="1"/>
  <c r="W991" i="3" l="1"/>
  <c r="L991" i="3"/>
  <c r="AC992" i="3"/>
  <c r="AD992" i="3"/>
  <c r="Z992" i="3"/>
  <c r="AA992" i="3"/>
  <c r="P992" i="3"/>
  <c r="Q992" i="3" s="1"/>
  <c r="R992" i="3" s="1"/>
  <c r="S992" i="3" s="1"/>
  <c r="U991" i="3" l="1"/>
  <c r="Y990" i="3"/>
  <c r="T992" i="3"/>
  <c r="AG992" i="3" s="1"/>
  <c r="D992" i="3" l="1"/>
  <c r="AH992" i="3"/>
  <c r="E992" i="3"/>
  <c r="H992" i="3" s="1"/>
  <c r="K992" i="3" s="1"/>
  <c r="AE992" i="3" s="1"/>
  <c r="F992" i="3" l="1"/>
  <c r="G992" i="3"/>
  <c r="M992" i="3" s="1"/>
  <c r="N992" i="3" s="1"/>
  <c r="V992" i="3"/>
  <c r="A993" i="3"/>
  <c r="B993" i="3" s="1"/>
  <c r="I992" i="3" l="1"/>
  <c r="W992" i="3" s="1"/>
  <c r="J992" i="3"/>
  <c r="L992" i="3" s="1"/>
  <c r="AD993" i="3"/>
  <c r="Z993" i="3"/>
  <c r="AA993" i="3"/>
  <c r="P993" i="3"/>
  <c r="Q993" i="3" s="1"/>
  <c r="R993" i="3" s="1"/>
  <c r="S993" i="3" s="1"/>
  <c r="AC993" i="3"/>
  <c r="U992" i="3" l="1"/>
  <c r="Y991" i="3"/>
  <c r="T993" i="3"/>
  <c r="AH993" i="3" s="1"/>
  <c r="D993" i="3" l="1"/>
  <c r="G993" i="3" s="1"/>
  <c r="E993" i="3"/>
  <c r="H993" i="3" s="1"/>
  <c r="K993" i="3" s="1"/>
  <c r="AE993" i="3" s="1"/>
  <c r="AG993" i="3"/>
  <c r="F993" i="3" l="1"/>
  <c r="V993" i="3"/>
  <c r="A994" i="3"/>
  <c r="B994" i="3" s="1"/>
  <c r="I993" i="3"/>
  <c r="J993" i="3"/>
  <c r="M993" i="3"/>
  <c r="N993" i="3" s="1"/>
  <c r="L993" i="3" l="1"/>
  <c r="W993" i="3"/>
  <c r="AA994" i="3"/>
  <c r="P994" i="3"/>
  <c r="Q994" i="3" s="1"/>
  <c r="R994" i="3" s="1"/>
  <c r="S994" i="3" s="1"/>
  <c r="Z994" i="3"/>
  <c r="AC994" i="3"/>
  <c r="U993" i="3" l="1"/>
  <c r="Y992" i="3"/>
  <c r="T994" i="3"/>
  <c r="AH994" i="3" s="1"/>
  <c r="E994" i="3" l="1"/>
  <c r="H994" i="3" s="1"/>
  <c r="K994" i="3" s="1"/>
  <c r="AE994" i="3" s="1"/>
  <c r="D994" i="3"/>
  <c r="AG994" i="3"/>
  <c r="F994" i="3" l="1"/>
  <c r="G994" i="3"/>
  <c r="J994" i="3" s="1"/>
  <c r="AD994" i="3" s="1"/>
  <c r="V994" i="3"/>
  <c r="A995" i="3"/>
  <c r="B995" i="3" s="1"/>
  <c r="M994" i="3" l="1"/>
  <c r="N994" i="3" s="1"/>
  <c r="I994" i="3"/>
  <c r="W994" i="3" s="1"/>
  <c r="L994" i="3"/>
  <c r="AA995" i="3"/>
  <c r="P995" i="3"/>
  <c r="Q995" i="3" s="1"/>
  <c r="R995" i="3" s="1"/>
  <c r="S995" i="3" s="1"/>
  <c r="AC995" i="3"/>
  <c r="Z995" i="3"/>
  <c r="T995" i="3" l="1"/>
  <c r="U994" i="3"/>
  <c r="Y993" i="3"/>
  <c r="D995" i="3" l="1"/>
  <c r="G995" i="3" s="1"/>
  <c r="E995" i="3"/>
  <c r="H995" i="3" s="1"/>
  <c r="K995" i="3" s="1"/>
  <c r="AE995" i="3" s="1"/>
  <c r="AH995" i="3"/>
  <c r="AG995" i="3"/>
  <c r="F995" i="3" l="1"/>
  <c r="I995" i="3"/>
  <c r="J995" i="3"/>
  <c r="AD995" i="3" s="1"/>
  <c r="M995" i="3"/>
  <c r="N995" i="3" s="1"/>
  <c r="V995" i="3"/>
  <c r="A996" i="3"/>
  <c r="B996" i="3" s="1"/>
  <c r="W995" i="3" l="1"/>
  <c r="L995" i="3"/>
  <c r="Z996" i="3"/>
  <c r="P996" i="3"/>
  <c r="Q996" i="3" s="1"/>
  <c r="R996" i="3" s="1"/>
  <c r="S996" i="3" s="1"/>
  <c r="AA996" i="3"/>
  <c r="AC996" i="3"/>
  <c r="U995" i="3" l="1"/>
  <c r="Y994" i="3"/>
  <c r="T996" i="3"/>
  <c r="D996" i="3" l="1"/>
  <c r="G996" i="3" s="1"/>
  <c r="AG996" i="3"/>
  <c r="E996" i="3"/>
  <c r="H996" i="3" s="1"/>
  <c r="K996" i="3" s="1"/>
  <c r="AE996" i="3" s="1"/>
  <c r="AH996" i="3"/>
  <c r="F996" i="3" l="1"/>
  <c r="I996" i="3"/>
  <c r="J996" i="3"/>
  <c r="AD996" i="3" s="1"/>
  <c r="M996" i="3"/>
  <c r="N996" i="3" s="1"/>
  <c r="V996" i="3"/>
  <c r="A997" i="3"/>
  <c r="B997" i="3" s="1"/>
  <c r="P997" i="3" l="1"/>
  <c r="Q997" i="3" s="1"/>
  <c r="R997" i="3" s="1"/>
  <c r="S997" i="3" s="1"/>
  <c r="Z997" i="3"/>
  <c r="AA997" i="3"/>
  <c r="AC997" i="3"/>
  <c r="L996" i="3"/>
  <c r="W996" i="3"/>
  <c r="U996" i="3" l="1"/>
  <c r="Y995" i="3"/>
  <c r="T997" i="3"/>
  <c r="AH997" i="3" s="1"/>
  <c r="AG997" i="3" l="1"/>
  <c r="D997" i="3"/>
  <c r="E997" i="3"/>
  <c r="H997" i="3" s="1"/>
  <c r="K997" i="3" s="1"/>
  <c r="AE997" i="3" s="1"/>
  <c r="F997" i="3" l="1"/>
  <c r="G997" i="3"/>
  <c r="I997" i="3" s="1"/>
  <c r="V997" i="3"/>
  <c r="A998" i="3"/>
  <c r="B998" i="3" s="1"/>
  <c r="J997" i="3" l="1"/>
  <c r="M997" i="3"/>
  <c r="N997" i="3" s="1"/>
  <c r="W997" i="3"/>
  <c r="Z998" i="3"/>
  <c r="P998" i="3"/>
  <c r="Q998" i="3" s="1"/>
  <c r="R998" i="3" s="1"/>
  <c r="S998" i="3" s="1"/>
  <c r="AC998" i="3"/>
  <c r="AA998" i="3"/>
  <c r="L997" i="3" l="1"/>
  <c r="U997" i="3" s="1"/>
  <c r="AD997" i="3"/>
  <c r="T998" i="3"/>
  <c r="Y996" i="3" l="1"/>
  <c r="AG998" i="3"/>
  <c r="E998" i="3"/>
  <c r="H998" i="3" s="1"/>
  <c r="K998" i="3" s="1"/>
  <c r="AE998" i="3" s="1"/>
  <c r="AH998" i="3"/>
  <c r="D998" i="3"/>
  <c r="V998" i="3" l="1"/>
  <c r="A999" i="3"/>
  <c r="B999" i="3" s="1"/>
  <c r="F998" i="3"/>
  <c r="G998" i="3"/>
  <c r="I998" i="3" l="1"/>
  <c r="W998" i="3" s="1"/>
  <c r="J998" i="3"/>
  <c r="AD998" i="3" s="1"/>
  <c r="M998" i="3"/>
  <c r="N998" i="3" s="1"/>
  <c r="Z999" i="3"/>
  <c r="AC999" i="3"/>
  <c r="AA999" i="3"/>
  <c r="P999" i="3"/>
  <c r="Q999" i="3" s="1"/>
  <c r="R999" i="3" s="1"/>
  <c r="S999" i="3" s="1"/>
  <c r="T999" i="3" l="1"/>
  <c r="L998" i="3"/>
  <c r="AG999" i="3" l="1"/>
  <c r="U998" i="3"/>
  <c r="D999" i="3" s="1"/>
  <c r="AH999" i="3"/>
  <c r="Y997" i="3"/>
  <c r="E999" i="3" l="1"/>
  <c r="H999" i="3" s="1"/>
  <c r="K999" i="3" s="1"/>
  <c r="AE999" i="3" s="1"/>
  <c r="G999" i="3"/>
  <c r="F999" i="3" l="1"/>
  <c r="I999" i="3"/>
  <c r="J999" i="3"/>
  <c r="AD999" i="3" s="1"/>
  <c r="M999" i="3"/>
  <c r="N999" i="3" s="1"/>
  <c r="V999" i="3"/>
  <c r="A1000" i="3"/>
  <c r="B1000" i="3" s="1"/>
  <c r="W999" i="3" l="1"/>
  <c r="L999" i="3"/>
  <c r="AC1000" i="3"/>
  <c r="P1000" i="3"/>
  <c r="Q1000" i="3" s="1"/>
  <c r="R1000" i="3" s="1"/>
  <c r="S1000" i="3" s="1"/>
  <c r="Z1000" i="3"/>
  <c r="AA1000" i="3"/>
  <c r="U999" i="3" l="1"/>
  <c r="Y998" i="3"/>
  <c r="T1000" i="3"/>
  <c r="AG1000" i="3" s="1"/>
  <c r="D1000" i="3" l="1"/>
  <c r="G1000" i="3" s="1"/>
  <c r="AH1000" i="3"/>
  <c r="E1000" i="3"/>
  <c r="H1000" i="3" s="1"/>
  <c r="K1000" i="3" s="1"/>
  <c r="AE1000" i="3" s="1"/>
  <c r="F1000" i="3" l="1"/>
  <c r="I1000" i="3"/>
  <c r="J1000" i="3"/>
  <c r="AD1000" i="3" s="1"/>
  <c r="M1000" i="3"/>
  <c r="N1000" i="3" s="1"/>
  <c r="V1000" i="3"/>
  <c r="A1001" i="3"/>
  <c r="B1001" i="3" s="1"/>
  <c r="W1000" i="3" l="1"/>
  <c r="L1000" i="3"/>
  <c r="P1001" i="3"/>
  <c r="Q1001" i="3" s="1"/>
  <c r="R1001" i="3" s="1"/>
  <c r="S1001" i="3" s="1"/>
  <c r="Z1001" i="3"/>
  <c r="AC1001" i="3"/>
  <c r="AA1001" i="3"/>
  <c r="U1000" i="3" l="1"/>
  <c r="Y999" i="3"/>
  <c r="T1001" i="3"/>
  <c r="D1001" i="3" l="1"/>
  <c r="G1001" i="3" s="1"/>
  <c r="E1001" i="3"/>
  <c r="H1001" i="3" s="1"/>
  <c r="AG1001" i="3"/>
  <c r="AH1001" i="3"/>
  <c r="F1001" i="3" l="1"/>
  <c r="I1001" i="3"/>
  <c r="J1001" i="3"/>
  <c r="AD1001" i="3" s="1"/>
  <c r="M1001" i="3"/>
  <c r="N1001" i="3" s="1"/>
  <c r="K1001" i="3"/>
  <c r="AE1001" i="3" s="1"/>
  <c r="V1001" i="3" l="1"/>
  <c r="W1001" i="3" s="1"/>
  <c r="A1002" i="3"/>
  <c r="B1002" i="3" s="1"/>
  <c r="L1001" i="3"/>
  <c r="U1001" i="3" l="1"/>
  <c r="Y1000" i="3"/>
  <c r="AA1002" i="3"/>
  <c r="Z1002" i="3"/>
  <c r="AC1002" i="3"/>
  <c r="P1002" i="3"/>
  <c r="Q1002" i="3" s="1"/>
  <c r="R1002" i="3" s="1"/>
  <c r="S1002" i="3" s="1"/>
  <c r="T1002" i="3" l="1"/>
  <c r="AG1002" i="3" s="1"/>
  <c r="AH1002" i="3" l="1"/>
  <c r="D1002" i="3"/>
  <c r="G1002" i="3" s="1"/>
  <c r="E1002" i="3"/>
  <c r="H1002" i="3" s="1"/>
  <c r="K1002" i="3" s="1"/>
  <c r="AE1002" i="3" s="1"/>
  <c r="F1002" i="3" l="1"/>
  <c r="I1002" i="3"/>
  <c r="J1002" i="3"/>
  <c r="AD1002" i="3" s="1"/>
  <c r="M1002" i="3"/>
  <c r="N1002" i="3" s="1"/>
  <c r="V1002" i="3"/>
  <c r="A1003" i="3"/>
  <c r="B1003" i="3" s="1"/>
  <c r="W1002" i="3" l="1"/>
  <c r="L1002" i="3"/>
  <c r="AC1003" i="3"/>
  <c r="P1003" i="3"/>
  <c r="Q1003" i="3" s="1"/>
  <c r="R1003" i="3" s="1"/>
  <c r="S1003" i="3" s="1"/>
  <c r="AA1003" i="3"/>
  <c r="Z1003" i="3"/>
  <c r="T1003" i="3" l="1"/>
  <c r="AH1003" i="3" s="1"/>
  <c r="U1002" i="3"/>
  <c r="Y1001" i="3"/>
  <c r="D1003" i="3" l="1"/>
  <c r="G1003" i="3" s="1"/>
  <c r="E1003" i="3"/>
  <c r="H1003" i="3" s="1"/>
  <c r="K1003" i="3" s="1"/>
  <c r="AE1003" i="3" s="1"/>
  <c r="AG1003" i="3"/>
  <c r="F1003" i="3" l="1"/>
  <c r="I1003" i="3"/>
  <c r="J1003" i="3"/>
  <c r="AD1003" i="3" s="1"/>
  <c r="M1003" i="3"/>
  <c r="N1003" i="3" s="1"/>
  <c r="V1003" i="3"/>
  <c r="W1003" i="3" s="1"/>
  <c r="A1004" i="3"/>
  <c r="B1004" i="3" s="1"/>
  <c r="L1003" i="3" l="1"/>
  <c r="P1004" i="3"/>
  <c r="Q1004" i="3" s="1"/>
  <c r="R1004" i="3" s="1"/>
  <c r="S1004" i="3" s="1"/>
  <c r="T1004" i="3" s="1"/>
  <c r="AA1004" i="3"/>
  <c r="Z1004" i="3"/>
  <c r="AC1004" i="3"/>
  <c r="AG1004" i="3" l="1"/>
  <c r="AH1004" i="3"/>
  <c r="U1003" i="3"/>
  <c r="D1004" i="3" s="1"/>
  <c r="Y1002" i="3"/>
  <c r="J48" i="1"/>
  <c r="L48" i="1"/>
  <c r="I48" i="1"/>
  <c r="J25" i="1"/>
  <c r="K48" i="1"/>
  <c r="M48" i="1"/>
  <c r="K25" i="1"/>
  <c r="I25" i="1"/>
  <c r="K27" i="1"/>
  <c r="I46" i="1"/>
  <c r="L46" i="1"/>
  <c r="M46" i="1"/>
  <c r="K46" i="1"/>
  <c r="J46" i="1"/>
  <c r="I27" i="1"/>
  <c r="J27" i="1"/>
  <c r="E1004" i="3" l="1"/>
  <c r="H1004" i="3" s="1"/>
  <c r="K1004" i="3" s="1"/>
  <c r="AE1004" i="3" s="1"/>
  <c r="C122" i="1"/>
  <c r="C155" i="1"/>
  <c r="C31" i="1"/>
  <c r="C126" i="1"/>
  <c r="C121" i="1"/>
  <c r="C124" i="1"/>
  <c r="C33" i="1"/>
  <c r="J47" i="1" s="1"/>
  <c r="C129" i="1"/>
  <c r="C130" i="1" s="1"/>
  <c r="M25" i="1"/>
  <c r="I72" i="7"/>
  <c r="I73" i="7" s="1"/>
  <c r="I70" i="7"/>
  <c r="G1004" i="3"/>
  <c r="B128" i="1"/>
  <c r="B123" i="1"/>
  <c r="B127" i="1"/>
  <c r="D155" i="1"/>
  <c r="B124" i="1"/>
  <c r="B126" i="1"/>
  <c r="B129" i="1"/>
  <c r="B125" i="1"/>
  <c r="D31" i="1"/>
  <c r="D33" i="1"/>
  <c r="J49" i="1" s="1"/>
  <c r="C146" i="1"/>
  <c r="C147" i="1" s="1"/>
  <c r="C138" i="1"/>
  <c r="C141" i="1"/>
  <c r="C143" i="1"/>
  <c r="C139" i="1"/>
  <c r="B140" i="1"/>
  <c r="B143" i="1"/>
  <c r="B142" i="1"/>
  <c r="B146" i="1"/>
  <c r="B144" i="1"/>
  <c r="B141" i="1"/>
  <c r="B145" i="1"/>
  <c r="M27" i="1"/>
  <c r="H72" i="7"/>
  <c r="H73" i="7" s="1"/>
  <c r="H70" i="7"/>
  <c r="F1004" i="3" l="1"/>
  <c r="L24" i="1" s="1"/>
  <c r="H49" i="1"/>
  <c r="D32" i="1"/>
  <c r="I1004" i="3"/>
  <c r="J1004" i="3"/>
  <c r="M1004" i="3"/>
  <c r="N1004" i="3" s="1"/>
  <c r="E31" i="7"/>
  <c r="H47" i="1"/>
  <c r="C32" i="1"/>
  <c r="V1004" i="3"/>
  <c r="L42" i="1" l="1"/>
  <c r="L1004" i="3"/>
  <c r="Y1004" i="3" s="1"/>
  <c r="AD1004" i="3"/>
  <c r="W1004" i="3"/>
  <c r="B135" i="1"/>
  <c r="B137" i="1"/>
  <c r="B133" i="1"/>
  <c r="B132" i="1" s="1"/>
  <c r="F133" i="1"/>
  <c r="F134" i="1"/>
  <c r="C133" i="1"/>
  <c r="C135" i="1"/>
  <c r="K24" i="1"/>
  <c r="K42" i="1"/>
  <c r="B150" i="1"/>
  <c r="B149" i="1" s="1"/>
  <c r="B154" i="1"/>
  <c r="B152" i="1"/>
  <c r="H117" i="7"/>
  <c r="E62" i="7"/>
  <c r="F62" i="7" s="1"/>
  <c r="E120" i="7"/>
  <c r="F120" i="7" s="1"/>
  <c r="E119" i="7"/>
  <c r="F119" i="7" s="1"/>
  <c r="E133" i="7"/>
  <c r="E63" i="7"/>
  <c r="F63" i="7" s="1"/>
  <c r="H59" i="7"/>
  <c r="L31" i="7"/>
  <c r="E65" i="7"/>
  <c r="F65" i="7" s="1"/>
  <c r="Y1003" i="3" l="1"/>
  <c r="M41" i="1" s="1"/>
  <c r="U1004" i="3"/>
  <c r="J43" i="1"/>
  <c r="I41" i="1"/>
  <c r="K41" i="1"/>
  <c r="H26" i="1"/>
  <c r="J31" i="7" s="1"/>
  <c r="L43" i="1"/>
  <c r="M43" i="1"/>
  <c r="K43" i="1"/>
  <c r="H43" i="1"/>
  <c r="I44" i="1"/>
  <c r="H44" i="1"/>
  <c r="J26" i="1"/>
  <c r="D161" i="1" s="1"/>
  <c r="M44" i="1"/>
  <c r="K26" i="1"/>
  <c r="K31" i="7" s="1"/>
  <c r="K23" i="1"/>
  <c r="L41" i="1"/>
  <c r="L44" i="1"/>
  <c r="I26" i="1"/>
  <c r="B163" i="1" s="1"/>
  <c r="J41" i="1"/>
  <c r="I43" i="1"/>
  <c r="J44" i="1"/>
  <c r="H28" i="1"/>
  <c r="F151" i="1" s="1"/>
  <c r="M31" i="7"/>
  <c r="E121" i="7"/>
  <c r="F121" i="7" s="1"/>
  <c r="H116" i="7"/>
  <c r="H58" i="7"/>
  <c r="E64" i="7"/>
  <c r="F64" i="7" s="1"/>
  <c r="S26" i="6" l="1"/>
  <c r="H55" i="7"/>
  <c r="H112" i="7"/>
  <c r="H53" i="7"/>
  <c r="P31" i="1"/>
  <c r="P32" i="1"/>
  <c r="I67" i="7"/>
  <c r="H41" i="1"/>
  <c r="K44" i="1"/>
  <c r="H45" i="1"/>
  <c r="M45" i="1"/>
  <c r="L45" i="1"/>
  <c r="K45" i="1"/>
  <c r="K28" i="1" s="1"/>
  <c r="M28" i="1" s="1"/>
  <c r="J45" i="1"/>
  <c r="J28" i="1"/>
  <c r="P30" i="1"/>
  <c r="F193" i="1"/>
  <c r="F190" i="1"/>
  <c r="F171" i="1"/>
  <c r="D186" i="1"/>
  <c r="F161" i="1"/>
  <c r="F163" i="1"/>
  <c r="D166" i="1"/>
  <c r="D192" i="1"/>
  <c r="D194" i="1"/>
  <c r="D196" i="1"/>
  <c r="D173" i="1"/>
  <c r="D168" i="1"/>
  <c r="D197" i="1"/>
  <c r="D159" i="1"/>
  <c r="D185" i="1"/>
  <c r="F194" i="1"/>
  <c r="D165" i="1"/>
  <c r="D191" i="1"/>
  <c r="F183" i="1"/>
  <c r="F162" i="1"/>
  <c r="F170" i="1"/>
  <c r="F184" i="1"/>
  <c r="F168" i="1"/>
  <c r="F169" i="1"/>
  <c r="D164" i="1"/>
  <c r="F21" i="1"/>
  <c r="D177" i="1"/>
  <c r="F197" i="1"/>
  <c r="D160" i="1"/>
  <c r="F196" i="1"/>
  <c r="D162" i="1"/>
  <c r="D170" i="1"/>
  <c r="D181" i="1"/>
  <c r="F164" i="1"/>
  <c r="F165" i="1"/>
  <c r="D190" i="1"/>
  <c r="F182" i="1"/>
  <c r="F166" i="1"/>
  <c r="H44" i="7"/>
  <c r="D171" i="1"/>
  <c r="D169" i="1"/>
  <c r="F172" i="1"/>
  <c r="D179" i="1"/>
  <c r="D189" i="1"/>
  <c r="D183" i="1"/>
  <c r="F160" i="1"/>
  <c r="F195" i="1"/>
  <c r="D193" i="1"/>
  <c r="F179" i="1"/>
  <c r="D188" i="1"/>
  <c r="F185" i="1"/>
  <c r="F159" i="1"/>
  <c r="F173" i="1"/>
  <c r="D163" i="1"/>
  <c r="D184" i="1"/>
  <c r="D195" i="1"/>
  <c r="F191" i="1"/>
  <c r="H11" i="7"/>
  <c r="F181" i="1"/>
  <c r="D180" i="1"/>
  <c r="F186" i="1"/>
  <c r="F180" i="1"/>
  <c r="F187" i="1"/>
  <c r="F178" i="1"/>
  <c r="D178" i="1"/>
  <c r="D182" i="1"/>
  <c r="F192" i="1"/>
  <c r="D174" i="1"/>
  <c r="F189" i="1"/>
  <c r="F167" i="1"/>
  <c r="D187" i="1"/>
  <c r="F188" i="1"/>
  <c r="D172" i="1"/>
  <c r="F174" i="1"/>
  <c r="F177" i="1"/>
  <c r="D167" i="1"/>
  <c r="B171" i="1"/>
  <c r="B181" i="1"/>
  <c r="B170" i="1"/>
  <c r="B186" i="1"/>
  <c r="B164" i="1"/>
  <c r="B175" i="1"/>
  <c r="B166" i="1"/>
  <c r="B174" i="1"/>
  <c r="B172" i="1"/>
  <c r="B184" i="1"/>
  <c r="H113" i="7"/>
  <c r="B180" i="1"/>
  <c r="B199" i="1"/>
  <c r="B188" i="1"/>
  <c r="B165" i="1"/>
  <c r="B185" i="1"/>
  <c r="B168" i="1"/>
  <c r="H114" i="7"/>
  <c r="B198" i="1"/>
  <c r="B197" i="1"/>
  <c r="B179" i="1"/>
  <c r="B191" i="1"/>
  <c r="C156" i="1"/>
  <c r="B192" i="1"/>
  <c r="E128" i="7"/>
  <c r="F128" i="7" s="1"/>
  <c r="B194" i="1"/>
  <c r="B173" i="1"/>
  <c r="B182" i="1"/>
  <c r="B190" i="1"/>
  <c r="B193" i="1"/>
  <c r="B176" i="1"/>
  <c r="B183" i="1"/>
  <c r="B195" i="1"/>
  <c r="F132" i="1"/>
  <c r="C134" i="1" s="1"/>
  <c r="B189" i="1"/>
  <c r="B162" i="1"/>
  <c r="B169" i="1"/>
  <c r="B196" i="1"/>
  <c r="H31" i="7"/>
  <c r="B161" i="1"/>
  <c r="B167" i="1"/>
  <c r="H54" i="7"/>
  <c r="B187" i="1"/>
  <c r="B158" i="1"/>
  <c r="H57" i="7"/>
  <c r="F150" i="1"/>
  <c r="B151" i="1" s="1"/>
  <c r="H115" i="7" l="1"/>
  <c r="S25" i="6"/>
  <c r="D31" i="7"/>
  <c r="D156" i="1"/>
  <c r="H19" i="7"/>
  <c r="C118" i="1"/>
  <c r="P29" i="1"/>
  <c r="B120" i="1"/>
  <c r="H56" i="7"/>
  <c r="E129" i="7"/>
  <c r="F129" i="7" s="1"/>
  <c r="B153" i="1"/>
  <c r="C132" i="1"/>
  <c r="C151" i="1"/>
  <c r="C149" i="1"/>
  <c r="B134" i="1"/>
  <c r="B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M363040</author>
    <author>Léo Côme</author>
    <author>collectif</author>
  </authors>
  <commentList>
    <comment ref="M5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Définir les propriétés du 1er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1st diameter transition.
</t>
        </r>
        <r>
          <rPr>
            <i/>
            <sz val="8"/>
            <color rgb="FF000000"/>
            <rFont val="Tahoma"/>
            <family val="2"/>
          </rPr>
          <t>Leave this column blank if no skirt/shrink on the rocket.</t>
        </r>
      </text>
    </comment>
    <comment ref="O5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Définir les propriétés du 2e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2e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2nd diameter transition.
</t>
        </r>
        <r>
          <rPr>
            <i/>
            <sz val="8"/>
            <color rgb="FF000000"/>
            <rFont val="Tahoma"/>
            <family val="2"/>
          </rPr>
          <t>Leave this column blank if no 2nd skirt/shrink on the rocket.</t>
        </r>
      </text>
    </comment>
    <comment ref="L6" authorId="1" shapeId="0" xr:uid="{00000000-0006-0000-0000-000003000000}">
      <text>
        <r>
          <rPr>
            <b/>
            <sz val="8"/>
            <color indexed="8"/>
            <rFont val="Tahoma"/>
            <family val="2"/>
          </rPr>
          <t>Hauteur</t>
        </r>
        <r>
          <rPr>
            <sz val="8"/>
            <color indexed="8"/>
            <rFont val="Tahoma"/>
            <family val="2"/>
          </rPr>
          <t xml:space="preserve"> du changement de diamètre (cf. schéma sur fond bleu).
</t>
        </r>
        <r>
          <rPr>
            <i/>
            <sz val="8"/>
            <color indexed="8"/>
            <rFont val="Tahoma"/>
            <family val="2"/>
          </rPr>
          <t>Height of the tronconical transition (cf. blue schematic).</t>
        </r>
      </text>
    </comment>
    <comment ref="L7" authorId="1" shapeId="0" xr:uid="{00000000-0006-0000-0000-000004000000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au dessus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Upper Diameter (cf. blue schematic).</t>
        </r>
      </text>
    </comment>
    <comment ref="L8" authorId="1" shapeId="0" xr:uid="{00000000-0006-0000-0000-000005000000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en dessous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Lower Diameter (cf. blue schematic).</t>
        </r>
      </text>
    </comment>
    <comment ref="L9" authorId="0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Distance entre la pointe de l'ogive et le haut du changement de diamètre.
</t>
        </r>
        <r>
          <rPr>
            <i/>
            <sz val="8"/>
            <color rgb="FF000000"/>
            <rFont val="Tahoma"/>
            <family val="2"/>
          </rPr>
          <t>Distance betwenn the tip of the nose cone and the top of the skirt/shrink.</t>
        </r>
      </text>
    </comment>
    <comment ref="B12" authorId="0" shapeId="0" xr:uid="{00000000-0006-0000-0000-000007000000}">
      <text>
        <r>
          <rPr>
            <sz val="8"/>
            <color indexed="8"/>
            <rFont val="Tahoma"/>
            <family val="2"/>
          </rPr>
          <t xml:space="preserve">Position du </t>
        </r>
        <r>
          <rPr>
            <b/>
            <sz val="8"/>
            <color indexed="8"/>
            <rFont val="Tahoma"/>
            <family val="2"/>
          </rPr>
          <t>Centre de Masse</t>
        </r>
        <r>
          <rPr>
            <sz val="8"/>
            <color indexed="8"/>
            <rFont val="Tahoma"/>
            <family val="2"/>
          </rPr>
          <t xml:space="preserve"> (CdG) par rapport à la pointe de l'ogive,
à mesurer ou estimer sur votre fusée.
</t>
        </r>
        <r>
          <rPr>
            <i/>
            <sz val="8"/>
            <color indexed="8"/>
            <rFont val="Tahoma"/>
            <family val="2"/>
          </rPr>
          <t>Position of Center of Mass (CoG) from the top of the nose cone.</t>
        </r>
      </text>
    </comment>
    <comment ref="S12" authorId="0" shapeId="0" xr:uid="{00000000-0006-0000-0000-000008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haut</t>
        </r>
        <r>
          <rPr>
            <sz val="8"/>
            <color indexed="8"/>
            <rFont val="Tahoma"/>
            <family val="2"/>
          </rPr>
          <t xml:space="preserve"> du propulseur (hors ergot).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 xml:space="preserve">top </t>
        </r>
        <r>
          <rPr>
            <i/>
            <sz val="8"/>
            <color indexed="8"/>
            <rFont val="Tahoma"/>
            <family val="2"/>
          </rPr>
          <t>of the motor.</t>
        </r>
      </text>
    </comment>
    <comment ref="B13" authorId="0" shapeId="0" xr:uid="{00000000-0006-0000-0000-000009000000}">
      <text>
        <r>
          <rPr>
            <sz val="8"/>
            <color indexed="8"/>
            <rFont val="Tahoma"/>
            <family val="2"/>
          </rPr>
          <t xml:space="preserve">Longueur totale du fuselage avec l'ogive,
hors propu hors antenne hors ailerons.
</t>
        </r>
        <r>
          <rPr>
            <i/>
            <sz val="8"/>
            <color indexed="8"/>
            <rFont val="Tahoma"/>
            <family val="2"/>
          </rPr>
          <t>Total length of the body including nose cone.</t>
        </r>
      </text>
    </comment>
    <comment ref="L13" authorId="1" shapeId="0" xr:uid="{00000000-0006-0000-0000-00000A000000}">
      <text>
        <r>
          <rPr>
            <sz val="8"/>
            <color rgb="FF000000"/>
            <rFont val="Tahoma"/>
            <family val="2"/>
          </rPr>
          <t xml:space="preserve">Centre de Masse du propulseur par rapport au haut du propulseur.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Motor Center of Mass, mesured from top of motor.</t>
        </r>
      </text>
    </comment>
    <comment ref="B14" authorId="0" shapeId="0" xr:uid="{00000000-0006-0000-0000-00000B000000}">
      <text>
        <r>
          <rPr>
            <sz val="8"/>
            <color indexed="8"/>
            <rFont val="Tahoma"/>
            <family val="2"/>
          </rPr>
          <t xml:space="preserve">Diamètre de référence, utilisé pour calculer : Cnα, Finesse, Marge Statique.
Par défaut D_réf = D_ogive ; on peux écraser avec le diamètre "principal".
</t>
        </r>
        <r>
          <rPr>
            <i/>
            <sz val="8"/>
            <color indexed="8"/>
            <rFont val="Tahoma"/>
            <family val="2"/>
          </rPr>
          <t>Reference Diameter, used to compute: Cnα, Finesse, Static Margin.
By default D_ref = D_ogive ; one can overwrtie with the "main" diameter.</t>
        </r>
      </text>
    </comment>
    <comment ref="S14" authorId="0" shapeId="0" xr:uid="{00000000-0006-0000-0000-00000C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L15" authorId="1" shapeId="0" xr:uid="{00000000-0006-0000-0000-00000D000000}">
      <text>
        <r>
          <rPr>
            <sz val="8"/>
            <color indexed="8"/>
            <rFont val="Tahoma"/>
            <family val="2"/>
          </rPr>
          <t xml:space="preserve">Les positions des </t>
        </r>
        <r>
          <rPr>
            <sz val="8"/>
            <color indexed="12"/>
            <rFont val="Tahoma"/>
            <family val="2"/>
          </rPr>
          <t>Centres de Masse</t>
        </r>
        <r>
          <rPr>
            <sz val="8"/>
            <color indexed="8"/>
            <rFont val="Tahoma"/>
            <family val="2"/>
          </rPr>
          <t xml:space="preserve"> de la fusée avec propulseur plein et vide
sont représentées sur le schéma de la fusée par un </t>
        </r>
        <r>
          <rPr>
            <sz val="8"/>
            <color indexed="12"/>
            <rFont val="Tahoma"/>
            <family val="2"/>
          </rPr>
          <t>segment vertical bleu</t>
        </r>
        <r>
          <rPr>
            <sz val="8"/>
            <color indexed="8"/>
            <rFont val="Tahoma"/>
            <family val="2"/>
          </rPr>
          <t xml:space="preserve">.
</t>
        </r>
        <r>
          <rPr>
            <i/>
            <sz val="8"/>
            <color indexed="8"/>
            <rFont val="Tahoma"/>
            <family val="2"/>
          </rPr>
          <t xml:space="preserve">Rocket Center of Mass are shown whith a </t>
        </r>
        <r>
          <rPr>
            <i/>
            <sz val="8"/>
            <color indexed="12"/>
            <rFont val="Tahoma"/>
            <family val="2"/>
          </rPr>
          <t>blue segment</t>
        </r>
        <r>
          <rPr>
            <i/>
            <sz val="8"/>
            <color indexed="8"/>
            <rFont val="Tahoma"/>
            <family val="2"/>
          </rPr>
          <t xml:space="preserve"> in Rocket schematic.</t>
        </r>
      </text>
    </comment>
    <comment ref="S17" authorId="0" shapeId="0" xr:uid="{00000000-0006-0000-0000-00000E00000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supérieur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upper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18" authorId="0" shapeId="0" xr:uid="{00000000-0006-0000-0000-00000F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S18" authorId="1" shapeId="0" xr:uid="{00000000-0006-0000-0000-000010000000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S19" authorId="0" shapeId="0" xr:uid="{00000000-0006-0000-0000-000011000000}">
      <text>
        <r>
          <rPr>
            <sz val="8"/>
            <color rgb="FF000000"/>
            <rFont val="Tahoma"/>
            <family val="2"/>
          </rPr>
          <t xml:space="preserve">Distance entre la pointe de l'ogive et le point </t>
        </r>
        <r>
          <rPr>
            <b/>
            <sz val="8"/>
            <color rgb="FF000000"/>
            <rFont val="Tahoma"/>
            <family val="2"/>
          </rPr>
          <t>inférieur</t>
        </r>
        <r>
          <rPr>
            <sz val="8"/>
            <color rgb="FF000000"/>
            <rFont val="Tahoma"/>
            <family val="2"/>
          </rPr>
          <t xml:space="preserve"> de l'encastrement des ailerons.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rgb="FF000000"/>
            <rFont val="Tahoma"/>
            <family val="2"/>
          </rPr>
          <t>lower</t>
        </r>
        <r>
          <rPr>
            <i/>
            <sz val="8"/>
            <color rgb="FF000000"/>
            <rFont val="Tahoma"/>
            <family val="2"/>
          </rPr>
          <t xml:space="preserve"> point of fins attachment on the rocket.</t>
        </r>
      </text>
    </comment>
    <comment ref="B23" authorId="0" shapeId="0" xr:uid="{00000000-0006-0000-0000-000012000000}">
      <text>
        <r>
          <rPr>
            <sz val="8"/>
            <color indexed="8"/>
            <rFont val="Tahoma"/>
            <family val="2"/>
          </rPr>
          <t xml:space="preserve">Diamètre à la base de l'ogive.
</t>
        </r>
        <r>
          <rPr>
            <i/>
            <sz val="8"/>
            <color indexed="8"/>
            <rFont val="Tahoma"/>
            <family val="2"/>
          </rPr>
          <t>Diameter at the basement of the nose cone.</t>
        </r>
      </text>
    </comment>
    <comment ref="E25" authorId="1" shapeId="0" xr:uid="{00000000-0006-0000-0000-000013000000}">
      <text>
        <r>
          <rPr>
            <sz val="8"/>
            <color indexed="8"/>
            <rFont val="Tahoma"/>
            <family val="2"/>
          </rPr>
          <t xml:space="preserve">Les parties masquées des ailerons du bas sont représentées 
sur le schéma de la fusée par des </t>
        </r>
        <r>
          <rPr>
            <sz val="8"/>
            <color indexed="10"/>
            <rFont val="Tahoma"/>
            <family val="2"/>
          </rPr>
          <t>zones en rouge</t>
        </r>
        <r>
          <rPr>
            <sz val="8"/>
            <color indexed="8"/>
            <rFont val="Tahoma"/>
            <family val="2"/>
          </rPr>
          <t xml:space="preserve">.
Ce sont les parties situées juste en dessous des ailerons du haut.
</t>
        </r>
        <r>
          <rPr>
            <i/>
            <sz val="8"/>
            <color indexed="8"/>
            <rFont val="Tahoma"/>
            <family val="2"/>
          </rPr>
          <t xml:space="preserve">The fin-fin interaction zone is located just below the upper fins,
shown in </t>
        </r>
        <r>
          <rPr>
            <i/>
            <sz val="8"/>
            <color indexed="10"/>
            <rFont val="Tahoma"/>
            <family val="2"/>
          </rPr>
          <t>red</t>
        </r>
        <r>
          <rPr>
            <i/>
            <sz val="8"/>
            <color indexed="8"/>
            <rFont val="Tahoma"/>
            <family val="2"/>
          </rPr>
          <t xml:space="preserve"> in the Rocket schematic.</t>
        </r>
      </text>
    </comment>
    <comment ref="B27" authorId="1" shapeId="0" xr:uid="{00000000-0006-0000-0000-000014000000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F27" authorId="0" shapeId="0" xr:uid="{00000000-0006-0000-0000-000015000000}">
      <text>
        <r>
          <rPr>
            <sz val="8"/>
            <color indexed="8"/>
            <rFont val="Tahoma"/>
            <family val="2"/>
          </rPr>
          <t xml:space="preserve">La </t>
        </r>
        <r>
          <rPr>
            <b/>
            <sz val="8"/>
            <color indexed="8"/>
            <rFont val="Tahoma"/>
            <family val="2"/>
          </rPr>
          <t>Finesse</t>
        </r>
        <r>
          <rPr>
            <sz val="8"/>
            <color indexed="8"/>
            <rFont val="Tahoma"/>
            <family val="2"/>
          </rPr>
          <t xml:space="preserve"> représente l'allongement de la fusée, rapport Longueur/Diamètre.
</t>
        </r>
        <r>
          <rPr>
            <i/>
            <sz val="8"/>
            <color indexed="8"/>
            <rFont val="Tahoma"/>
            <family val="2"/>
          </rPr>
          <t>Finesse represents the relative length of the rocket. Finesse = L/D</t>
        </r>
      </text>
    </comment>
    <comment ref="B28" authorId="1" shapeId="0" xr:uid="{00000000-0006-0000-0000-000016000000}">
      <text>
        <r>
          <rPr>
            <sz val="8"/>
            <color indexed="8"/>
            <rFont val="Tahoma"/>
            <family val="2"/>
          </rPr>
          <t xml:space="preserve">Longueur du </t>
        </r>
        <r>
          <rPr>
            <b/>
            <sz val="8"/>
            <color indexed="8"/>
            <rFont val="Tahoma"/>
            <family val="2"/>
          </rPr>
          <t>saumo</t>
        </r>
        <r>
          <rPr>
            <b/>
            <u/>
            <sz val="8"/>
            <color indexed="8"/>
            <rFont val="Tahoma"/>
            <family val="2"/>
          </rPr>
          <t>n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Tip edge length of one fin.</t>
        </r>
      </text>
    </comment>
    <comment ref="F28" authorId="0" shapeId="0" xr:uid="{00000000-0006-0000-0000-000017000000}">
      <text>
        <r>
          <rPr>
            <sz val="8"/>
            <color indexed="8"/>
            <rFont val="Tahoma"/>
            <family val="2"/>
          </rPr>
          <t xml:space="preserve">Le gradient de </t>
        </r>
        <r>
          <rPr>
            <b/>
            <sz val="8"/>
            <color indexed="16"/>
            <rFont val="Tahoma"/>
            <family val="2"/>
          </rPr>
          <t>Portance</t>
        </r>
        <r>
          <rPr>
            <sz val="8"/>
            <color indexed="8"/>
            <rFont val="Tahoma"/>
            <family val="2"/>
          </rPr>
          <t xml:space="preserve"> Cnα indique l'efficacité des ailerons.
Pour l'augmenter, il faut augmenter la taille des ailerons, et inversement.
</t>
        </r>
        <r>
          <rPr>
            <i/>
            <sz val="8"/>
            <color indexed="16"/>
            <rFont val="Tahoma"/>
            <family val="2"/>
          </rPr>
          <t>Lift</t>
        </r>
        <r>
          <rPr>
            <i/>
            <sz val="8"/>
            <color indexed="8"/>
            <rFont val="Tahoma"/>
            <family val="2"/>
          </rPr>
          <t xml:space="preserve"> gradient, Cnα, represents the fins efficiency. 
To increase it, one must increase the size of the fins, and conversely.</t>
        </r>
      </text>
    </comment>
    <comment ref="B29" authorId="1" shapeId="0" xr:uid="{00000000-0006-0000-0000-000018000000}">
      <text>
        <r>
          <rPr>
            <b/>
            <sz val="8"/>
            <color indexed="8"/>
            <rFont val="Tahoma"/>
            <family val="2"/>
          </rPr>
          <t>Flèche</t>
        </r>
        <r>
          <rPr>
            <sz val="8"/>
            <color indexed="8"/>
            <rFont val="Tahoma"/>
            <family val="2"/>
          </rPr>
          <t xml:space="preserve"> du bord d'attaque (négatif si besoin).
</t>
        </r>
        <r>
          <rPr>
            <i/>
            <sz val="8"/>
            <color indexed="8"/>
            <rFont val="Tahoma"/>
            <family val="2"/>
          </rPr>
          <t>Offset of the Leading edge.</t>
        </r>
      </text>
    </comment>
    <comment ref="F29" authorId="0" shapeId="0" xr:uid="{00000000-0006-0000-0000-000019000000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Marge Statique</t>
        </r>
        <r>
          <rPr>
            <sz val="8"/>
            <color rgb="FF000000"/>
            <rFont val="Tahoma"/>
            <family val="2"/>
          </rPr>
          <t xml:space="preserve">, MS,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nombre de Diamètre de Référence, pour une fusée avec propulseur plein puis vide.
</t>
        </r>
        <r>
          <rPr>
            <sz val="8"/>
            <color rgb="FF000000"/>
            <rFont val="Tahoma"/>
            <family val="2"/>
          </rPr>
          <t xml:space="preserve">Pour augmenter la MS, il faut soit :
</t>
        </r>
        <r>
          <rPr>
            <sz val="8"/>
            <color rgb="FF000000"/>
            <rFont val="Tahoma"/>
            <family val="2"/>
          </rPr>
          <t xml:space="preserve">- abaisser le Centre de Portance (position des ailerons)
</t>
        </r>
        <r>
          <rPr>
            <sz val="8"/>
            <color rgb="FF000000"/>
            <rFont val="Tahoma"/>
            <family val="2"/>
          </rPr>
          <t xml:space="preserve">- rehausser le Centre de Masse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Static Margin, MS,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 xml:space="preserve">measured in number of reference diameter, for a rocket with loaded motor, then empty motor.
</t>
        </r>
        <r>
          <rPr>
            <i/>
            <sz val="8"/>
            <color rgb="FF000000"/>
            <rFont val="Tahoma"/>
            <family val="2"/>
          </rPr>
          <t xml:space="preserve">In order to increase MS, one must either:
</t>
        </r>
        <r>
          <rPr>
            <i/>
            <sz val="8"/>
            <color rgb="FF000000"/>
            <rFont val="Tahoma"/>
            <family val="2"/>
          </rPr>
          <t xml:space="preserve">- lower the Center of Pressure (position of fins)
</t>
        </r>
        <r>
          <rPr>
            <i/>
            <sz val="8"/>
            <color rgb="FF000000"/>
            <rFont val="Tahoma"/>
            <family val="2"/>
          </rPr>
          <t>- Move up the Center of Mass</t>
        </r>
      </text>
    </comment>
    <comment ref="B30" authorId="1" shapeId="0" xr:uid="{00000000-0006-0000-0000-00001A000000}">
      <text>
        <r>
          <rPr>
            <b/>
            <u/>
            <sz val="8"/>
            <color indexed="8"/>
            <rFont val="Tahoma"/>
            <family val="2"/>
          </rPr>
          <t>E</t>
        </r>
        <r>
          <rPr>
            <b/>
            <sz val="8"/>
            <color indexed="8"/>
            <rFont val="Tahoma"/>
            <family val="2"/>
          </rPr>
          <t>nvergure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Span of one fin.</t>
        </r>
      </text>
    </comment>
    <comment ref="F30" authorId="0" shapeId="0" xr:uid="{00000000-0006-0000-0000-00001B000000}">
      <text>
        <r>
          <rPr>
            <sz val="8"/>
            <color indexed="8"/>
            <rFont val="Tahoma"/>
            <family val="2"/>
          </rPr>
          <t xml:space="preserve">Le </t>
        </r>
        <r>
          <rPr>
            <b/>
            <sz val="8"/>
            <color indexed="8"/>
            <rFont val="Tahoma"/>
            <family val="2"/>
          </rPr>
          <t>produit</t>
        </r>
        <r>
          <rPr>
            <sz val="8"/>
            <color indexed="8"/>
            <rFont val="Tahoma"/>
            <family val="2"/>
          </rPr>
          <t xml:space="preserve"> MS*Cnα représente le </t>
        </r>
        <r>
          <rPr>
            <b/>
            <sz val="8"/>
            <color indexed="8"/>
            <rFont val="Tahoma"/>
            <family val="2"/>
          </rPr>
          <t>couple</t>
        </r>
        <r>
          <rPr>
            <sz val="8"/>
            <color indexed="8"/>
            <rFont val="Tahoma"/>
            <family val="2"/>
          </rPr>
          <t xml:space="preserve"> de rappel de la Portance.
Pour augmenter le produit, il faut augmenter la MS et/ou le Cnα, et inversement.
</t>
        </r>
        <r>
          <rPr>
            <i/>
            <sz val="8"/>
            <color indexed="8"/>
            <rFont val="Tahoma"/>
            <family val="2"/>
          </rPr>
          <t>The product MS*Cnα represents the lift torque.
To increase it, one must increase the Static Margin and/or the Cnα, and conversely.</t>
        </r>
      </text>
    </comment>
    <comment ref="F31" authorId="0" shapeId="0" xr:uid="{00000000-0006-0000-0000-00001C000000}">
      <text>
        <r>
          <rPr>
            <sz val="8"/>
            <color indexed="8"/>
            <rFont val="Tahoma"/>
            <family val="2"/>
          </rPr>
          <t xml:space="preserve">Le Xcp est la </t>
        </r>
        <r>
          <rPr>
            <b/>
            <sz val="8"/>
            <color indexed="16"/>
            <rFont val="Tahoma"/>
            <family val="2"/>
          </rPr>
          <t>position du Centre de Poussée Aérodynamique</t>
        </r>
        <r>
          <rPr>
            <sz val="8"/>
            <color indexed="8"/>
            <rFont val="Tahoma"/>
            <family val="2"/>
          </rPr>
          <t xml:space="preserve"> (CPA), 
aussi appelé Centre de Pression (CP), Centre Latéral de Poussée (CLP), 
ou Foyer, exprimée par rapport à la pointe de l'ogive.
</t>
        </r>
        <r>
          <rPr>
            <i/>
            <sz val="8"/>
            <color indexed="8"/>
            <rFont val="Tahoma"/>
            <family val="2"/>
          </rPr>
          <t>Xcp is the location of the Aerodynamics Center of Pressure, 
measured from the tip of the nose cone.</t>
        </r>
      </text>
    </comment>
    <comment ref="F32" authorId="2" shapeId="0" xr:uid="{00000000-0006-0000-0000-00001D000000}">
      <text>
        <r>
          <rPr>
            <sz val="8"/>
            <color rgb="FF000000"/>
            <rFont val="Tahoma"/>
            <family val="2"/>
          </rPr>
          <t xml:space="preserve">Cette Marge Statique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</t>
        </r>
        <r>
          <rPr>
            <b/>
            <sz val="8"/>
            <color rgb="FF000000"/>
            <rFont val="Tahoma"/>
            <family val="2"/>
          </rPr>
          <t>% de la Longueur</t>
        </r>
        <r>
          <rPr>
            <sz val="8"/>
            <color rgb="FF000000"/>
            <rFont val="Tahoma"/>
            <family val="2"/>
          </rPr>
          <t xml:space="preserve"> de la fusée, pour une fusée avec propulseur plein puis vide.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This Static Margin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>measured in % of rocket length, for a rocket with loaded motor, then empty motor.</t>
        </r>
      </text>
    </comment>
    <comment ref="B33" authorId="0" shapeId="0" xr:uid="{00000000-0006-0000-0000-00001E00000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34" authorId="0" shapeId="0" xr:uid="{00000000-0006-0000-0000-00001F000000}">
      <text>
        <r>
          <rPr>
            <sz val="8"/>
            <color indexed="8"/>
            <rFont val="Tahoma"/>
            <family val="2"/>
          </rPr>
          <t xml:space="preserve">Diamètre du fuselage au niveau des ailerons.
</t>
        </r>
        <r>
          <rPr>
            <i/>
            <sz val="8"/>
            <color indexed="8"/>
            <rFont val="Tahoma"/>
            <family val="2"/>
          </rPr>
          <t>Diameter of the body at the level of the fins.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Léo Côme</author>
    <author>Léo</author>
    <author>Sylvain Besson</author>
    <author>collectif</author>
  </authors>
  <commentList>
    <comment ref="B10" authorId="0" shapeId="0" xr:uid="{00000000-0006-0000-0100-000001000000}">
      <text>
        <r>
          <rPr>
            <sz val="8"/>
            <color indexed="8"/>
            <rFont val="Tahoma"/>
            <family val="2"/>
          </rPr>
          <t xml:space="preserve">Masse au décollage,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Lift-Off mass, to be changed in Stabilito sheet,
or with the buttons (then recheck stability).</t>
        </r>
      </text>
    </comment>
    <comment ref="B11" authorId="0" shapeId="0" xr:uid="{00000000-0006-0000-0100-000002000000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4" authorId="1" shapeId="0" xr:uid="{00000000-0006-0000-0100-000003000000}">
      <text>
        <r>
          <rPr>
            <sz val="8"/>
            <color indexed="8"/>
            <rFont val="Tahoma"/>
            <family val="2"/>
          </rPr>
          <t xml:space="preserve">La Surface de Référence utilisée pour le calcul de la Traînée est la surface projetée dans l'axe de la fusée. Ce </t>
        </r>
        <r>
          <rPr>
            <b/>
            <sz val="8"/>
            <color indexed="8"/>
            <rFont val="Tahoma"/>
            <family val="2"/>
          </rPr>
          <t>Maître Couple</t>
        </r>
        <r>
          <rPr>
            <sz val="8"/>
            <color indexed="8"/>
            <rFont val="Tahoma"/>
            <family val="2"/>
          </rPr>
          <t xml:space="preserve"> inclut donc l'épaisseur des ailerons.
</t>
        </r>
        <r>
          <rPr>
            <i/>
            <sz val="8"/>
            <color indexed="8"/>
            <rFont val="Tahoma"/>
            <family val="2"/>
          </rPr>
          <t>Reference Surface used to compute the Drag. It includes Fin thickness.</t>
        </r>
      </text>
    </comment>
    <comment ref="B15" authorId="1" shapeId="0" xr:uid="{00000000-0006-0000-0100-000004000000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  <comment ref="B18" authorId="1" shapeId="0" xr:uid="{00000000-0006-0000-0100-000005000000}">
      <text>
        <r>
          <rPr>
            <b/>
            <sz val="8"/>
            <color indexed="8"/>
            <rFont val="Tahoma"/>
            <family val="2"/>
          </rPr>
          <t>Longueur de la rampe de lancement.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i/>
            <sz val="8"/>
            <color indexed="8"/>
            <rFont val="Tahoma"/>
            <family val="2"/>
          </rPr>
          <t xml:space="preserve">                                          Length of the launch pad.</t>
        </r>
        <r>
          <rPr>
            <sz val="8"/>
            <color indexed="8"/>
            <rFont val="Tahoma"/>
            <family val="2"/>
          </rPr>
          <t xml:space="preserve">
Valeurs courantes :                  </t>
        </r>
        <r>
          <rPr>
            <i/>
            <sz val="8"/>
            <color indexed="8"/>
            <rFont val="Tahoma"/>
            <family val="2"/>
          </rPr>
          <t>Average values :</t>
        </r>
        <r>
          <rPr>
            <sz val="8"/>
            <color indexed="8"/>
            <rFont val="Tahoma"/>
            <family val="2"/>
          </rPr>
          <t xml:space="preserve">
MicroFusée                  : 1m  :    </t>
        </r>
        <r>
          <rPr>
            <i/>
            <sz val="8"/>
            <color indexed="8"/>
            <rFont val="Tahoma"/>
            <family val="2"/>
          </rPr>
          <t>Micro-rocket</t>
        </r>
        <r>
          <rPr>
            <sz val="8"/>
            <color indexed="8"/>
            <rFont val="Tahoma"/>
            <family val="2"/>
          </rPr>
          <t xml:space="preserve">
MiniFusée                    : 2m5:   </t>
        </r>
        <r>
          <rPr>
            <i/>
            <sz val="8"/>
            <color indexed="8"/>
            <rFont val="Tahoma"/>
            <family val="2"/>
          </rPr>
          <t xml:space="preserve"> Mini-rocket
Rocketry Challenge    </t>
        </r>
        <r>
          <rPr>
            <sz val="8"/>
            <color indexed="8"/>
            <rFont val="Tahoma"/>
            <family val="2"/>
          </rPr>
          <t xml:space="preserve">: 3m
Fusée Expérimentale  : 4m  :   </t>
        </r>
        <r>
          <rPr>
            <i/>
            <sz val="8"/>
            <color indexed="8"/>
            <rFont val="Tahoma"/>
            <family val="2"/>
          </rPr>
          <t>Experimental Rocket</t>
        </r>
      </text>
    </comment>
    <comment ref="B19" authorId="1" shapeId="0" xr:uid="{00000000-0006-0000-0100-000006000000}">
      <text>
        <r>
          <rPr>
            <sz val="8"/>
            <color indexed="8"/>
            <rFont val="Tahoma"/>
            <family val="2"/>
          </rPr>
          <t xml:space="preserve">Elévation de la rampe, angle par rapport à l'horizontale, "site" de la rampe, par défaut cet angle est à 80°.
</t>
        </r>
        <r>
          <rPr>
            <i/>
            <sz val="8"/>
            <color indexed="8"/>
            <rFont val="Tahoma"/>
            <family val="2"/>
          </rPr>
          <t>Angle of the lauch pad versus horizontal.</t>
        </r>
      </text>
    </comment>
    <comment ref="B20" authorId="1" shapeId="0" xr:uid="{00000000-0006-0000-0100-000007000000}">
      <text>
        <r>
          <rPr>
            <sz val="8"/>
            <color indexed="8"/>
            <rFont val="Tahoma"/>
            <family val="2"/>
          </rPr>
          <t xml:space="preserve">L'Altitude de la rampe est utilisée pour calculer la densité de l'air.
</t>
        </r>
        <r>
          <rPr>
            <i/>
            <sz val="8"/>
            <color indexed="8"/>
            <rFont val="Tahoma"/>
            <family val="2"/>
          </rPr>
          <t>Launch Pad Altitude is used to compute the air density.</t>
        </r>
      </text>
    </comment>
    <comment ref="D23" authorId="2" shapeId="0" xr:uid="{00000000-0006-0000-0100-000008000000}">
      <text>
        <r>
          <rPr>
            <b/>
            <sz val="8"/>
            <color indexed="8"/>
            <rFont val="Tahoma"/>
            <family val="2"/>
          </rPr>
          <t>Objet largué</t>
        </r>
        <r>
          <rPr>
            <sz val="8"/>
            <color indexed="8"/>
            <rFont val="Tahoma"/>
            <family val="2"/>
          </rPr>
          <t xml:space="preserve"> (CanSat, quasi-satellite, partie contenant l'œuf...)
</t>
        </r>
        <r>
          <rPr>
            <i/>
            <sz val="8"/>
            <color indexed="8"/>
            <rFont val="Tahoma"/>
            <family val="2"/>
          </rPr>
          <t>Separated object (CanSat, quasi-satellite, payload/egg...)</t>
        </r>
      </text>
    </comment>
    <comment ref="K23" authorId="1" shapeId="0" xr:uid="{00000000-0006-0000-0100-000009000000}">
      <text>
        <r>
          <rPr>
            <sz val="8"/>
            <color indexed="8"/>
            <rFont val="Tahoma"/>
            <family val="2"/>
          </rPr>
          <t xml:space="preserve">La Vitesse en Sortie de Rampe doit être supérieure à 18m/s (MiniFusée) ou 20m/s (Fusée Exp.).
Alléger la fusée ou choisir un propu plus puissant.
</t>
        </r>
        <r>
          <rPr>
            <i/>
            <sz val="8"/>
            <color indexed="8"/>
            <rFont val="Tahoma"/>
            <family val="2"/>
          </rPr>
          <t>Speed at Launch Pad Exit must by higher than 18m/s (mini-rocket) or 20m/s (experimental rocket).
Lighten the rocket or choose a bigger motor.</t>
        </r>
      </text>
    </comment>
    <comment ref="C24" authorId="2" shapeId="0" xr:uid="{00000000-0006-0000-0100-00000A000000}">
      <text>
        <r>
          <rPr>
            <sz val="8"/>
            <color indexed="8"/>
            <rFont val="Tahoma"/>
            <family val="2"/>
          </rPr>
          <t xml:space="preserve">Masse de la fusée (sans satellite) sous parachute.
</t>
        </r>
        <r>
          <rPr>
            <i/>
            <sz val="8"/>
            <color indexed="8"/>
            <rFont val="Tahoma"/>
            <family val="2"/>
          </rPr>
          <t>Mass of the rocket (w/o sat) when it fall with a parachute.</t>
        </r>
      </text>
    </comment>
    <comment ref="M27" authorId="3" shapeId="0" xr:uid="{00000000-0006-0000-0100-00000B000000}">
      <text>
        <r>
          <rPr>
            <sz val="8"/>
            <color indexed="81"/>
            <rFont val="Tahoma"/>
            <family val="2"/>
          </rPr>
          <t xml:space="preserve">Efforts sur les fixations du parachute lors de sont ouverture.
</t>
        </r>
        <r>
          <rPr>
            <i/>
            <sz val="8"/>
            <color indexed="81"/>
            <rFont val="Tahoma"/>
            <family val="2"/>
          </rPr>
          <t>Stress on the parachute's bindings when it opened.</t>
        </r>
      </text>
    </comment>
    <comment ref="B28" authorId="1" shapeId="0" xr:uid="{00000000-0006-0000-0100-00000C000000}">
      <text>
        <r>
          <rPr>
            <sz val="8"/>
            <color indexed="8"/>
            <rFont val="Tahoma"/>
            <family val="2"/>
          </rPr>
          <t xml:space="preserve">Le Coefficient de Traînée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(ou Cd) d'un parachute est généralement compris entre 0.7 et 1.4 (1 par défaut).
</t>
        </r>
        <r>
          <rPr>
            <i/>
            <sz val="8"/>
            <color indexed="8"/>
            <rFont val="Tahoma"/>
            <family val="2"/>
          </rPr>
          <t xml:space="preserve">Parachute Drag Coefficient </t>
        </r>
        <r>
          <rPr>
            <b/>
            <i/>
            <sz val="8"/>
            <color indexed="8"/>
            <rFont val="Tahoma"/>
            <family val="2"/>
          </rPr>
          <t>Cx</t>
        </r>
        <r>
          <rPr>
            <i/>
            <sz val="8"/>
            <color indexed="8"/>
            <rFont val="Tahoma"/>
            <family val="2"/>
          </rPr>
          <t xml:space="preserve"> (or Cd) should be between 0.7 and 1.4, with a default value of 1.</t>
        </r>
      </text>
    </comment>
    <comment ref="M28" authorId="3" shapeId="0" xr:uid="{00000000-0006-0000-0100-00000D000000}">
      <text>
        <r>
          <rPr>
            <sz val="8"/>
            <color indexed="81"/>
            <rFont val="Tahoma"/>
            <family val="2"/>
          </rPr>
          <t>Energie libérée lors de l'impact balistique.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Balistic impact energy</t>
        </r>
      </text>
    </comment>
    <comment ref="B30" authorId="4" shapeId="0" xr:uid="{00000000-0006-0000-0100-00000E000000}">
      <text>
        <r>
          <rPr>
            <sz val="8"/>
            <color indexed="81"/>
            <rFont val="Tahoma"/>
            <family val="2"/>
          </rPr>
          <t xml:space="preserve">La Vitesse de descente sous parachute doit être comprise entre 5 &amp; 15m/s.
</t>
        </r>
        <r>
          <rPr>
            <i/>
            <sz val="8"/>
            <color indexed="81"/>
            <rFont val="Tahoma"/>
            <family val="2"/>
          </rPr>
          <t>Fall Velocity with parachute must be between 5 &amp; 15 m/s.</t>
        </r>
      </text>
    </comment>
    <comment ref="B33" authorId="0" shapeId="0" xr:uid="{00000000-0006-0000-0100-00000F000000}">
      <text>
        <r>
          <rPr>
            <sz val="8"/>
            <color indexed="8"/>
            <rFont val="Tahoma"/>
            <family val="2"/>
          </rPr>
          <t xml:space="preserve">Déviation due au vent lors de la descente sous parachute.
</t>
        </r>
        <r>
          <rPr>
            <i/>
            <sz val="8"/>
            <color indexed="8"/>
            <rFont val="Tahoma"/>
            <family val="2"/>
          </rPr>
          <t>Deviation due to wind during the fall over parachute.</t>
        </r>
      </text>
    </comment>
    <comment ref="F40" authorId="1" shapeId="0" xr:uid="{00000000-0006-0000-0100-000010000000}">
      <text>
        <r>
          <rPr>
            <sz val="8"/>
            <color indexed="8"/>
            <rFont val="Tahoma"/>
            <family val="2"/>
          </rPr>
          <t xml:space="preserve">Les Conditions Initiales permettent de simuler le 2e boost des fusée bi-étage ou des fusées larguant une masse (CanSat, bi-inerte). Laisser à 0 dans les autres cas.
</t>
        </r>
        <r>
          <rPr>
            <i/>
            <sz val="8"/>
            <color indexed="8"/>
            <rFont val="Tahoma"/>
            <family val="2"/>
          </rPr>
          <t>Initial Conditions can be used to simulate the 2nd boost of 2-stages rockets, or rocket releasing mass (Quasi-Satellites). Set them to 0 otherwise.</t>
        </r>
      </text>
    </comment>
    <comment ref="I40" authorId="1" shapeId="0" xr:uid="{00000000-0006-0000-0100-000011000000}">
      <text>
        <r>
          <rPr>
            <sz val="8"/>
            <color indexed="8"/>
            <rFont val="Tahoma"/>
            <family val="2"/>
          </rPr>
          <t xml:space="preserve">Altitude par rapport à la rampe, par rapport au sol.
</t>
        </r>
        <r>
          <rPr>
            <i/>
            <sz val="8"/>
            <color indexed="8"/>
            <rFont val="Tahoma"/>
            <family val="2"/>
          </rPr>
          <t>Altitude with respect to the earth surface.</t>
        </r>
      </text>
    </comment>
    <comment ref="K40" authorId="1" shapeId="0" xr:uid="{00000000-0006-0000-0100-000012000000}">
      <text>
        <r>
          <rPr>
            <sz val="8"/>
            <color indexed="8"/>
            <rFont val="Tahoma"/>
            <family val="2"/>
          </rPr>
          <t xml:space="preserve">La vitesse initiale doit être non-nulle dans le cas d'un 2e boost (allumage hors de la rampe, Portée et Altitude non-nulles).
</t>
        </r>
        <r>
          <rPr>
            <i/>
            <sz val="8"/>
            <color indexed="8"/>
            <rFont val="Tahoma"/>
            <family val="2"/>
          </rPr>
          <t>Initial Velocity must be non-zero in case of 2nd boost (ignition without launch pad, non-zero Range and Altitude).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M363040</author>
    <author>Léo Côme</author>
  </authors>
  <commentList>
    <comment ref="B10" authorId="0" shapeId="0" xr:uid="{00000000-0006-0000-0500-000001000000}">
      <text>
        <r>
          <rPr>
            <sz val="8"/>
            <color indexed="8"/>
            <rFont val="Tahoma"/>
            <family val="2"/>
          </rPr>
          <t xml:space="preserve">Masse sans propu,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Rocket mass without motor, to be changed in Stabilito sheet,
or with the buttons (then recheck stability).</t>
        </r>
      </text>
    </comment>
    <comment ref="B11" authorId="0" shapeId="0" xr:uid="{00000000-0006-0000-0500-000002000000}">
      <text>
        <r>
          <rPr>
            <sz val="8"/>
            <color indexed="8"/>
            <rFont val="Tahoma"/>
            <family val="2"/>
          </rPr>
          <t>Masse totale, à changer dans la feuille Stabilito,
ou à l'aide des boutons (revérifiez alors la stabilité).
Rocket total mass, to be changed in Stabilito sheet,
or with the buttons (then recheck stability).</t>
        </r>
      </text>
    </comment>
    <comment ref="B12" authorId="0" shapeId="0" xr:uid="{00000000-0006-0000-0500-000003000000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5" authorId="1" shapeId="0" xr:uid="{00000000-0006-0000-0500-000004000000}">
      <text>
        <r>
          <rPr>
            <sz val="8"/>
            <color indexed="8"/>
            <rFont val="Tahoma"/>
            <family val="2"/>
          </rPr>
          <t xml:space="preserve">Diamètre de référence. D_réf = D_ogive ou le diamètre "principal".
</t>
        </r>
        <r>
          <rPr>
            <i/>
            <sz val="8"/>
            <color indexed="8"/>
            <rFont val="Tahoma"/>
            <family val="2"/>
          </rPr>
          <t>Reference Diameter. D_ref = D_ogive or the "main" diameter.</t>
        </r>
      </text>
    </comment>
    <comment ref="B16" authorId="2" shapeId="0" xr:uid="{00000000-0006-0000-0500-000005000000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Léo</author>
  </authors>
  <commentList>
    <comment ref="E5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Masse volumique de l'air (ρ) à P=1013,25hPa &amp; T=15°C.
Utilisée tel quel pour la descente sous parachute,
utilisée comme référence (z=0) pour le calcul de ρ en fonction de l'altitude dans le calcul de la trajectoire pas à pas.
Idéalement, valeur à adapter aux conditions atmosphériques au moment du lancement.
</t>
        </r>
        <r>
          <rPr>
            <i/>
            <sz val="8"/>
            <color indexed="81"/>
            <rFont val="Tahoma"/>
            <family val="2"/>
          </rPr>
          <t>Air density (ρ) at P=1013,25hPa &amp; T=15°C.</t>
        </r>
      </text>
    </comment>
  </commentList>
</comments>
</file>

<file path=xl/sharedStrings.xml><?xml version="1.0" encoding="utf-8"?>
<sst xmlns="http://schemas.openxmlformats.org/spreadsheetml/2006/main" count="1716" uniqueCount="560">
  <si>
    <t>TRAJECTO</t>
  </si>
  <si>
    <t>Français</t>
  </si>
  <si>
    <t>t</t>
  </si>
  <si>
    <t>x</t>
  </si>
  <si>
    <t>Club</t>
  </si>
  <si>
    <t>Cx</t>
  </si>
  <si>
    <t>Altitude</t>
  </si>
  <si>
    <t>m/s²</t>
  </si>
  <si>
    <t>kg/m3</t>
  </si>
  <si>
    <t>Surface para</t>
  </si>
  <si>
    <t>Cx parachute</t>
  </si>
  <si>
    <t>Temps</t>
  </si>
  <si>
    <t>Altitude z</t>
  </si>
  <si>
    <t>Accélération</t>
  </si>
  <si>
    <t>-</t>
  </si>
  <si>
    <t>Culmination, Apogée</t>
  </si>
  <si>
    <t>~0</t>
  </si>
  <si>
    <t>Forces</t>
  </si>
  <si>
    <t>Accélération longitudinale</t>
  </si>
  <si>
    <t>pas</t>
  </si>
  <si>
    <t>Beta</t>
  </si>
  <si>
    <t>BetaD</t>
  </si>
  <si>
    <t>Débit</t>
  </si>
  <si>
    <t>Trainée</t>
  </si>
  <si>
    <t>Rho</t>
  </si>
  <si>
    <t>Poussée</t>
  </si>
  <si>
    <t>i_P</t>
  </si>
  <si>
    <t>Poids</t>
  </si>
  <si>
    <t>R_rampe</t>
  </si>
  <si>
    <t>z</t>
  </si>
  <si>
    <t>non-gravit.</t>
  </si>
  <si>
    <t>gravitationnelle</t>
  </si>
  <si>
    <t>Ligne</t>
  </si>
  <si>
    <t>Temps (en s)</t>
  </si>
  <si>
    <t>Poussée (en N)</t>
  </si>
  <si>
    <t>Isard</t>
  </si>
  <si>
    <t>Chamois</t>
  </si>
  <si>
    <t>Pro75-2G</t>
  </si>
  <si>
    <t>espace@planete-sciences.org</t>
  </si>
  <si>
    <t>m</t>
  </si>
  <si>
    <t>http://www.planete-sciences.org/espace/basedoc/</t>
  </si>
  <si>
    <t>Surface Réf.</t>
  </si>
  <si>
    <t>Angle</t>
  </si>
  <si>
    <t>Léo Côme</t>
  </si>
  <si>
    <t>Notes :</t>
  </si>
  <si>
    <t>Aucun (2e ét. inerte)</t>
  </si>
  <si>
    <t>z para</t>
  </si>
  <si>
    <t>z sat</t>
  </si>
  <si>
    <t>xz max</t>
  </si>
  <si>
    <t>t para</t>
  </si>
  <si>
    <t>x para</t>
  </si>
  <si>
    <t>t sat</t>
  </si>
  <si>
    <t>x sat</t>
  </si>
  <si>
    <t>Moteurs Rocketry-Challenge, bug Surface_parachute, Satellite, bug Ooo</t>
  </si>
  <si>
    <t>STABILITO</t>
  </si>
  <si>
    <t>Type</t>
  </si>
  <si>
    <t>XCp</t>
  </si>
  <si>
    <t>MpropuPlein</t>
  </si>
  <si>
    <t>XpropuPlein</t>
  </si>
  <si>
    <t>MpropuVide</t>
  </si>
  <si>
    <t>XpropuVide</t>
  </si>
  <si>
    <t>Longueur</t>
  </si>
  <si>
    <t>Diamètre</t>
  </si>
  <si>
    <t>Min</t>
  </si>
  <si>
    <t>Max</t>
  </si>
  <si>
    <t>Finesse</t>
  </si>
  <si>
    <t>Cnα</t>
  </si>
  <si>
    <t>MS /L</t>
  </si>
  <si>
    <t>English</t>
  </si>
  <si>
    <t>X longi</t>
  </si>
  <si>
    <t>Y latéral</t>
  </si>
  <si>
    <t>- Y latéral</t>
  </si>
  <si>
    <t>Pointe</t>
  </si>
  <si>
    <t>Ogive</t>
  </si>
  <si>
    <t>chmt1 pt1</t>
  </si>
  <si>
    <t>chmt1 pt2</t>
  </si>
  <si>
    <t>chmt2 pt1</t>
  </si>
  <si>
    <t>chmt2 pt2</t>
  </si>
  <si>
    <t>culot</t>
  </si>
  <si>
    <t>aileron pt1</t>
  </si>
  <si>
    <t>aileron pt2</t>
  </si>
  <si>
    <t>aileron pt3</t>
  </si>
  <si>
    <t>aileron pt4</t>
  </si>
  <si>
    <t>Xcg plein</t>
  </si>
  <si>
    <t>Xcg vide</t>
  </si>
  <si>
    <t>Xcp</t>
  </si>
  <si>
    <t>canard pt1</t>
  </si>
  <si>
    <t>canard pt2</t>
  </si>
  <si>
    <t>canard pt3</t>
  </si>
  <si>
    <t>canard pt4</t>
  </si>
  <si>
    <t>masquage pt1</t>
  </si>
  <si>
    <t>masquage pt2</t>
  </si>
  <si>
    <t>masquage pt3</t>
  </si>
  <si>
    <t>masquage pt4</t>
  </si>
  <si>
    <t>cadre</t>
  </si>
  <si>
    <t>propu pt1</t>
  </si>
  <si>
    <t>propu pt2</t>
  </si>
  <si>
    <t>propu pt3</t>
  </si>
  <si>
    <t>propu pt4</t>
  </si>
  <si>
    <t>propu pt5</t>
  </si>
  <si>
    <t>MS (X)</t>
  </si>
  <si>
    <t>Cna (Y)</t>
  </si>
  <si>
    <t>2002-2007</t>
  </si>
  <si>
    <t>Stabilito V1.x</t>
  </si>
  <si>
    <t>Stabilito V2.0</t>
  </si>
  <si>
    <t>Stabilito V2.1</t>
  </si>
  <si>
    <t>Stabilito V2.2</t>
  </si>
  <si>
    <t>Trajecto V1.x</t>
  </si>
  <si>
    <t>Trajecto V2.x</t>
  </si>
  <si>
    <t>Trajecto V2.4</t>
  </si>
  <si>
    <t>Trajecto V2.5</t>
  </si>
  <si>
    <t>OpenOffice Calc</t>
  </si>
  <si>
    <t>µ-propu A8-3</t>
  </si>
  <si>
    <t>µ-propu B4-4</t>
  </si>
  <si>
    <t>µ-propu C6-3</t>
  </si>
  <si>
    <t>ISP</t>
  </si>
  <si>
    <t>I_total</t>
  </si>
  <si>
    <t>I_total_i (en N.s)</t>
  </si>
  <si>
    <t>Micro</t>
  </si>
  <si>
    <t>Fusex</t>
  </si>
  <si>
    <t>Mini</t>
  </si>
  <si>
    <t>0 satellite</t>
  </si>
  <si>
    <t>1 satellite</t>
  </si>
  <si>
    <t>http://creativecommons.org/licenses/by-sa/3.0/</t>
  </si>
  <si>
    <t>VL4</t>
  </si>
  <si>
    <t>Vsortie de rampe (&gt; 18 m/s)</t>
  </si>
  <si>
    <t>10 &lt; finesse &lt; 20</t>
  </si>
  <si>
    <t>15 &lt; Cn &lt; 30</t>
  </si>
  <si>
    <t>30 &lt; Ms x Cn &lt; 100</t>
  </si>
  <si>
    <t>RC1</t>
  </si>
  <si>
    <t>5 &lt; Vc &lt; 15 m/s</t>
  </si>
  <si>
    <t>RC2</t>
  </si>
  <si>
    <t>Temps de retard ralentisseur</t>
  </si>
  <si>
    <t>RC5</t>
  </si>
  <si>
    <t>Portée balistique (m)</t>
  </si>
  <si>
    <t>Temps de vol avec parachute (s)</t>
  </si>
  <si>
    <t>Culmination</t>
  </si>
  <si>
    <t>Accélération max (m/s²)</t>
  </si>
  <si>
    <t>Vmax (m/s)</t>
  </si>
  <si>
    <t>Altitude (m)</t>
  </si>
  <si>
    <t>Temps (s)</t>
  </si>
  <si>
    <t>Vitesse (m/s)</t>
  </si>
  <si>
    <t>Inclinaison</t>
  </si>
  <si>
    <t>Longueur totale</t>
  </si>
  <si>
    <t>Longueur rampe</t>
  </si>
  <si>
    <t>Epaisseur ailerons</t>
  </si>
  <si>
    <t>Nombre ailerons</t>
  </si>
  <si>
    <t>Type d'ogive</t>
  </si>
  <si>
    <t>Longueur ogive "l"</t>
  </si>
  <si>
    <t>Haut du propu "Prop"</t>
  </si>
  <si>
    <t>Diamètre "D"</t>
  </si>
  <si>
    <t>Position ailerons "L"</t>
  </si>
  <si>
    <t>M</t>
  </si>
  <si>
    <t>Microsoft Excel 2003 ou +</t>
  </si>
  <si>
    <t>s</t>
  </si>
  <si>
    <t>m/s</t>
  </si>
  <si>
    <t>°</t>
  </si>
  <si>
    <t>Transition A</t>
  </si>
  <si>
    <t>Transition B</t>
  </si>
  <si>
    <t>Jaune</t>
  </si>
  <si>
    <t>conique</t>
  </si>
  <si>
    <t>ogive</t>
  </si>
  <si>
    <t>parabole</t>
  </si>
  <si>
    <t>env pt4</t>
  </si>
  <si>
    <t>flèche pt2</t>
  </si>
  <si>
    <t>saumon pt3</t>
  </si>
  <si>
    <t>flèche milieu</t>
  </si>
  <si>
    <t>env milieu</t>
  </si>
  <si>
    <t>saumon milieu</t>
  </si>
  <si>
    <t>empl milieu</t>
  </si>
  <si>
    <t>empl pt4</t>
  </si>
  <si>
    <t>MS milieu</t>
  </si>
  <si>
    <t>MS Xcp</t>
  </si>
  <si>
    <t>1s</t>
  </si>
  <si>
    <t>t/T</t>
  </si>
  <si>
    <t>z/Z</t>
  </si>
  <si>
    <t>vertical</t>
  </si>
  <si>
    <t>horizontal</t>
  </si>
  <si>
    <t>flèches</t>
  </si>
  <si>
    <t>StabTraj</t>
  </si>
  <si>
    <t>StabTraj V3.0</t>
  </si>
  <si>
    <t>Trajecto</t>
  </si>
  <si>
    <t>µ-propu</t>
  </si>
  <si>
    <t>Minif</t>
  </si>
  <si>
    <t xml:space="preserve"> </t>
  </si>
  <si>
    <t>Événements</t>
  </si>
  <si>
    <t>Sous-échantillon 1Hz</t>
  </si>
  <si>
    <t>pos_x</t>
  </si>
  <si>
    <t>pos_z</t>
  </si>
  <si>
    <t>pos_xz</t>
  </si>
  <si>
    <t>vit_x</t>
  </si>
  <si>
    <t>vit_z</t>
  </si>
  <si>
    <t>vit_xz</t>
  </si>
  <si>
    <t>acc_x</t>
  </si>
  <si>
    <t>acc_z</t>
  </si>
  <si>
    <t>acc_xz</t>
  </si>
  <si>
    <t>Donneés au format des fiches de contrôles Fusex :</t>
  </si>
  <si>
    <t>Diamètre max</t>
  </si>
  <si>
    <t>Envergure totale</t>
  </si>
  <si>
    <t>sans</t>
  </si>
  <si>
    <t>vide</t>
  </si>
  <si>
    <t>plein</t>
  </si>
  <si>
    <t>Masse</t>
  </si>
  <si>
    <t>STAB 1</t>
  </si>
  <si>
    <t>STAB 2</t>
  </si>
  <si>
    <t>STAB 3</t>
  </si>
  <si>
    <t>STAB 4</t>
  </si>
  <si>
    <t>STAB 5</t>
  </si>
  <si>
    <t>Vsortie de rampe (&gt; 20 m/s)</t>
  </si>
  <si>
    <t>10 &lt; finesse &lt; 35</t>
  </si>
  <si>
    <t>15 &lt; Portance &lt; 40</t>
  </si>
  <si>
    <t>2*D &lt; Ms &lt; 6*D</t>
  </si>
  <si>
    <t>40 &lt; Ms x Cn &lt; 100</t>
  </si>
  <si>
    <t>Maître couple (m²)</t>
  </si>
  <si>
    <t>Site</t>
  </si>
  <si>
    <t>Temps balistique (s)</t>
  </si>
  <si>
    <t>Temps culmi (s)</t>
  </si>
  <si>
    <t>Altitude culmi (m)</t>
  </si>
  <si>
    <t>Vitesse culmi (m/s)</t>
  </si>
  <si>
    <t>CdG</t>
  </si>
  <si>
    <t>Diamètre max (40à200)</t>
  </si>
  <si>
    <t>Envergure totale &lt;720</t>
  </si>
  <si>
    <t>Masse &lt;15</t>
  </si>
  <si>
    <t>Pensez à modifier l'inclinaison pour avoir les 2 valeurs.</t>
  </si>
  <si>
    <t>Resist long aileron</t>
  </si>
  <si>
    <t>Resist transv aileron</t>
  </si>
  <si>
    <t>Compression 2.Acc.M</t>
  </si>
  <si>
    <t>N</t>
  </si>
  <si>
    <t>kg</t>
  </si>
  <si>
    <t>Surface aileron (m²)</t>
  </si>
  <si>
    <t>Masse aileron (kg)</t>
  </si>
  <si>
    <t>T dépotage +/-2s /appogée</t>
  </si>
  <si>
    <t>REC 2</t>
  </si>
  <si>
    <t>SEQ 5</t>
  </si>
  <si>
    <t>CR 1</t>
  </si>
  <si>
    <t>CR 2</t>
  </si>
  <si>
    <t>MEC 3</t>
  </si>
  <si>
    <t>Vitesse à l'ouverture m/s</t>
  </si>
  <si>
    <t>Surface parachute m²</t>
  </si>
  <si>
    <t xml:space="preserve">Choc à l'ouverture   N </t>
  </si>
  <si>
    <t>Choc à l'ouverture   kg</t>
  </si>
  <si>
    <t>Compression porte</t>
  </si>
  <si>
    <t>Masse au-dessus porte</t>
  </si>
  <si>
    <t>REC 8</t>
  </si>
  <si>
    <t>rad</t>
  </si>
  <si>
    <t>kg/s</t>
  </si>
  <si>
    <t>Méthodes d'intégration maison</t>
  </si>
  <si>
    <t>Wikipedia</t>
  </si>
  <si>
    <t>Pour se limiter à 1000 lignes, pas variable (les transitions sont-elles rigoureuses ?).</t>
  </si>
  <si>
    <t>Le Vol de la Fusée</t>
  </si>
  <si>
    <t>Beeman (2nd order, explicit variant)</t>
  </si>
  <si>
    <t>Newmark-beta (with γ=1/2 &amp; β=1/4) (2nd order)</t>
  </si>
  <si>
    <t>Spécificités de notre problème (2nd order mechanical ODE) :</t>
  </si>
  <si>
    <t>Verlet (2-stage 2nd order, symplectic, explicit)</t>
  </si>
  <si>
    <t>Trajec 2.x utililse un mélange douteux de différentes méthodes :</t>
  </si>
  <si>
    <t>Méthodes d'intégration explicites officielles</t>
  </si>
  <si>
    <t>On peut anticiper la Poussée (force qui varie le +) et la masse.</t>
  </si>
  <si>
    <t>L'Acc dépend de la vitesse (et peu de la position).</t>
  </si>
  <si>
    <t>Semi-implicit Euler (1st order, symplectic) [§ "Euler modifié" dans Le Vol de La Fusée]</t>
  </si>
  <si>
    <t>Explicit Euler (1st order, non-symplectic) [RK1]</t>
  </si>
  <si>
    <t>Velocity Verlet, Leapfrog variant (2nd order, symplectic, explicit)</t>
  </si>
  <si>
    <t>Midpoint, Modified Euler (2nd order, explicit) [§ "RK2" dans Le Vol de La Fusée]</t>
  </si>
  <si>
    <t>Heun, Improved Euler (2-stage 2nd-order, explicit, predictor-corrector) [Trapezoidal] [RK2]</t>
  </si>
  <si>
    <t>Les méthodes symplectic (conserve l'énergie) gardent-elles leur avantage quand la masse varie (ph propu) ?</t>
  </si>
  <si>
    <t>Sous Excel, on a les pas précédent (linear multistep possible), mais ordre élevé ou implicite sont à exclure.</t>
  </si>
  <si>
    <t>Multi{sub}step (RK), linear multi{previous}step (ADAMS), predictor-corrector, implicit …</t>
  </si>
  <si>
    <t>Dynamique de la fusée (repère sol)</t>
  </si>
  <si>
    <t>Trajecto/StabTraj corrige l'erreur de Trajec sur Xn+1 en utilisant la vitesse moyenne :</t>
  </si>
  <si>
    <t>Idéalement, il serait préférable de tout calculer à n+0.5 (m, V, β, ρ).</t>
  </si>
  <si>
    <t>Checksum :</t>
  </si>
  <si>
    <t>M_éjecté</t>
  </si>
  <si>
    <t>M_burnout</t>
  </si>
  <si>
    <t>m_poudre</t>
  </si>
  <si>
    <t>Wapiti</t>
  </si>
  <si>
    <t>Cariacou</t>
  </si>
  <si>
    <t>H2O</t>
  </si>
  <si>
    <t>H2O 2.0L 400g 6bar</t>
  </si>
  <si>
    <t>H2O 2.0L 600g 6bar</t>
  </si>
  <si>
    <t>H2O 2.0L 800g 6bar</t>
  </si>
  <si>
    <t>H2O 2.0L 1000g 6bar</t>
  </si>
  <si>
    <t>ABACO</t>
  </si>
  <si>
    <t>Masse totale</t>
  </si>
  <si>
    <t>Traînée prop</t>
  </si>
  <si>
    <t>Traînée bal</t>
  </si>
  <si>
    <t>1/2.ρ.S.Cx</t>
  </si>
  <si>
    <t>M ph prop</t>
  </si>
  <si>
    <t>M ph bal</t>
  </si>
  <si>
    <t>alt_prop</t>
  </si>
  <si>
    <t>V_prop</t>
  </si>
  <si>
    <t>t_culmi</t>
  </si>
  <si>
    <t>D_var</t>
  </si>
  <si>
    <t>Q_var</t>
  </si>
  <si>
    <t>m_var</t>
  </si>
  <si>
    <t>m_prop</t>
  </si>
  <si>
    <t>m_bal</t>
  </si>
  <si>
    <t>a_prop</t>
  </si>
  <si>
    <t>b_prop</t>
  </si>
  <si>
    <t>b_bal</t>
  </si>
  <si>
    <t>Alt prop</t>
  </si>
  <si>
    <t>V max</t>
  </si>
  <si>
    <t>LibreOffice Calc 3.4 ou +</t>
  </si>
  <si>
    <t>alt_culmi</t>
  </si>
  <si>
    <t>x_triomphe</t>
  </si>
  <si>
    <t>z_triomphe</t>
  </si>
  <si>
    <t>Arc de triomphe</t>
  </si>
  <si>
    <t>z_Eiffel</t>
  </si>
  <si>
    <t>x_Eiffel</t>
  </si>
  <si>
    <t>Tour Eiffel</t>
  </si>
  <si>
    <t>H2O 1.5L 300g 6bar</t>
  </si>
  <si>
    <t>H2O 1.5L 450g 6bar</t>
  </si>
  <si>
    <t>H2O 1.5L 600g 6bar</t>
  </si>
  <si>
    <t>H2O 1.5L 750g 6bar</t>
  </si>
  <si>
    <t>FUSEX</t>
  </si>
  <si>
    <t>MINIF PRO29-1G</t>
  </si>
  <si>
    <t>MINIF PRO24-3G</t>
  </si>
  <si>
    <t>MINIF PRO29-2G</t>
  </si>
  <si>
    <t>MINIF PRO24-1G</t>
  </si>
  <si>
    <t>Pro98-2G WT</t>
  </si>
  <si>
    <t>Pro98-3G WT</t>
  </si>
  <si>
    <t>p24-1G 24E22</t>
  </si>
  <si>
    <t>p24-1G 26E31</t>
  </si>
  <si>
    <t>p24-3G 60F50</t>
  </si>
  <si>
    <t>p24-3G 68F79</t>
  </si>
  <si>
    <t>p24-3G 68F240</t>
  </si>
  <si>
    <t>p24-3G 73F30</t>
  </si>
  <si>
    <t>p24-3G 74F85</t>
  </si>
  <si>
    <t>p24-3G 75F51</t>
  </si>
  <si>
    <t>StabTraj V3.1</t>
  </si>
  <si>
    <t>StabTraj V3.2</t>
  </si>
  <si>
    <t>µ-propu C6-3 x2</t>
  </si>
  <si>
    <t>µ-propu C6-3 x3</t>
  </si>
  <si>
    <t>Propu : +RC &amp; +Tintin 2013 : 3 p24-1G, p24-3G 75F51 &amp; 60F50, Pro98-2G &amp; 3G WT</t>
  </si>
  <si>
    <t>Propu : +multi-µ-fu, -Wapiti, warning Cariacou, "Rufina"</t>
  </si>
  <si>
    <t>Donneés au format des fiches de lancement Fusex :</t>
  </si>
  <si>
    <t>Projet</t>
  </si>
  <si>
    <t>Chef de projet</t>
  </si>
  <si>
    <t>Date</t>
  </si>
  <si>
    <t>Moteur</t>
  </si>
  <si>
    <t>Virole</t>
  </si>
  <si>
    <t>MECANIQUE</t>
  </si>
  <si>
    <t xml:space="preserve">l = </t>
  </si>
  <si>
    <t xml:space="preserve">D = </t>
  </si>
  <si>
    <t>Dj =</t>
  </si>
  <si>
    <t xml:space="preserve">Dr = </t>
  </si>
  <si>
    <t xml:space="preserve">m = </t>
  </si>
  <si>
    <t>Epaisseur :</t>
  </si>
  <si>
    <t>Nb Aileron</t>
  </si>
  <si>
    <t>Type ogive</t>
  </si>
  <si>
    <t>ogivale</t>
  </si>
  <si>
    <t>parabolique</t>
  </si>
  <si>
    <t>X_plaque de poussée</t>
  </si>
  <si>
    <t>Masse fusée</t>
  </si>
  <si>
    <t>X_CdG</t>
  </si>
  <si>
    <t>Propu plein</t>
  </si>
  <si>
    <t>Sans propu</t>
  </si>
  <si>
    <t>Masse avec propu vide</t>
  </si>
  <si>
    <t>Simulation de vol</t>
  </si>
  <si>
    <t>Tenue mécanique</t>
  </si>
  <si>
    <t>masse d'un aileron</t>
  </si>
  <si>
    <t>superficie d'un aileron</t>
  </si>
  <si>
    <t>fleche acceptable(mm)</t>
  </si>
  <si>
    <t>compression</t>
  </si>
  <si>
    <t>Resistance longitudinale d'un aileron</t>
  </si>
  <si>
    <t>Resistance transversale d'un aileron</t>
  </si>
  <si>
    <t>Récupération</t>
  </si>
  <si>
    <t>Ralentisseur</t>
  </si>
  <si>
    <t>nombre de suspentes</t>
  </si>
  <si>
    <t>surface parachute</t>
  </si>
  <si>
    <t>force à tester totale</t>
  </si>
  <si>
    <t>force sur suspente</t>
  </si>
  <si>
    <t>Séparation latérale</t>
  </si>
  <si>
    <t>masse au dessus case para</t>
  </si>
  <si>
    <t>Force de compression</t>
  </si>
  <si>
    <t>MINIF PRO24-6G</t>
  </si>
  <si>
    <t>MINIF PRO38-1G</t>
  </si>
  <si>
    <t>p29-2G 84G88</t>
  </si>
  <si>
    <t>p29-2G 93G80</t>
  </si>
  <si>
    <t>p29-2G 110G250</t>
  </si>
  <si>
    <t>p29-2G 116G126</t>
  </si>
  <si>
    <t>p38-1G 137G58</t>
  </si>
  <si>
    <t>p38-1G 128G185</t>
  </si>
  <si>
    <t>p29-1G 41F36</t>
  </si>
  <si>
    <t>p29-1G 51F36</t>
  </si>
  <si>
    <t>p29-1G 55F29</t>
  </si>
  <si>
    <t>p29-1G 56F120</t>
  </si>
  <si>
    <t>p29-1G 57F59</t>
  </si>
  <si>
    <t>MINIF PRO29-3G</t>
  </si>
  <si>
    <t>p29-3G 125G131</t>
  </si>
  <si>
    <t>p38-1G 141G78</t>
  </si>
  <si>
    <t>MINIF PRO24-2G</t>
  </si>
  <si>
    <t>p24-2G 50E51</t>
  </si>
  <si>
    <t>p24-1G 53E70</t>
  </si>
  <si>
    <t>p29-3G 159G125</t>
  </si>
  <si>
    <t>Dépotage</t>
  </si>
  <si>
    <t>Combustion</t>
  </si>
  <si>
    <t>Sylvain Besson</t>
  </si>
  <si>
    <t>Minif Test</t>
  </si>
  <si>
    <t>Rocketry Challenge</t>
  </si>
  <si>
    <t>,Minif Tests</t>
  </si>
  <si>
    <t>MiniR</t>
  </si>
  <si>
    <t>MiniRN</t>
  </si>
  <si>
    <t>MiniN</t>
  </si>
  <si>
    <t>H20</t>
  </si>
  <si>
    <t>micro</t>
  </si>
  <si>
    <t>minif N</t>
  </si>
  <si>
    <t>Verification moteur</t>
  </si>
  <si>
    <t>Minif RC</t>
  </si>
  <si>
    <t>N/A</t>
  </si>
  <si>
    <t>T_para =</t>
  </si>
  <si>
    <t>-9</t>
  </si>
  <si>
    <t>-7</t>
  </si>
  <si>
    <t>-5</t>
  </si>
  <si>
    <t>-3</t>
  </si>
  <si>
    <t>-0</t>
  </si>
  <si>
    <t>Délais dépotage</t>
  </si>
  <si>
    <t>Propu : +ProX, Stabilito : séparation minif/RC, Trajecto : dépotage +rampe RC 3m</t>
  </si>
  <si>
    <t>StabTraj V3.3a</t>
  </si>
  <si>
    <t>p24-1G 25E75 (Rufina)</t>
  </si>
  <si>
    <t>Modification des alertes, +Effort subit par les parachutes</t>
  </si>
  <si>
    <t>Pour prendre en compte plsu de moteurs, il faut changer les variables "menu_type" et "liste"propu" dans le gestionnaire de noms.</t>
  </si>
  <si>
    <t>StabTraj V3.3e</t>
  </si>
  <si>
    <t>Efforts</t>
  </si>
  <si>
    <t>Xcp0</t>
  </si>
  <si>
    <t>sans propu</t>
  </si>
  <si>
    <t>Mono-empennage</t>
  </si>
  <si>
    <t>Bi-empennage</t>
  </si>
  <si>
    <t>Portée balistique &lt; 200 m</t>
  </si>
  <si>
    <t>Indication dépotage lanceur</t>
  </si>
  <si>
    <t>~0 m</t>
  </si>
  <si>
    <t>Données au format des fiches de contrôles minif :</t>
  </si>
  <si>
    <t xml:space="preserve">n = </t>
  </si>
  <si>
    <t xml:space="preserve">E = </t>
  </si>
  <si>
    <t xml:space="preserve">p = </t>
  </si>
  <si>
    <t>1,5.D &lt; Ms &lt; 6.D</t>
  </si>
  <si>
    <t xml:space="preserve">ailrons haut </t>
  </si>
  <si>
    <t>nombre</t>
  </si>
  <si>
    <t xml:space="preserve">ep = </t>
  </si>
  <si>
    <t>Fusée</t>
  </si>
  <si>
    <t>D</t>
  </si>
  <si>
    <t>L ogive</t>
  </si>
  <si>
    <t>L tot</t>
  </si>
  <si>
    <t>X prop</t>
  </si>
  <si>
    <t>Ailerons</t>
  </si>
  <si>
    <t>n</t>
  </si>
  <si>
    <t>p</t>
  </si>
  <si>
    <t>E</t>
  </si>
  <si>
    <t>X ail</t>
  </si>
  <si>
    <t>Bi empennage</t>
  </si>
  <si>
    <t>L</t>
  </si>
  <si>
    <t>D 1</t>
  </si>
  <si>
    <t>D 2</t>
  </si>
  <si>
    <t>X</t>
  </si>
  <si>
    <t>X cg (sans)</t>
  </si>
  <si>
    <t>(mm)</t>
  </si>
  <si>
    <t>Masse sans propu (kg)</t>
  </si>
  <si>
    <t>Couleur de la fusée</t>
  </si>
  <si>
    <t>Type d'éjection du para.</t>
  </si>
  <si>
    <t>Couleur du ralentisseur</t>
  </si>
  <si>
    <t>Surface ralentisseur (m²)</t>
  </si>
  <si>
    <t>Masse sans prop. (kg)</t>
  </si>
  <si>
    <t>Diamètre max (mm)</t>
  </si>
  <si>
    <t>Longeur de la rampe (m)</t>
  </si>
  <si>
    <t>Propulseur</t>
  </si>
  <si>
    <t>module rocket(){</t>
  </si>
  <si>
    <t>}</t>
  </si>
  <si>
    <t>//--------------------------------coiffe</t>
  </si>
  <si>
    <t>if (coiffe_type   == "conique"){</t>
  </si>
  <si>
    <t>//--------------------------------corps</t>
  </si>
  <si>
    <t>if (plusieur_diametres == false){</t>
  </si>
  <si>
    <t>} else {</t>
  </si>
  <si>
    <t>//--------------------------------ailerons</t>
  </si>
  <si>
    <t>aileron(coiffe_diametre, aileron_m_emplature,</t>
  </si>
  <si>
    <t xml:space="preserve"> aileron_position_bas);</t>
  </si>
  <si>
    <t>if (bi_empennage == true){</t>
  </si>
  <si>
    <t xml:space="preserve"> aileron_sup_nombre,</t>
  </si>
  <si>
    <t>rocket();</t>
  </si>
  <si>
    <t xml:space="preserve">	module aileron(diam, m, n, p, e, ep, nb, pos, masque = true){</t>
  </si>
  <si>
    <t xml:space="preserve"> 		depha =   masque ? 0 : 45 ;</t>
  </si>
  <si>
    <t xml:space="preserve">		for (angle = [0 : 360/nb : 360] ){</t>
  </si>
  <si>
    <t xml:space="preserve">			translate ([-diam*sin(angle+depha), diam*cos(angle+depha), pos-m]) {</t>
  </si>
  <si>
    <t xml:space="preserve">				rotate( [0, 0, angle+depha] ){</t>
  </si>
  <si>
    <t xml:space="preserve">	</t>
  </si>
  <si>
    <t xml:space="preserve">					polyhedron</t>
  </si>
  <si>
    <t xml:space="preserve">						(points = [</t>
  </si>
  <si>
    <t xml:space="preserve">							[+ep, 0, 0], [+ep, 0, m], [+ep, e, p+n],  [+ep, e, p],</t>
  </si>
  <si>
    <t xml:space="preserve">							[-ep, 0, 0], [-ep, 0, m], [-ep, e, p+n],  [-ep, e, p]</t>
  </si>
  <si>
    <t xml:space="preserve">							],</t>
  </si>
  <si>
    <t xml:space="preserve">						triangles = [</t>
  </si>
  <si>
    <t xml:space="preserve">							[0, 2, 1], [0, 2, 3], //carre +</t>
  </si>
  <si>
    <t xml:space="preserve">							[4, 6, 5], [4, 6, 7], //carre -</t>
  </si>
  <si>
    <t xml:space="preserve">							[0, 5, 1], [0, 5, 4],</t>
  </si>
  <si>
    <t xml:space="preserve">							[1, 6, 2], [1, 6, 5],</t>
  </si>
  <si>
    <t xml:space="preserve">							[2, 7, 3], [2, 7, 6],</t>
  </si>
  <si>
    <t xml:space="preserve">							[0, 7, 3], [0, 7, 4]</t>
  </si>
  <si>
    <t xml:space="preserve">							]</t>
  </si>
  <si>
    <t xml:space="preserve">						);</t>
  </si>
  <si>
    <t xml:space="preserve">				}</t>
  </si>
  <si>
    <t xml:space="preserve">			}</t>
  </si>
  <si>
    <t xml:space="preserve">		}</t>
  </si>
  <si>
    <t xml:space="preserve">	}	</t>
  </si>
  <si>
    <t xml:space="preserve">	module coiffe(diam, hauteur, resolution = 20.0){</t>
  </si>
  <si>
    <t xml:space="preserve">		pas = hauteur/resolution;</t>
  </si>
  <si>
    <t xml:space="preserve">		for (x = [0: pas : hauteur] ){</t>
  </si>
  <si>
    <t xml:space="preserve">			translate( [0, 0, x+pas] ){</t>
  </si>
  <si>
    <t xml:space="preserve">				cylinder(pas, pow(x, 1.0/2.0), pow(x+pas, 1.0/2.0), false);</t>
  </si>
  <si>
    <t xml:space="preserve">	}</t>
  </si>
  <si>
    <t xml:space="preserve">	cylinder(coiffe_hauteur, 0, coiffe_diametre, false);</t>
  </si>
  <si>
    <t xml:space="preserve">	translate ([0, 0, coiffe_hauteur]) {</t>
  </si>
  <si>
    <t xml:space="preserve">		cylinder(longeur_total-coiffe_hauteur, coiffe_diametre, coiffe_diametre, false);</t>
  </si>
  <si>
    <t xml:space="preserve">	//Premier cylindre</t>
  </si>
  <si>
    <t xml:space="preserve">		cylinder(diam_A_X_implantation-coiffe_hauteur, coiffe_diametre, coiffe_diametre, false);</t>
  </si>
  <si>
    <t xml:space="preserve">	//Premier chanvrin</t>
  </si>
  <si>
    <t xml:space="preserve">	translate ([0, 0, diam_A_X_implantation]) {</t>
  </si>
  <si>
    <t xml:space="preserve">		cylinder(diam_A_L_longeur, diam_A_D1_diametre, diam_A_D2_diametre, false);</t>
  </si>
  <si>
    <t xml:space="preserve">		</t>
  </si>
  <si>
    <t xml:space="preserve">	//Second cylindre</t>
  </si>
  <si>
    <t xml:space="preserve">	translate ([0, 0, diam_A_X_implantation+diam_A_L_longeur]) {</t>
  </si>
  <si>
    <t xml:space="preserve">		cylinder(diam_B_X_implantation-(diam_A_X_implantation+diam_A_L_longeur), diam_A_D2_diametre, diam_B_D1_diametre, false);</t>
  </si>
  <si>
    <t xml:space="preserve">	//Second chanvrin</t>
  </si>
  <si>
    <t xml:space="preserve">	translate ([0, 0, diam_B_X_implantation]) {</t>
  </si>
  <si>
    <t xml:space="preserve">		cylinder(diam_B_L_longeur, diam_B_D1_diametre, diam_B_D2_diametre, false);</t>
  </si>
  <si>
    <t xml:space="preserve">	//Troisieme cylindre</t>
  </si>
  <si>
    <t xml:space="preserve">	translate ([0, 0, diam_B_X_implantation + diam_B_L_longeur]) {</t>
  </si>
  <si>
    <t xml:space="preserve">		cylinder(longeur_total-(diam_B_X_implantation + diam_B_L_longeur), diam_B_D2_diametre, diam_B_D2_diametre, false);</t>
  </si>
  <si>
    <t xml:space="preserve">	 aileron_n_saumon, </t>
  </si>
  <si>
    <t xml:space="preserve">	 aileron_p_fleche,</t>
  </si>
  <si>
    <t xml:space="preserve">	 aileron_e_envergure,</t>
  </si>
  <si>
    <t xml:space="preserve">	 aileron_epaisseur,</t>
  </si>
  <si>
    <t xml:space="preserve">	 aileron_nombre,</t>
  </si>
  <si>
    <t xml:space="preserve">	aileron(coiffe_diametre, aileron_sup_m_emplature,</t>
  </si>
  <si>
    <t xml:space="preserve">	 aileron_sup_n_saumon,</t>
  </si>
  <si>
    <t xml:space="preserve">	 aileron_sup_p_fleche,</t>
  </si>
  <si>
    <t xml:space="preserve">	 aileron_sup_e_envergure,</t>
  </si>
  <si>
    <t xml:space="preserve">	 aileron_sup_epaisseur,</t>
  </si>
  <si>
    <t xml:space="preserve">	 aileron_sup_position_bas,</t>
  </si>
  <si>
    <t xml:space="preserve">	 aileron_sup_masque);</t>
  </si>
  <si>
    <t>p24-6G 140G145 PK</t>
  </si>
  <si>
    <t>p24-6G 139G107 DT</t>
  </si>
  <si>
    <t>p24-6G 142G117 WT</t>
  </si>
  <si>
    <t>Klima D9-7 x2</t>
  </si>
  <si>
    <t>Klima D9-7 x3</t>
  </si>
  <si>
    <t>Klima D9-7</t>
  </si>
  <si>
    <t>StabTraj V3.4.1</t>
  </si>
  <si>
    <t>Propu : +Klima D9</t>
  </si>
  <si>
    <t>v3.4.2</t>
  </si>
  <si>
    <t>p29-1G 56F31</t>
  </si>
  <si>
    <t xml:space="preserve"> 143G150 BS</t>
  </si>
  <si>
    <t>StabTraj V3.4.2</t>
  </si>
  <si>
    <t>Ajout propu</t>
  </si>
  <si>
    <t>Pandora (Pro24-6G BS)</t>
  </si>
  <si>
    <t>Barasinga (Pro54-5G C)</t>
  </si>
  <si>
    <t>Orignal (Pro75-3G C)</t>
  </si>
  <si>
    <t>Blastocerus (Pro98-6GXL RL)</t>
  </si>
  <si>
    <t>Minifusée</t>
  </si>
  <si>
    <t>rose</t>
  </si>
  <si>
    <t>gris/rouge</t>
  </si>
  <si>
    <t>Conique (droite)</t>
  </si>
  <si>
    <t>Plusieurs diamètres.</t>
  </si>
  <si>
    <t>SP-02-beta</t>
  </si>
  <si>
    <t>l'AeroIPSA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</si>
</sst>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3">
    <numFmt numFmtId="164" formatCode="General&quot; kg&quot;"/>
    <numFmt numFmtId="165" formatCode="0.0"/>
    <numFmt numFmtId="166" formatCode="0.000000&quot; m²&quot;"/>
    <numFmt numFmtId="167" formatCode="General&quot; m&quot;"/>
    <numFmt numFmtId="168" formatCode="General&quot; °&quot;"/>
    <numFmt numFmtId="169" formatCode="0.000"/>
    <numFmt numFmtId="170" formatCode="General&quot; s&quot;"/>
    <numFmt numFmtId="171" formatCode="General&quot; m²&quot;"/>
    <numFmt numFmtId="172" formatCode="0&quot; m/s&quot;"/>
    <numFmt numFmtId="173" formatCode="0&quot; s&quot;"/>
    <numFmt numFmtId="174" formatCode="General&quot; m/s&quot;"/>
    <numFmt numFmtId="175" formatCode="0&quot; m&quot;"/>
    <numFmt numFmtId="176" formatCode="General\ &quot;kg&quot;"/>
    <numFmt numFmtId="177" formatCode="General\ &quot;mm&quot;"/>
    <numFmt numFmtId="178" formatCode="0&quot; mm&quot;"/>
    <numFmt numFmtId="179" formatCode="General\ &quot;D&quot;"/>
    <numFmt numFmtId="180" formatCode="0.00&quot; D&quot;"/>
    <numFmt numFmtId="181" formatCode="0&quot;% L&quot;"/>
    <numFmt numFmtId="182" formatCode="General\°"/>
    <numFmt numFmtId="183" formatCode="0.#"/>
    <numFmt numFmtId="184" formatCode="0.0&quot; N.s&quot;"/>
    <numFmt numFmtId="185" formatCode="\±\ 0&quot; m&quot;"/>
    <numFmt numFmtId="186" formatCode="0.0&quot; s&quot;"/>
    <numFmt numFmtId="187" formatCode="0.0&quot; m/s&quot;"/>
    <numFmt numFmtId="188" formatCode="0&quot; m/s²&quot;"/>
    <numFmt numFmtId="189" formatCode="0.00&quot; m²&quot;"/>
    <numFmt numFmtId="190" formatCode="General\ &quot;g&quot;"/>
    <numFmt numFmtId="191" formatCode="#,##0.0\ [$ N]"/>
    <numFmt numFmtId="192" formatCode="#,##0.000\ [$KG]"/>
    <numFmt numFmtId="193" formatCode="0.0&quot; mm&quot;"/>
    <numFmt numFmtId="194" formatCode="General&quot; kg ±100%&quot;"/>
    <numFmt numFmtId="195" formatCode="0&quot; mm ±50%&quot;"/>
    <numFmt numFmtId="196" formatCode="General\ &quot;m/s²&quot;"/>
    <numFmt numFmtId="197" formatCode="&quot;Ø = &quot;0&quot; mm&quot;"/>
    <numFmt numFmtId="198" formatCode="#,##0\ [$ mm²]"/>
    <numFmt numFmtId="199" formatCode="#,#00\ [$ mm]"/>
    <numFmt numFmtId="200" formatCode="#,##0\ [$mm]"/>
    <numFmt numFmtId="201" formatCode="#,##0.00000\ [$ m²]"/>
    <numFmt numFmtId="202" formatCode="#,##0.0\ [$ kg]"/>
    <numFmt numFmtId="203" formatCode="0.00&quot; s&quot;"/>
    <numFmt numFmtId="204" formatCode="0.0&quot; N&quot;"/>
    <numFmt numFmtId="205" formatCode="0&quot; J&quot;"/>
    <numFmt numFmtId="206" formatCode="0&quot; G&quot;"/>
  </numFmts>
  <fonts count="5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2"/>
      <name val="Times New Roman"/>
      <family val="1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10"/>
      <name val="Tahoma"/>
      <family val="2"/>
    </font>
    <font>
      <i/>
      <sz val="8"/>
      <color indexed="10"/>
      <name val="Tahoma"/>
      <family val="2"/>
    </font>
    <font>
      <b/>
      <u/>
      <sz val="8"/>
      <color indexed="8"/>
      <name val="Tahoma"/>
      <family val="2"/>
    </font>
    <font>
      <b/>
      <sz val="8"/>
      <color indexed="16"/>
      <name val="Tahoma"/>
      <family val="2"/>
    </font>
    <font>
      <i/>
      <sz val="8"/>
      <color indexed="16"/>
      <name val="Tahoma"/>
      <family val="2"/>
    </font>
    <font>
      <strike/>
      <sz val="10"/>
      <name val="Arial"/>
      <family val="2"/>
    </font>
    <font>
      <b/>
      <i/>
      <sz val="8"/>
      <color indexed="8"/>
      <name val="Tahoma"/>
      <family val="2"/>
    </font>
    <font>
      <b/>
      <sz val="10"/>
      <color indexed="23"/>
      <name val="Arial"/>
      <family val="2"/>
    </font>
    <font>
      <b/>
      <sz val="6"/>
      <name val="Arial"/>
      <family val="2"/>
    </font>
    <font>
      <sz val="8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Tahoma"/>
      <family val="2"/>
    </font>
    <font>
      <i/>
      <sz val="8"/>
      <color indexed="12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0"/>
      <color indexed="53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sz val="8"/>
      <color rgb="FF808080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8"/>
      <color rgb="FF000000"/>
      <name val="Tahoma"/>
      <family val="2"/>
    </font>
    <font>
      <b/>
      <i/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27"/>
      </patternFill>
    </fill>
    <fill>
      <patternFill patternType="solid">
        <fgColor indexed="44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47"/>
        <bgColor indexed="4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44"/>
      </patternFill>
    </fill>
    <fill>
      <patternFill patternType="solid">
        <fgColor indexed="26"/>
        <bgColor indexed="41"/>
      </patternFill>
    </fill>
    <fill>
      <patternFill patternType="solid">
        <fgColor indexed="42"/>
        <b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CFFFF"/>
        <bgColor indexed="41"/>
      </patternFill>
    </fill>
    <fill>
      <patternFill patternType="solid">
        <fgColor rgb="FF99CCFF"/>
        <bgColor indexed="31"/>
      </patternFill>
    </fill>
    <fill>
      <patternFill patternType="solid">
        <fgColor rgb="FFCCFFFF"/>
        <bgColor indexed="42"/>
      </patternFill>
    </fill>
    <fill>
      <patternFill patternType="solid">
        <fgColor rgb="FFCCFFCC"/>
        <bgColor indexed="42"/>
      </patternFill>
    </fill>
    <fill>
      <patternFill patternType="solid">
        <fgColor rgb="FFCCFFCC"/>
        <bgColor indexed="41"/>
      </patternFill>
    </fill>
    <fill>
      <patternFill patternType="solid">
        <fgColor rgb="FFFFCC99"/>
        <bgColor indexed="31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42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42"/>
      </patternFill>
    </fill>
  </fills>
  <borders count="103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57"/>
      </left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18"/>
      </left>
      <right/>
      <top style="thick">
        <color indexed="18"/>
      </top>
      <bottom style="thick">
        <color indexed="18"/>
      </bottom>
      <diagonal/>
    </border>
    <border>
      <left/>
      <right style="thick">
        <color indexed="18"/>
      </right>
      <top style="thick">
        <color indexed="18"/>
      </top>
      <bottom style="thick">
        <color indexed="18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2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23"/>
      </top>
      <bottom style="thin">
        <color indexed="8"/>
      </bottom>
      <diagonal/>
    </border>
    <border>
      <left/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" fillId="0" borderId="0"/>
  </cellStyleXfs>
  <cellXfs count="67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9" fillId="0" borderId="0" xfId="0" applyFont="1"/>
    <xf numFmtId="0" fontId="10" fillId="0" borderId="0" xfId="1" applyNumberFormat="1" applyFill="1" applyBorder="1" applyAlignment="1" applyProtection="1"/>
    <xf numFmtId="14" fontId="0" fillId="0" borderId="0" xfId="0" applyNumberFormat="1" applyAlignment="1">
      <alignment horizontal="left"/>
    </xf>
    <xf numFmtId="171" fontId="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2" fillId="0" borderId="3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center"/>
    </xf>
    <xf numFmtId="0" fontId="15" fillId="0" borderId="4" xfId="2" applyFont="1" applyBorder="1" applyProtection="1">
      <protection hidden="1"/>
    </xf>
    <xf numFmtId="0" fontId="1" fillId="0" borderId="5" xfId="2" applyBorder="1"/>
    <xf numFmtId="0" fontId="2" fillId="0" borderId="0" xfId="2" applyFont="1"/>
    <xf numFmtId="0" fontId="2" fillId="0" borderId="6" xfId="2" applyFont="1" applyBorder="1"/>
    <xf numFmtId="0" fontId="15" fillId="0" borderId="0" xfId="2" applyFont="1" applyProtection="1">
      <protection hidden="1"/>
    </xf>
    <xf numFmtId="0" fontId="1" fillId="0" borderId="7" xfId="2" applyBorder="1"/>
    <xf numFmtId="0" fontId="4" fillId="0" borderId="0" xfId="2" applyFont="1"/>
    <xf numFmtId="0" fontId="2" fillId="0" borderId="7" xfId="2" applyFont="1" applyBorder="1"/>
    <xf numFmtId="0" fontId="2" fillId="0" borderId="0" xfId="2" applyFont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0" fontId="16" fillId="0" borderId="0" xfId="2" applyFont="1"/>
    <xf numFmtId="0" fontId="2" fillId="0" borderId="0" xfId="2" applyFont="1" applyProtection="1">
      <protection hidden="1"/>
    </xf>
    <xf numFmtId="0" fontId="15" fillId="4" borderId="8" xfId="2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4" borderId="2" xfId="2" applyFont="1" applyFill="1" applyBorder="1" applyAlignment="1" applyProtection="1">
      <alignment horizontal="center"/>
      <protection locked="0"/>
    </xf>
    <xf numFmtId="0" fontId="16" fillId="0" borderId="0" xfId="2" applyFont="1" applyProtection="1">
      <protection hidden="1"/>
    </xf>
    <xf numFmtId="0" fontId="15" fillId="0" borderId="0" xfId="2" applyFont="1"/>
    <xf numFmtId="14" fontId="15" fillId="0" borderId="0" xfId="2" applyNumberFormat="1" applyFont="1" applyAlignment="1" applyProtection="1">
      <alignment horizontal="center"/>
      <protection hidden="1"/>
    </xf>
    <xf numFmtId="0" fontId="2" fillId="0" borderId="9" xfId="2" applyFont="1" applyBorder="1"/>
    <xf numFmtId="0" fontId="2" fillId="0" borderId="10" xfId="2" applyFont="1" applyBorder="1" applyAlignment="1" applyProtection="1">
      <alignment horizontal="center"/>
      <protection locked="0"/>
    </xf>
    <xf numFmtId="0" fontId="2" fillId="0" borderId="10" xfId="2" applyFont="1" applyBorder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5" fillId="0" borderId="0" xfId="0" applyFont="1"/>
    <xf numFmtId="0" fontId="26" fillId="0" borderId="0" xfId="0" applyFont="1"/>
    <xf numFmtId="14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169" fontId="0" fillId="0" borderId="0" xfId="0" applyNumberFormat="1" applyAlignment="1" applyProtection="1">
      <alignment vertical="center"/>
      <protection hidden="1"/>
    </xf>
    <xf numFmtId="164" fontId="0" fillId="3" borderId="11" xfId="0" applyNumberFormat="1" applyFill="1" applyBorder="1" applyAlignment="1">
      <alignment horizontal="center"/>
    </xf>
    <xf numFmtId="178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5" fillId="0" borderId="10" xfId="2" applyFont="1" applyBorder="1" applyProtection="1">
      <protection locked="0"/>
    </xf>
    <xf numFmtId="0" fontId="10" fillId="0" borderId="0" xfId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2" fontId="2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/>
    </xf>
    <xf numFmtId="0" fontId="0" fillId="0" borderId="0" xfId="2" applyFont="1" applyAlignment="1" applyProtection="1">
      <alignment horizontal="center"/>
      <protection hidden="1"/>
    </xf>
    <xf numFmtId="0" fontId="8" fillId="0" borderId="4" xfId="2" applyFont="1" applyBorder="1"/>
    <xf numFmtId="0" fontId="8" fillId="0" borderId="0" xfId="2" applyFont="1"/>
    <xf numFmtId="0" fontId="8" fillId="0" borderId="0" xfId="2" applyFont="1" applyProtection="1">
      <protection hidden="1"/>
    </xf>
    <xf numFmtId="0" fontId="8" fillId="0" borderId="10" xfId="2" applyFont="1" applyBorder="1" applyProtection="1">
      <protection locked="0"/>
    </xf>
    <xf numFmtId="0" fontId="8" fillId="0" borderId="0" xfId="2" applyFont="1" applyAlignment="1" applyProtection="1">
      <alignment horizontal="center"/>
      <protection hidden="1"/>
    </xf>
    <xf numFmtId="1" fontId="8" fillId="0" borderId="0" xfId="2" applyNumberFormat="1" applyFont="1" applyAlignment="1" applyProtection="1">
      <alignment horizontal="center"/>
      <protection hidden="1"/>
    </xf>
    <xf numFmtId="0" fontId="31" fillId="0" borderId="0" xfId="2" applyFont="1"/>
    <xf numFmtId="0" fontId="0" fillId="0" borderId="0" xfId="0" applyProtection="1">
      <protection locked="0"/>
    </xf>
    <xf numFmtId="165" fontId="2" fillId="5" borderId="14" xfId="2" applyNumberFormat="1" applyFont="1" applyFill="1" applyBorder="1" applyAlignment="1">
      <alignment horizontal="center"/>
    </xf>
    <xf numFmtId="180" fontId="2" fillId="5" borderId="2" xfId="2" applyNumberFormat="1" applyFont="1" applyFill="1" applyBorder="1" applyAlignment="1">
      <alignment horizontal="center"/>
    </xf>
    <xf numFmtId="180" fontId="2" fillId="5" borderId="14" xfId="2" applyNumberFormat="1" applyFont="1" applyFill="1" applyBorder="1" applyAlignment="1">
      <alignment horizontal="center"/>
    </xf>
    <xf numFmtId="165" fontId="2" fillId="5" borderId="2" xfId="2" applyNumberFormat="1" applyFont="1" applyFill="1" applyBorder="1" applyAlignment="1">
      <alignment horizontal="center"/>
    </xf>
    <xf numFmtId="181" fontId="28" fillId="5" borderId="2" xfId="2" applyNumberFormat="1" applyFont="1" applyFill="1" applyBorder="1" applyAlignment="1">
      <alignment horizontal="center"/>
    </xf>
    <xf numFmtId="181" fontId="28" fillId="5" borderId="14" xfId="2" applyNumberFormat="1" applyFont="1" applyFill="1" applyBorder="1" applyAlignment="1">
      <alignment horizontal="center"/>
    </xf>
    <xf numFmtId="0" fontId="2" fillId="5" borderId="2" xfId="2" applyFont="1" applyFill="1" applyBorder="1" applyAlignment="1" applyProtection="1">
      <alignment horizontal="center"/>
      <protection hidden="1"/>
    </xf>
    <xf numFmtId="0" fontId="28" fillId="5" borderId="2" xfId="2" applyFont="1" applyFill="1" applyBorder="1" applyAlignment="1" applyProtection="1">
      <alignment horizontal="center"/>
      <protection hidden="1"/>
    </xf>
    <xf numFmtId="0" fontId="32" fillId="5" borderId="2" xfId="2" applyFont="1" applyFill="1" applyBorder="1" applyAlignment="1" applyProtection="1">
      <alignment horizontal="center"/>
      <protection hidden="1"/>
    </xf>
    <xf numFmtId="0" fontId="2" fillId="6" borderId="2" xfId="2" applyFont="1" applyFill="1" applyBorder="1" applyAlignment="1">
      <alignment horizontal="center"/>
    </xf>
    <xf numFmtId="0" fontId="28" fillId="6" borderId="2" xfId="2" applyFont="1" applyFill="1" applyBorder="1" applyAlignment="1">
      <alignment horizontal="center"/>
    </xf>
    <xf numFmtId="0" fontId="33" fillId="0" borderId="0" xfId="2" applyFont="1"/>
    <xf numFmtId="0" fontId="33" fillId="6" borderId="2" xfId="2" applyFont="1" applyFill="1" applyBorder="1" applyAlignment="1" applyProtection="1">
      <alignment horizontal="center"/>
      <protection hidden="1"/>
    </xf>
    <xf numFmtId="176" fontId="33" fillId="5" borderId="2" xfId="2" applyNumberFormat="1" applyFont="1" applyFill="1" applyBorder="1" applyAlignment="1" applyProtection="1">
      <alignment horizontal="center"/>
      <protection hidden="1"/>
    </xf>
    <xf numFmtId="0" fontId="33" fillId="5" borderId="2" xfId="2" applyFont="1" applyFill="1" applyBorder="1" applyAlignment="1">
      <alignment horizontal="center"/>
    </xf>
    <xf numFmtId="177" fontId="33" fillId="5" borderId="2" xfId="2" applyNumberFormat="1" applyFont="1" applyFill="1" applyBorder="1" applyAlignment="1" applyProtection="1">
      <alignment horizontal="center"/>
      <protection hidden="1"/>
    </xf>
    <xf numFmtId="176" fontId="33" fillId="5" borderId="2" xfId="2" applyNumberFormat="1" applyFont="1" applyFill="1" applyBorder="1" applyAlignment="1">
      <alignment horizontal="center"/>
    </xf>
    <xf numFmtId="178" fontId="33" fillId="5" borderId="2" xfId="2" applyNumberFormat="1" applyFont="1" applyFill="1" applyBorder="1" applyAlignment="1" applyProtection="1">
      <alignment horizontal="center"/>
      <protection hidden="1"/>
    </xf>
    <xf numFmtId="0" fontId="33" fillId="0" borderId="0" xfId="2" applyFont="1" applyProtection="1">
      <protection hidden="1"/>
    </xf>
    <xf numFmtId="2" fontId="0" fillId="7" borderId="15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" fontId="2" fillId="7" borderId="15" xfId="0" applyNumberFormat="1" applyFont="1" applyFill="1" applyBorder="1" applyAlignment="1">
      <alignment horizontal="center" vertical="center"/>
    </xf>
    <xf numFmtId="165" fontId="2" fillId="7" borderId="15" xfId="0" applyNumberFormat="1" applyFon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/>
    </xf>
    <xf numFmtId="165" fontId="15" fillId="7" borderId="15" xfId="0" applyNumberFormat="1" applyFont="1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65" fontId="15" fillId="7" borderId="16" xfId="0" applyNumberFormat="1" applyFont="1" applyFill="1" applyBorder="1" applyAlignment="1">
      <alignment horizontal="center" vertical="center"/>
    </xf>
    <xf numFmtId="1" fontId="2" fillId="7" borderId="17" xfId="0" applyNumberFormat="1" applyFon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1" fontId="15" fillId="7" borderId="16" xfId="0" applyNumberFormat="1" applyFont="1" applyFill="1" applyBorder="1" applyAlignment="1">
      <alignment horizontal="center" vertical="center"/>
    </xf>
    <xf numFmtId="1" fontId="15" fillId="7" borderId="17" xfId="0" applyNumberFormat="1" applyFont="1" applyFill="1" applyBorder="1" applyAlignment="1">
      <alignment horizontal="center" vertical="center"/>
    </xf>
    <xf numFmtId="165" fontId="2" fillId="7" borderId="17" xfId="0" applyNumberFormat="1" applyFont="1" applyFill="1" applyBorder="1" applyAlignment="1">
      <alignment horizontal="center" vertical="center"/>
    </xf>
    <xf numFmtId="173" fontId="2" fillId="7" borderId="2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 applyProtection="1">
      <alignment horizontal="center" vertical="center"/>
      <protection hidden="1"/>
    </xf>
    <xf numFmtId="0" fontId="2" fillId="9" borderId="15" xfId="0" applyFont="1" applyFill="1" applyBorder="1" applyAlignment="1" applyProtection="1">
      <alignment horizontal="center" vertical="center"/>
      <protection hidden="1"/>
    </xf>
    <xf numFmtId="0" fontId="5" fillId="9" borderId="15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2" fillId="11" borderId="15" xfId="0" applyFont="1" applyFill="1" applyBorder="1" applyAlignment="1" applyProtection="1">
      <alignment horizontal="center" vertical="center"/>
      <protection hidden="1"/>
    </xf>
    <xf numFmtId="0" fontId="2" fillId="11" borderId="18" xfId="0" applyFont="1" applyFill="1" applyBorder="1" applyAlignment="1" applyProtection="1">
      <alignment horizontal="center" vertical="center"/>
      <protection hidden="1"/>
    </xf>
    <xf numFmtId="0" fontId="13" fillId="12" borderId="2" xfId="0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74" fontId="2" fillId="13" borderId="2" xfId="0" applyNumberFormat="1" applyFont="1" applyFill="1" applyBorder="1" applyAlignment="1" applyProtection="1">
      <alignment horizontal="center" vertical="center"/>
      <protection locked="0"/>
    </xf>
    <xf numFmtId="178" fontId="14" fillId="14" borderId="2" xfId="2" applyNumberFormat="1" applyFont="1" applyFill="1" applyBorder="1" applyAlignment="1">
      <alignment horizontal="center"/>
    </xf>
    <xf numFmtId="1" fontId="30" fillId="14" borderId="2" xfId="2" applyNumberFormat="1" applyFont="1" applyFill="1" applyBorder="1" applyAlignment="1">
      <alignment horizontal="center"/>
    </xf>
    <xf numFmtId="0" fontId="2" fillId="10" borderId="2" xfId="2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13" borderId="15" xfId="0" applyFill="1" applyBorder="1" applyAlignment="1" applyProtection="1">
      <alignment horizontal="center" vertical="center"/>
      <protection locked="0"/>
    </xf>
    <xf numFmtId="185" fontId="2" fillId="7" borderId="2" xfId="0" applyNumberFormat="1" applyFont="1" applyFill="1" applyBorder="1" applyAlignment="1">
      <alignment horizontal="center" vertical="center"/>
    </xf>
    <xf numFmtId="186" fontId="0" fillId="7" borderId="16" xfId="0" applyNumberFormat="1" applyFill="1" applyBorder="1" applyAlignment="1">
      <alignment horizontal="center" vertical="center"/>
    </xf>
    <xf numFmtId="186" fontId="2" fillId="7" borderId="15" xfId="0" applyNumberFormat="1" applyFont="1" applyFill="1" applyBorder="1" applyAlignment="1">
      <alignment horizontal="center" vertical="center"/>
    </xf>
    <xf numFmtId="175" fontId="15" fillId="7" borderId="16" xfId="0" applyNumberFormat="1" applyFont="1" applyFill="1" applyBorder="1" applyAlignment="1">
      <alignment horizontal="center" vertical="center"/>
    </xf>
    <xf numFmtId="175" fontId="15" fillId="7" borderId="15" xfId="0" applyNumberFormat="1" applyFont="1" applyFill="1" applyBorder="1" applyAlignment="1">
      <alignment horizontal="center" vertical="center"/>
    </xf>
    <xf numFmtId="175" fontId="2" fillId="7" borderId="16" xfId="0" applyNumberFormat="1" applyFont="1" applyFill="1" applyBorder="1" applyAlignment="1">
      <alignment horizontal="center" vertical="center"/>
    </xf>
    <xf numFmtId="175" fontId="2" fillId="7" borderId="15" xfId="0" applyNumberFormat="1" applyFont="1" applyFill="1" applyBorder="1" applyAlignment="1">
      <alignment horizontal="center" vertical="center"/>
    </xf>
    <xf numFmtId="172" fontId="2" fillId="7" borderId="15" xfId="0" applyNumberFormat="1" applyFont="1" applyFill="1" applyBorder="1" applyAlignment="1">
      <alignment horizontal="center" vertical="center"/>
    </xf>
    <xf numFmtId="172" fontId="2" fillId="7" borderId="16" xfId="0" applyNumberFormat="1" applyFont="1" applyFill="1" applyBorder="1" applyAlignment="1">
      <alignment horizontal="center" vertical="center"/>
    </xf>
    <xf numFmtId="172" fontId="15" fillId="7" borderId="15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178" fontId="2" fillId="3" borderId="25" xfId="0" applyNumberFormat="1" applyFont="1" applyFill="1" applyBorder="1" applyAlignment="1" applyProtection="1">
      <alignment horizontal="center" vertical="center"/>
      <protection locked="0"/>
    </xf>
    <xf numFmtId="178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2" fillId="8" borderId="24" xfId="0" applyFont="1" applyFill="1" applyBorder="1" applyAlignment="1" applyProtection="1">
      <alignment horizontal="center" vertical="center"/>
      <protection hidden="1"/>
    </xf>
    <xf numFmtId="0" fontId="2" fillId="9" borderId="27" xfId="0" applyFont="1" applyFill="1" applyBorder="1" applyAlignment="1" applyProtection="1">
      <alignment horizontal="center" vertical="center"/>
      <protection hidden="1"/>
    </xf>
    <xf numFmtId="0" fontId="0" fillId="9" borderId="27" xfId="0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189" fontId="2" fillId="7" borderId="25" xfId="0" applyNumberFormat="1" applyFont="1" applyFill="1" applyBorder="1" applyAlignment="1">
      <alignment horizontal="center" vertical="center"/>
    </xf>
    <xf numFmtId="0" fontId="34" fillId="6" borderId="2" xfId="2" applyFont="1" applyFill="1" applyBorder="1" applyAlignment="1" applyProtection="1">
      <alignment horizontal="center"/>
      <protection hidden="1"/>
    </xf>
    <xf numFmtId="178" fontId="34" fillId="5" borderId="2" xfId="2" applyNumberFormat="1" applyFont="1" applyFill="1" applyBorder="1" applyAlignment="1">
      <alignment horizontal="center"/>
    </xf>
    <xf numFmtId="177" fontId="2" fillId="4" borderId="25" xfId="2" applyNumberFormat="1" applyFont="1" applyFill="1" applyBorder="1" applyAlignment="1" applyProtection="1">
      <alignment horizontal="center"/>
      <protection locked="0"/>
    </xf>
    <xf numFmtId="0" fontId="2" fillId="10" borderId="28" xfId="2" applyFont="1" applyFill="1" applyBorder="1" applyAlignment="1" applyProtection="1">
      <alignment horizontal="center"/>
      <protection hidden="1"/>
    </xf>
    <xf numFmtId="0" fontId="2" fillId="10" borderId="29" xfId="2" applyFont="1" applyFill="1" applyBorder="1" applyAlignment="1" applyProtection="1">
      <alignment horizontal="center"/>
      <protection hidden="1"/>
    </xf>
    <xf numFmtId="0" fontId="36" fillId="10" borderId="30" xfId="2" applyFont="1" applyFill="1" applyBorder="1" applyAlignment="1" applyProtection="1">
      <alignment horizontal="center"/>
      <protection hidden="1"/>
    </xf>
    <xf numFmtId="0" fontId="0" fillId="0" borderId="10" xfId="0" applyBorder="1" applyAlignment="1">
      <alignment vertical="center"/>
    </xf>
    <xf numFmtId="0" fontId="15" fillId="0" borderId="10" xfId="2" applyFont="1" applyBorder="1"/>
    <xf numFmtId="0" fontId="15" fillId="0" borderId="31" xfId="2" applyFont="1" applyBorder="1" applyAlignment="1" applyProtection="1">
      <alignment horizontal="center"/>
      <protection hidden="1"/>
    </xf>
    <xf numFmtId="0" fontId="15" fillId="0" borderId="32" xfId="2" applyFont="1" applyBorder="1" applyAlignment="1">
      <alignment horizontal="center"/>
    </xf>
    <xf numFmtId="0" fontId="15" fillId="0" borderId="19" xfId="2" applyFont="1" applyBorder="1" applyAlignment="1" applyProtection="1">
      <alignment horizontal="center"/>
      <protection hidden="1"/>
    </xf>
    <xf numFmtId="0" fontId="15" fillId="0" borderId="20" xfId="2" applyFont="1" applyBorder="1" applyAlignment="1">
      <alignment horizontal="center"/>
    </xf>
    <xf numFmtId="0" fontId="15" fillId="0" borderId="21" xfId="2" applyFont="1" applyBorder="1" applyAlignment="1" applyProtection="1">
      <alignment horizontal="center"/>
      <protection hidden="1"/>
    </xf>
    <xf numFmtId="0" fontId="15" fillId="0" borderId="23" xfId="2" applyFont="1" applyBorder="1" applyAlignment="1">
      <alignment horizontal="center"/>
    </xf>
    <xf numFmtId="0" fontId="15" fillId="0" borderId="20" xfId="2" applyFont="1" applyBorder="1" applyAlignment="1" applyProtection="1">
      <alignment horizontal="center"/>
      <protection hidden="1"/>
    </xf>
    <xf numFmtId="0" fontId="15" fillId="0" borderId="23" xfId="2" applyFont="1" applyBorder="1" applyAlignment="1" applyProtection="1">
      <alignment horizontal="center"/>
      <protection hidden="1"/>
    </xf>
    <xf numFmtId="2" fontId="15" fillId="0" borderId="31" xfId="2" applyNumberFormat="1" applyFont="1" applyBorder="1" applyAlignment="1" applyProtection="1">
      <alignment horizontal="center"/>
      <protection hidden="1"/>
    </xf>
    <xf numFmtId="0" fontId="0" fillId="0" borderId="31" xfId="2" applyFont="1" applyBorder="1" applyAlignment="1" applyProtection="1">
      <alignment horizontal="center"/>
      <protection hidden="1"/>
    </xf>
    <xf numFmtId="0" fontId="0" fillId="0" borderId="33" xfId="2" applyFont="1" applyBorder="1" applyAlignment="1" applyProtection="1">
      <alignment horizontal="center"/>
      <protection hidden="1"/>
    </xf>
    <xf numFmtId="0" fontId="0" fillId="0" borderId="32" xfId="2" applyFont="1" applyBorder="1" applyAlignment="1" applyProtection="1">
      <alignment horizontal="center"/>
      <protection hidden="1"/>
    </xf>
    <xf numFmtId="0" fontId="0" fillId="0" borderId="19" xfId="2" applyFont="1" applyBorder="1" applyAlignment="1" applyProtection="1">
      <alignment horizontal="center"/>
      <protection hidden="1"/>
    </xf>
    <xf numFmtId="0" fontId="15" fillId="0" borderId="22" xfId="2" applyFont="1" applyBorder="1" applyAlignment="1" applyProtection="1">
      <alignment horizontal="center"/>
      <protection hidden="1"/>
    </xf>
    <xf numFmtId="1" fontId="15" fillId="0" borderId="33" xfId="2" applyNumberFormat="1" applyFont="1" applyBorder="1" applyAlignment="1" applyProtection="1">
      <alignment horizontal="center"/>
      <protection hidden="1"/>
    </xf>
    <xf numFmtId="1" fontId="8" fillId="0" borderId="32" xfId="2" applyNumberFormat="1" applyFont="1" applyBorder="1" applyAlignment="1" applyProtection="1">
      <alignment horizontal="center"/>
      <protection hidden="1"/>
    </xf>
    <xf numFmtId="1" fontId="8" fillId="0" borderId="20" xfId="2" applyNumberFormat="1" applyFont="1" applyBorder="1" applyAlignment="1" applyProtection="1">
      <alignment horizontal="center"/>
      <protection hidden="1"/>
    </xf>
    <xf numFmtId="1" fontId="15" fillId="0" borderId="22" xfId="2" applyNumberFormat="1" applyFont="1" applyBorder="1" applyAlignment="1" applyProtection="1">
      <alignment horizontal="center"/>
      <protection hidden="1"/>
    </xf>
    <xf numFmtId="1" fontId="8" fillId="0" borderId="23" xfId="2" applyNumberFormat="1" applyFont="1" applyBorder="1" applyAlignment="1" applyProtection="1">
      <alignment horizontal="center"/>
      <protection hidden="1"/>
    </xf>
    <xf numFmtId="0" fontId="15" fillId="0" borderId="33" xfId="2" applyFont="1" applyBorder="1" applyAlignment="1" applyProtection="1">
      <alignment horizontal="center"/>
      <protection hidden="1"/>
    </xf>
    <xf numFmtId="2" fontId="15" fillId="0" borderId="33" xfId="2" applyNumberFormat="1" applyFont="1" applyBorder="1" applyAlignment="1" applyProtection="1">
      <alignment horizontal="center"/>
      <protection hidden="1"/>
    </xf>
    <xf numFmtId="0" fontId="8" fillId="0" borderId="32" xfId="2" applyFont="1" applyBorder="1" applyAlignment="1" applyProtection="1">
      <alignment horizontal="center"/>
      <protection hidden="1"/>
    </xf>
    <xf numFmtId="0" fontId="8" fillId="0" borderId="20" xfId="2" applyFont="1" applyBorder="1" applyAlignment="1" applyProtection="1">
      <alignment horizontal="center"/>
      <protection hidden="1"/>
    </xf>
    <xf numFmtId="0" fontId="8" fillId="0" borderId="23" xfId="2" applyFont="1" applyBorder="1" applyAlignment="1" applyProtection="1">
      <alignment horizontal="center"/>
      <protection hidden="1"/>
    </xf>
    <xf numFmtId="1" fontId="15" fillId="0" borderId="32" xfId="2" applyNumberFormat="1" applyFont="1" applyBorder="1" applyAlignment="1" applyProtection="1">
      <alignment horizontal="center"/>
      <protection hidden="1"/>
    </xf>
    <xf numFmtId="1" fontId="15" fillId="0" borderId="20" xfId="2" applyNumberFormat="1" applyFont="1" applyBorder="1" applyAlignment="1" applyProtection="1">
      <alignment horizontal="center"/>
      <protection hidden="1"/>
    </xf>
    <xf numFmtId="1" fontId="15" fillId="0" borderId="23" xfId="2" applyNumberFormat="1" applyFont="1" applyBorder="1" applyAlignment="1" applyProtection="1">
      <alignment horizontal="center"/>
      <protection hidden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2" applyFont="1" applyBorder="1" applyAlignment="1" applyProtection="1">
      <alignment horizontal="center"/>
      <protection hidden="1"/>
    </xf>
    <xf numFmtId="165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15" borderId="8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 vertical="center"/>
    </xf>
    <xf numFmtId="190" fontId="2" fillId="4" borderId="2" xfId="2" applyNumberFormat="1" applyFont="1" applyFill="1" applyBorder="1" applyAlignment="1" applyProtection="1">
      <alignment horizontal="center"/>
      <protection locked="0"/>
    </xf>
    <xf numFmtId="0" fontId="0" fillId="0" borderId="0" xfId="2" applyFont="1"/>
    <xf numFmtId="0" fontId="30" fillId="6" borderId="2" xfId="2" applyFont="1" applyFill="1" applyBorder="1" applyAlignment="1" applyProtection="1">
      <alignment horizontal="center"/>
      <protection hidden="1"/>
    </xf>
    <xf numFmtId="18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2" fillId="11" borderId="18" xfId="1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2" fontId="0" fillId="0" borderId="23" xfId="0" applyNumberFormat="1" applyBorder="1" applyAlignment="1">
      <alignment horizontal="center" vertical="center"/>
    </xf>
    <xf numFmtId="0" fontId="0" fillId="0" borderId="31" xfId="0" applyBorder="1" applyAlignment="1">
      <alignment horizontal="right" vertical="center"/>
    </xf>
    <xf numFmtId="2" fontId="0" fillId="0" borderId="3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33" xfId="0" applyFont="1" applyBorder="1"/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0" fontId="2" fillId="0" borderId="20" xfId="0" applyFont="1" applyBorder="1"/>
    <xf numFmtId="165" fontId="2" fillId="0" borderId="20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0" borderId="20" xfId="0" applyBorder="1"/>
    <xf numFmtId="0" fontId="2" fillId="4" borderId="20" xfId="0" applyFont="1" applyFill="1" applyBorder="1" applyAlignment="1" applyProtection="1">
      <alignment horizontal="center" vertical="center"/>
      <protection locked="0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9" fillId="0" borderId="2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  <protection locked="0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2" fillId="0" borderId="35" xfId="0" applyFont="1" applyBorder="1"/>
    <xf numFmtId="1" fontId="2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/>
    <xf numFmtId="0" fontId="30" fillId="0" borderId="13" xfId="0" applyFont="1" applyBorder="1" applyAlignment="1">
      <alignment horizontal="right" vertical="center"/>
    </xf>
    <xf numFmtId="0" fontId="30" fillId="0" borderId="13" xfId="2" applyFont="1" applyBorder="1" applyAlignment="1">
      <alignment horizontal="right"/>
    </xf>
    <xf numFmtId="2" fontId="0" fillId="16" borderId="31" xfId="0" applyNumberFormat="1" applyFill="1" applyBorder="1" applyAlignment="1">
      <alignment horizontal="center"/>
    </xf>
    <xf numFmtId="2" fontId="0" fillId="16" borderId="33" xfId="0" applyNumberFormat="1" applyFill="1" applyBorder="1" applyAlignment="1">
      <alignment horizontal="center"/>
    </xf>
    <xf numFmtId="2" fontId="0" fillId="16" borderId="32" xfId="0" applyNumberForma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9" fillId="0" borderId="0" xfId="0" applyNumberFormat="1" applyFont="1" applyAlignment="1">
      <alignment horizontal="left"/>
    </xf>
    <xf numFmtId="2" fontId="10" fillId="0" borderId="0" xfId="1" applyNumberFormat="1" applyAlignment="1">
      <alignment horizontal="left"/>
    </xf>
    <xf numFmtId="2" fontId="10" fillId="0" borderId="0" xfId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21" borderId="20" xfId="0" applyNumberFormat="1" applyFill="1" applyBorder="1" applyAlignment="1">
      <alignment horizontal="center"/>
    </xf>
    <xf numFmtId="2" fontId="0" fillId="21" borderId="23" xfId="0" applyNumberFormat="1" applyFill="1" applyBorder="1" applyAlignment="1">
      <alignment horizontal="center"/>
    </xf>
    <xf numFmtId="2" fontId="0" fillId="21" borderId="19" xfId="0" applyNumberFormat="1" applyFill="1" applyBorder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1" borderId="21" xfId="0" applyNumberFormat="1" applyFill="1" applyBorder="1" applyAlignment="1">
      <alignment horizontal="center"/>
    </xf>
    <xf numFmtId="2" fontId="0" fillId="21" borderId="22" xfId="0" applyNumberFormat="1" applyFill="1" applyBorder="1" applyAlignment="1">
      <alignment horizontal="center"/>
    </xf>
    <xf numFmtId="1" fontId="0" fillId="21" borderId="19" xfId="0" applyNumberFormat="1" applyFill="1" applyBorder="1" applyAlignment="1">
      <alignment horizontal="center"/>
    </xf>
    <xf numFmtId="2" fontId="0" fillId="21" borderId="26" xfId="0" applyNumberFormat="1" applyFill="1" applyBorder="1" applyAlignment="1">
      <alignment horizontal="center"/>
    </xf>
    <xf numFmtId="1" fontId="0" fillId="21" borderId="21" xfId="0" applyNumberFormat="1" applyFill="1" applyBorder="1" applyAlignment="1">
      <alignment horizontal="center"/>
    </xf>
    <xf numFmtId="2" fontId="0" fillId="21" borderId="25" xfId="0" applyNumberFormat="1" applyFill="1" applyBorder="1" applyAlignment="1">
      <alignment horizontal="center"/>
    </xf>
    <xf numFmtId="0" fontId="0" fillId="21" borderId="19" xfId="0" applyFill="1" applyBorder="1"/>
    <xf numFmtId="0" fontId="0" fillId="21" borderId="0" xfId="0" applyFill="1"/>
    <xf numFmtId="0" fontId="0" fillId="21" borderId="20" xfId="0" applyFill="1" applyBorder="1" applyAlignment="1">
      <alignment horizontal="center"/>
    </xf>
    <xf numFmtId="0" fontId="0" fillId="21" borderId="21" xfId="0" applyFill="1" applyBorder="1"/>
    <xf numFmtId="0" fontId="0" fillId="21" borderId="22" xfId="0" applyFill="1" applyBorder="1"/>
    <xf numFmtId="0" fontId="0" fillId="21" borderId="23" xfId="0" applyFill="1" applyBorder="1" applyAlignment="1">
      <alignment horizontal="center"/>
    </xf>
    <xf numFmtId="1" fontId="0" fillId="21" borderId="31" xfId="0" applyNumberFormat="1" applyFill="1" applyBorder="1" applyAlignment="1">
      <alignment horizontal="center"/>
    </xf>
    <xf numFmtId="1" fontId="0" fillId="21" borderId="33" xfId="0" applyNumberFormat="1" applyFill="1" applyBorder="1" applyAlignment="1">
      <alignment horizontal="center"/>
    </xf>
    <xf numFmtId="1" fontId="0" fillId="21" borderId="32" xfId="0" applyNumberFormat="1" applyFill="1" applyBorder="1" applyAlignment="1">
      <alignment horizontal="center"/>
    </xf>
    <xf numFmtId="1" fontId="0" fillId="21" borderId="0" xfId="0" applyNumberFormat="1" applyFill="1" applyAlignment="1">
      <alignment horizontal="center"/>
    </xf>
    <xf numFmtId="1" fontId="0" fillId="21" borderId="20" xfId="0" applyNumberFormat="1" applyFill="1" applyBorder="1" applyAlignment="1">
      <alignment horizontal="center"/>
    </xf>
    <xf numFmtId="1" fontId="0" fillId="21" borderId="22" xfId="0" applyNumberFormat="1" applyFill="1" applyBorder="1" applyAlignment="1">
      <alignment horizontal="center"/>
    </xf>
    <xf numFmtId="1" fontId="0" fillId="21" borderId="23" xfId="0" applyNumberFormat="1" applyFill="1" applyBorder="1" applyAlignment="1">
      <alignment horizontal="center"/>
    </xf>
    <xf numFmtId="2" fontId="0" fillId="21" borderId="32" xfId="0" applyNumberFormat="1" applyFill="1" applyBorder="1" applyAlignment="1">
      <alignment horizontal="center"/>
    </xf>
    <xf numFmtId="2" fontId="0" fillId="21" borderId="24" xfId="0" applyNumberFormat="1" applyFill="1" applyBorder="1" applyAlignment="1">
      <alignment horizontal="center"/>
    </xf>
    <xf numFmtId="2" fontId="0" fillId="21" borderId="31" xfId="0" applyNumberForma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22" borderId="44" xfId="0" applyFill="1" applyBorder="1" applyAlignment="1">
      <alignment horizontal="center"/>
    </xf>
    <xf numFmtId="0" fontId="0" fillId="22" borderId="45" xfId="0" applyFill="1" applyBorder="1" applyAlignment="1">
      <alignment horizontal="center"/>
    </xf>
    <xf numFmtId="0" fontId="0" fillId="22" borderId="46" xfId="0" applyFill="1" applyBorder="1" applyAlignment="1">
      <alignment horizontal="center"/>
    </xf>
    <xf numFmtId="0" fontId="0" fillId="22" borderId="47" xfId="0" applyFill="1" applyBorder="1" applyAlignment="1">
      <alignment horizontal="center"/>
    </xf>
    <xf numFmtId="0" fontId="0" fillId="22" borderId="48" xfId="0" applyFill="1" applyBorder="1" applyAlignment="1">
      <alignment horizontal="center"/>
    </xf>
    <xf numFmtId="0" fontId="0" fillId="22" borderId="49" xfId="0" applyFill="1" applyBorder="1" applyAlignment="1">
      <alignment horizontal="center"/>
    </xf>
    <xf numFmtId="0" fontId="0" fillId="22" borderId="50" xfId="0" applyFill="1" applyBorder="1" applyAlignment="1">
      <alignment horizontal="center"/>
    </xf>
    <xf numFmtId="0" fontId="8" fillId="22" borderId="36" xfId="0" applyFont="1" applyFill="1" applyBorder="1" applyAlignment="1">
      <alignment horizontal="center"/>
    </xf>
    <xf numFmtId="0" fontId="15" fillId="22" borderId="37" xfId="0" applyFont="1" applyFill="1" applyBorder="1" applyAlignment="1">
      <alignment horizontal="center"/>
    </xf>
    <xf numFmtId="2" fontId="0" fillId="23" borderId="19" xfId="0" applyNumberFormat="1" applyFill="1" applyBorder="1" applyAlignment="1">
      <alignment horizontal="center"/>
    </xf>
    <xf numFmtId="2" fontId="0" fillId="23" borderId="21" xfId="0" applyNumberFormat="1" applyFill="1" applyBorder="1" applyAlignment="1">
      <alignment horizontal="center"/>
    </xf>
    <xf numFmtId="2" fontId="0" fillId="24" borderId="32" xfId="0" applyNumberFormat="1" applyFill="1" applyBorder="1" applyAlignment="1">
      <alignment horizontal="center"/>
    </xf>
    <xf numFmtId="2" fontId="0" fillId="24" borderId="31" xfId="0" applyNumberFormat="1" applyFill="1" applyBorder="1" applyAlignment="1">
      <alignment horizontal="center"/>
    </xf>
    <xf numFmtId="2" fontId="0" fillId="24" borderId="33" xfId="0" applyNumberFormat="1" applyFill="1" applyBorder="1" applyAlignment="1">
      <alignment horizontal="center"/>
    </xf>
    <xf numFmtId="0" fontId="0" fillId="25" borderId="51" xfId="0" applyFill="1" applyBorder="1" applyAlignment="1">
      <alignment horizontal="center"/>
    </xf>
    <xf numFmtId="184" fontId="0" fillId="25" borderId="11" xfId="0" applyNumberFormat="1" applyFill="1" applyBorder="1" applyAlignment="1">
      <alignment horizontal="center"/>
    </xf>
    <xf numFmtId="173" fontId="0" fillId="25" borderId="11" xfId="0" applyNumberFormat="1" applyFill="1" applyBorder="1" applyAlignment="1">
      <alignment horizontal="center"/>
    </xf>
    <xf numFmtId="164" fontId="0" fillId="24" borderId="11" xfId="0" applyNumberFormat="1" applyFill="1" applyBorder="1" applyAlignment="1">
      <alignment horizontal="center"/>
    </xf>
    <xf numFmtId="164" fontId="0" fillId="25" borderId="11" xfId="0" applyNumberFormat="1" applyFill="1" applyBorder="1" applyAlignment="1">
      <alignment horizontal="center"/>
    </xf>
    <xf numFmtId="178" fontId="0" fillId="24" borderId="11" xfId="0" applyNumberFormat="1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5" borderId="52" xfId="0" applyFill="1" applyBorder="1" applyAlignment="1">
      <alignment horizontal="center"/>
    </xf>
    <xf numFmtId="0" fontId="0" fillId="25" borderId="53" xfId="0" applyFill="1" applyBorder="1" applyAlignment="1">
      <alignment horizontal="center"/>
    </xf>
    <xf numFmtId="0" fontId="2" fillId="26" borderId="52" xfId="0" applyFont="1" applyFill="1" applyBorder="1" applyAlignment="1">
      <alignment horizontal="center"/>
    </xf>
    <xf numFmtId="0" fontId="0" fillId="26" borderId="54" xfId="0" applyFill="1" applyBorder="1" applyAlignment="1">
      <alignment horizontal="center"/>
    </xf>
    <xf numFmtId="0" fontId="0" fillId="26" borderId="53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0" fontId="0" fillId="25" borderId="56" xfId="0" applyFill="1" applyBorder="1" applyAlignment="1">
      <alignment horizontal="center"/>
    </xf>
    <xf numFmtId="0" fontId="0" fillId="25" borderId="57" xfId="0" applyFill="1" applyBorder="1" applyAlignment="1">
      <alignment horizontal="center"/>
    </xf>
    <xf numFmtId="0" fontId="0" fillId="25" borderId="58" xfId="0" applyFill="1" applyBorder="1" applyAlignment="1">
      <alignment horizontal="center"/>
    </xf>
    <xf numFmtId="0" fontId="0" fillId="25" borderId="59" xfId="0" applyFill="1" applyBorder="1" applyAlignment="1">
      <alignment horizontal="center"/>
    </xf>
    <xf numFmtId="0" fontId="0" fillId="25" borderId="6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0" xfId="0" applyFill="1" applyAlignment="1">
      <alignment horizontal="center"/>
    </xf>
    <xf numFmtId="183" fontId="0" fillId="25" borderId="58" xfId="0" applyNumberFormat="1" applyFill="1" applyBorder="1" applyAlignment="1">
      <alignment horizontal="center"/>
    </xf>
    <xf numFmtId="183" fontId="0" fillId="25" borderId="59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9" fontId="0" fillId="3" borderId="56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51" xfId="0" applyFill="1" applyBorder="1" applyAlignment="1">
      <alignment horizontal="center"/>
    </xf>
    <xf numFmtId="183" fontId="0" fillId="26" borderId="51" xfId="0" applyNumberFormat="1" applyFill="1" applyBorder="1" applyAlignment="1">
      <alignment horizontal="center"/>
    </xf>
    <xf numFmtId="0" fontId="0" fillId="24" borderId="57" xfId="0" applyFill="1" applyBorder="1" applyAlignment="1">
      <alignment horizontal="center"/>
    </xf>
    <xf numFmtId="0" fontId="0" fillId="24" borderId="62" xfId="0" applyFill="1" applyBorder="1" applyAlignment="1">
      <alignment horizontal="center"/>
    </xf>
    <xf numFmtId="183" fontId="0" fillId="25" borderId="60" xfId="0" applyNumberFormat="1" applyFill="1" applyBorder="1" applyAlignment="1">
      <alignment horizontal="center"/>
    </xf>
    <xf numFmtId="0" fontId="45" fillId="0" borderId="0" xfId="0" applyFont="1" applyAlignment="1">
      <alignment vertical="center"/>
    </xf>
    <xf numFmtId="0" fontId="46" fillId="0" borderId="0" xfId="2" applyFont="1"/>
    <xf numFmtId="0" fontId="46" fillId="27" borderId="2" xfId="2" applyFont="1" applyFill="1" applyBorder="1" applyAlignment="1" applyProtection="1">
      <alignment horizontal="center"/>
      <protection hidden="1"/>
    </xf>
    <xf numFmtId="177" fontId="47" fillId="5" borderId="2" xfId="2" applyNumberFormat="1" applyFont="1" applyFill="1" applyBorder="1" applyAlignment="1" applyProtection="1">
      <alignment horizontal="center"/>
      <protection hidden="1"/>
    </xf>
    <xf numFmtId="0" fontId="45" fillId="0" borderId="0" xfId="2" applyFont="1"/>
    <xf numFmtId="0" fontId="48" fillId="0" borderId="10" xfId="2" applyFont="1" applyBorder="1" applyAlignment="1">
      <alignment horizontal="right"/>
    </xf>
    <xf numFmtId="0" fontId="46" fillId="0" borderId="10" xfId="2" applyFont="1" applyBorder="1"/>
    <xf numFmtId="0" fontId="49" fillId="0" borderId="10" xfId="2" applyFont="1" applyBorder="1" applyAlignment="1">
      <alignment horizontal="left"/>
    </xf>
    <xf numFmtId="0" fontId="48" fillId="0" borderId="10" xfId="2" applyFont="1" applyBorder="1"/>
    <xf numFmtId="0" fontId="48" fillId="0" borderId="7" xfId="0" applyFont="1" applyBorder="1" applyAlignment="1">
      <alignment horizontal="right" vertical="center"/>
    </xf>
    <xf numFmtId="0" fontId="49" fillId="0" borderId="7" xfId="0" applyFont="1" applyBorder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193" fontId="0" fillId="3" borderId="11" xfId="0" applyNumberFormat="1" applyFill="1" applyBorder="1" applyAlignment="1">
      <alignment horizontal="center"/>
    </xf>
    <xf numFmtId="0" fontId="0" fillId="28" borderId="24" xfId="0" applyFill="1" applyBorder="1" applyAlignment="1">
      <alignment horizontal="center"/>
    </xf>
    <xf numFmtId="0" fontId="0" fillId="29" borderId="26" xfId="0" applyFill="1" applyBorder="1" applyAlignment="1">
      <alignment horizontal="center"/>
    </xf>
    <xf numFmtId="186" fontId="0" fillId="25" borderId="11" xfId="0" applyNumberFormat="1" applyFill="1" applyBorder="1" applyAlignment="1">
      <alignment horizontal="center"/>
    </xf>
    <xf numFmtId="176" fontId="33" fillId="5" borderId="24" xfId="2" applyNumberFormat="1" applyFont="1" applyFill="1" applyBorder="1" applyAlignment="1" applyProtection="1">
      <alignment horizontal="center"/>
      <protection hidden="1"/>
    </xf>
    <xf numFmtId="176" fontId="33" fillId="5" borderId="26" xfId="2" applyNumberFormat="1" applyFont="1" applyFill="1" applyBorder="1" applyAlignment="1" applyProtection="1">
      <alignment horizontal="center"/>
      <protection hidden="1"/>
    </xf>
    <xf numFmtId="176" fontId="33" fillId="5" borderId="25" xfId="2" applyNumberFormat="1" applyFont="1" applyFill="1" applyBorder="1" applyAlignment="1" applyProtection="1">
      <alignment horizontal="center"/>
      <protection hidden="1"/>
    </xf>
    <xf numFmtId="0" fontId="33" fillId="5" borderId="63" xfId="2" applyFont="1" applyFill="1" applyBorder="1" applyAlignment="1">
      <alignment horizontal="center"/>
    </xf>
    <xf numFmtId="0" fontId="33" fillId="5" borderId="20" xfId="2" applyFont="1" applyFill="1" applyBorder="1" applyAlignment="1">
      <alignment horizontal="center"/>
    </xf>
    <xf numFmtId="0" fontId="33" fillId="5" borderId="23" xfId="2" applyFont="1" applyFill="1" applyBorder="1" applyAlignment="1">
      <alignment horizontal="center"/>
    </xf>
    <xf numFmtId="176" fontId="33" fillId="5" borderId="63" xfId="2" applyNumberFormat="1" applyFont="1" applyFill="1" applyBorder="1" applyAlignment="1">
      <alignment horizontal="center"/>
    </xf>
    <xf numFmtId="196" fontId="33" fillId="5" borderId="63" xfId="2" applyNumberFormat="1" applyFont="1" applyFill="1" applyBorder="1" applyAlignment="1">
      <alignment horizontal="center"/>
    </xf>
    <xf numFmtId="196" fontId="33" fillId="5" borderId="20" xfId="2" applyNumberFormat="1" applyFont="1" applyFill="1" applyBorder="1" applyAlignment="1">
      <alignment horizontal="center"/>
    </xf>
    <xf numFmtId="196" fontId="33" fillId="5" borderId="23" xfId="2" applyNumberFormat="1" applyFont="1" applyFill="1" applyBorder="1" applyAlignment="1">
      <alignment horizontal="center"/>
    </xf>
    <xf numFmtId="174" fontId="33" fillId="5" borderId="63" xfId="2" applyNumberFormat="1" applyFont="1" applyFill="1" applyBorder="1" applyAlignment="1">
      <alignment horizontal="center"/>
    </xf>
    <xf numFmtId="174" fontId="33" fillId="5" borderId="20" xfId="2" applyNumberFormat="1" applyFont="1" applyFill="1" applyBorder="1" applyAlignment="1">
      <alignment horizontal="center"/>
    </xf>
    <xf numFmtId="174" fontId="33" fillId="5" borderId="23" xfId="2" applyNumberFormat="1" applyFont="1" applyFill="1" applyBorder="1" applyAlignment="1">
      <alignment horizontal="center"/>
    </xf>
    <xf numFmtId="167" fontId="33" fillId="5" borderId="63" xfId="2" applyNumberFormat="1" applyFont="1" applyFill="1" applyBorder="1" applyAlignment="1">
      <alignment horizontal="center"/>
    </xf>
    <xf numFmtId="167" fontId="33" fillId="5" borderId="20" xfId="2" applyNumberFormat="1" applyFont="1" applyFill="1" applyBorder="1" applyAlignment="1">
      <alignment horizontal="center"/>
    </xf>
    <xf numFmtId="167" fontId="33" fillId="5" borderId="23" xfId="2" applyNumberFormat="1" applyFont="1" applyFill="1" applyBorder="1" applyAlignment="1">
      <alignment horizontal="center"/>
    </xf>
    <xf numFmtId="170" fontId="33" fillId="5" borderId="63" xfId="2" applyNumberFormat="1" applyFont="1" applyFill="1" applyBorder="1" applyAlignment="1">
      <alignment horizontal="center"/>
    </xf>
    <xf numFmtId="170" fontId="33" fillId="5" borderId="20" xfId="2" applyNumberFormat="1" applyFont="1" applyFill="1" applyBorder="1" applyAlignment="1">
      <alignment horizontal="center"/>
    </xf>
    <xf numFmtId="170" fontId="33" fillId="5" borderId="23" xfId="2" applyNumberFormat="1" applyFont="1" applyFill="1" applyBorder="1" applyAlignment="1">
      <alignment horizontal="center"/>
    </xf>
    <xf numFmtId="0" fontId="2" fillId="9" borderId="2" xfId="0" applyFont="1" applyFill="1" applyBorder="1" applyAlignment="1" applyProtection="1">
      <alignment horizontal="center" vertical="center"/>
      <protection hidden="1"/>
    </xf>
    <xf numFmtId="0" fontId="0" fillId="9" borderId="2" xfId="0" applyFill="1" applyBorder="1" applyAlignment="1" applyProtection="1">
      <alignment horizontal="center" vertical="center"/>
      <protection hidden="1"/>
    </xf>
    <xf numFmtId="0" fontId="0" fillId="0" borderId="22" xfId="0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87" fontId="2" fillId="7" borderId="2" xfId="0" applyNumberFormat="1" applyFont="1" applyFill="1" applyBorder="1" applyAlignment="1">
      <alignment horizontal="center" vertical="center"/>
    </xf>
    <xf numFmtId="197" fontId="33" fillId="5" borderId="24" xfId="2" applyNumberFormat="1" applyFont="1" applyFill="1" applyBorder="1" applyAlignment="1">
      <alignment horizontal="center"/>
    </xf>
    <xf numFmtId="197" fontId="33" fillId="5" borderId="26" xfId="2" applyNumberFormat="1" applyFont="1" applyFill="1" applyBorder="1" applyAlignment="1">
      <alignment horizontal="center"/>
    </xf>
    <xf numFmtId="197" fontId="33" fillId="5" borderId="25" xfId="2" applyNumberFormat="1" applyFont="1" applyFill="1" applyBorder="1" applyAlignment="1">
      <alignment horizontal="center"/>
    </xf>
    <xf numFmtId="0" fontId="45" fillId="0" borderId="0" xfId="2" applyFont="1" applyAlignment="1" applyProtection="1">
      <alignment horizontal="right"/>
      <protection hidden="1"/>
    </xf>
    <xf numFmtId="0" fontId="2" fillId="0" borderId="31" xfId="0" applyFont="1" applyBorder="1"/>
    <xf numFmtId="0" fontId="2" fillId="0" borderId="32" xfId="0" applyFont="1" applyBorder="1"/>
    <xf numFmtId="0" fontId="2" fillId="0" borderId="21" xfId="0" applyFont="1" applyBorder="1"/>
    <xf numFmtId="0" fontId="2" fillId="0" borderId="19" xfId="0" applyFont="1" applyBorder="1" applyAlignment="1">
      <alignment horizontal="left"/>
    </xf>
    <xf numFmtId="14" fontId="2" fillId="0" borderId="23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4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19" xfId="0" applyFont="1" applyBorder="1"/>
    <xf numFmtId="0" fontId="2" fillId="0" borderId="34" xfId="0" applyFont="1" applyBorder="1"/>
    <xf numFmtId="0" fontId="2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64" xfId="0" applyFont="1" applyBorder="1" applyAlignment="1">
      <alignment horizontal="center"/>
    </xf>
    <xf numFmtId="201" fontId="15" fillId="0" borderId="0" xfId="0" applyNumberFormat="1" applyFont="1"/>
    <xf numFmtId="191" fontId="0" fillId="0" borderId="0" xfId="0" applyNumberFormat="1"/>
    <xf numFmtId="192" fontId="0" fillId="0" borderId="0" xfId="0" applyNumberFormat="1"/>
    <xf numFmtId="0" fontId="43" fillId="0" borderId="0" xfId="0" applyFont="1"/>
    <xf numFmtId="192" fontId="2" fillId="30" borderId="32" xfId="0" applyNumberFormat="1" applyFont="1" applyFill="1" applyBorder="1" applyProtection="1">
      <protection locked="0"/>
    </xf>
    <xf numFmtId="198" fontId="2" fillId="0" borderId="23" xfId="0" applyNumberFormat="1" applyFont="1" applyBorder="1"/>
    <xf numFmtId="0" fontId="42" fillId="0" borderId="0" xfId="0" applyFont="1"/>
    <xf numFmtId="3" fontId="2" fillId="30" borderId="32" xfId="0" applyNumberFormat="1" applyFont="1" applyFill="1" applyBorder="1" applyAlignment="1">
      <alignment horizontal="center"/>
    </xf>
    <xf numFmtId="191" fontId="2" fillId="0" borderId="33" xfId="0" applyNumberFormat="1" applyFont="1" applyBorder="1" applyAlignment="1">
      <alignment horizontal="center"/>
    </xf>
    <xf numFmtId="192" fontId="2" fillId="0" borderId="32" xfId="0" applyNumberFormat="1" applyFont="1" applyBorder="1" applyAlignment="1">
      <alignment horizontal="center"/>
    </xf>
    <xf numFmtId="191" fontId="2" fillId="0" borderId="22" xfId="0" applyNumberFormat="1" applyFont="1" applyBorder="1" applyAlignment="1">
      <alignment horizontal="center"/>
    </xf>
    <xf numFmtId="192" fontId="2" fillId="0" borderId="23" xfId="0" applyNumberFormat="1" applyFont="1" applyBorder="1" applyAlignment="1">
      <alignment horizontal="center"/>
    </xf>
    <xf numFmtId="192" fontId="2" fillId="30" borderId="32" xfId="0" applyNumberFormat="1" applyFont="1" applyFill="1" applyBorder="1" applyAlignment="1" applyProtection="1">
      <alignment horizontal="center"/>
      <protection locked="0"/>
    </xf>
    <xf numFmtId="202" fontId="2" fillId="0" borderId="23" xfId="0" applyNumberFormat="1" applyFont="1" applyBorder="1" applyAlignment="1">
      <alignment horizontal="center"/>
    </xf>
    <xf numFmtId="201" fontId="2" fillId="0" borderId="23" xfId="0" applyNumberFormat="1" applyFont="1" applyBorder="1" applyAlignment="1">
      <alignment horizontal="center"/>
    </xf>
    <xf numFmtId="199" fontId="2" fillId="0" borderId="33" xfId="0" applyNumberFormat="1" applyFont="1" applyBorder="1" applyAlignment="1">
      <alignment horizontal="center"/>
    </xf>
    <xf numFmtId="200" fontId="2" fillId="0" borderId="32" xfId="0" applyNumberFormat="1" applyFont="1" applyBorder="1" applyAlignment="1">
      <alignment horizontal="center"/>
    </xf>
    <xf numFmtId="191" fontId="2" fillId="0" borderId="0" xfId="0" applyNumberFormat="1" applyFont="1" applyAlignment="1">
      <alignment horizontal="center"/>
    </xf>
    <xf numFmtId="192" fontId="2" fillId="0" borderId="20" xfId="0" applyNumberFormat="1" applyFont="1" applyBorder="1" applyAlignment="1">
      <alignment horizontal="center"/>
    </xf>
    <xf numFmtId="0" fontId="15" fillId="0" borderId="10" xfId="0" applyFont="1" applyBorder="1"/>
    <xf numFmtId="0" fontId="0" fillId="29" borderId="20" xfId="0" applyFill="1" applyBorder="1" applyAlignment="1">
      <alignment horizontal="center"/>
    </xf>
    <xf numFmtId="0" fontId="0" fillId="31" borderId="65" xfId="0" applyFill="1" applyBorder="1" applyAlignment="1">
      <alignment horizontal="center"/>
    </xf>
    <xf numFmtId="186" fontId="0" fillId="24" borderId="11" xfId="0" applyNumberFormat="1" applyFill="1" applyBorder="1" applyAlignment="1">
      <alignment horizontal="center"/>
    </xf>
    <xf numFmtId="203" fontId="0" fillId="24" borderId="11" xfId="0" applyNumberFormat="1" applyFill="1" applyBorder="1" applyAlignment="1">
      <alignment horizontal="center"/>
    </xf>
    <xf numFmtId="0" fontId="2" fillId="11" borderId="66" xfId="0" applyFont="1" applyFill="1" applyBorder="1" applyAlignment="1" applyProtection="1">
      <alignment horizontal="center" vertical="center"/>
      <protection hidden="1"/>
    </xf>
    <xf numFmtId="164" fontId="2" fillId="17" borderId="24" xfId="0" applyNumberFormat="1" applyFont="1" applyFill="1" applyBorder="1" applyAlignment="1">
      <alignment horizontal="center" vertical="center"/>
    </xf>
    <xf numFmtId="0" fontId="2" fillId="11" borderId="67" xfId="0" applyFont="1" applyFill="1" applyBorder="1" applyAlignment="1" applyProtection="1">
      <alignment horizontal="center" vertical="center"/>
      <protection hidden="1"/>
    </xf>
    <xf numFmtId="17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2" fillId="28" borderId="2" xfId="0" applyFont="1" applyFill="1" applyBorder="1" applyAlignment="1">
      <alignment horizontal="center" vertic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9" borderId="25" xfId="0" applyFill="1" applyBorder="1" applyAlignment="1">
      <alignment horizontal="center"/>
    </xf>
    <xf numFmtId="0" fontId="1" fillId="0" borderId="0" xfId="2" applyProtection="1">
      <protection locked="0"/>
    </xf>
    <xf numFmtId="0" fontId="1" fillId="0" borderId="0" xfId="2"/>
    <xf numFmtId="0" fontId="36" fillId="0" borderId="0" xfId="2" applyFont="1"/>
    <xf numFmtId="186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30" borderId="2" xfId="0" applyFill="1" applyBorder="1" applyAlignment="1">
      <alignment vertical="center"/>
    </xf>
    <xf numFmtId="164" fontId="2" fillId="18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0" xfId="1" applyAlignment="1" applyProtection="1">
      <alignment horizontal="left"/>
      <protection hidden="1"/>
    </xf>
    <xf numFmtId="166" fontId="50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 vertical="center"/>
      <protection hidden="1"/>
    </xf>
    <xf numFmtId="186" fontId="2" fillId="0" borderId="0" xfId="0" applyNumberFormat="1" applyFont="1" applyAlignment="1">
      <alignment horizontal="center" vertical="center"/>
    </xf>
    <xf numFmtId="204" fontId="2" fillId="32" borderId="2" xfId="0" applyNumberFormat="1" applyFont="1" applyFill="1" applyBorder="1" applyAlignment="1">
      <alignment horizontal="center" vertical="center"/>
    </xf>
    <xf numFmtId="175" fontId="0" fillId="7" borderId="46" xfId="0" applyNumberFormat="1" applyFill="1" applyBorder="1" applyAlignment="1">
      <alignment horizontal="center" vertical="center"/>
    </xf>
    <xf numFmtId="175" fontId="2" fillId="7" borderId="2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0" fontId="2" fillId="9" borderId="46" xfId="0" applyFont="1" applyFill="1" applyBorder="1" applyAlignment="1" applyProtection="1">
      <alignment horizontal="center" vertical="center"/>
      <protection hidden="1"/>
    </xf>
    <xf numFmtId="0" fontId="5" fillId="9" borderId="46" xfId="0" applyFont="1" applyFill="1" applyBorder="1" applyAlignment="1" applyProtection="1">
      <alignment horizontal="center" vertical="center"/>
      <protection hidden="1"/>
    </xf>
    <xf numFmtId="2" fontId="0" fillId="7" borderId="68" xfId="0" applyNumberFormat="1" applyFill="1" applyBorder="1" applyAlignment="1">
      <alignment horizontal="center" vertical="center"/>
    </xf>
    <xf numFmtId="187" fontId="2" fillId="7" borderId="68" xfId="0" applyNumberFormat="1" applyFont="1" applyFill="1" applyBorder="1" applyAlignment="1">
      <alignment horizontal="center" vertical="center"/>
    </xf>
    <xf numFmtId="165" fontId="0" fillId="7" borderId="69" xfId="0" applyNumberFormat="1" applyFill="1" applyBorder="1" applyAlignment="1">
      <alignment horizontal="center" vertical="center"/>
    </xf>
    <xf numFmtId="188" fontId="2" fillId="7" borderId="70" xfId="0" applyNumberFormat="1" applyFont="1" applyFill="1" applyBorder="1" applyAlignment="1">
      <alignment horizontal="center" vertical="center"/>
    </xf>
    <xf numFmtId="165" fontId="0" fillId="7" borderId="71" xfId="0" applyNumberFormat="1" applyFill="1" applyBorder="1" applyAlignment="1">
      <alignment horizontal="center" vertical="center"/>
    </xf>
    <xf numFmtId="165" fontId="0" fillId="7" borderId="70" xfId="0" applyNumberFormat="1" applyFill="1" applyBorder="1" applyAlignment="1">
      <alignment horizontal="center" vertical="center"/>
    </xf>
    <xf numFmtId="186" fontId="0" fillId="7" borderId="43" xfId="0" applyNumberFormat="1" applyFill="1" applyBorder="1" applyAlignment="1">
      <alignment horizontal="center" vertical="center"/>
    </xf>
    <xf numFmtId="165" fontId="0" fillId="7" borderId="72" xfId="0" applyNumberFormat="1" applyFill="1" applyBorder="1" applyAlignment="1">
      <alignment horizontal="center" vertical="center"/>
    </xf>
    <xf numFmtId="166" fontId="2" fillId="27" borderId="14" xfId="0" applyNumberFormat="1" applyFont="1" applyFill="1" applyBorder="1" applyAlignment="1">
      <alignment horizontal="center" vertical="center"/>
    </xf>
    <xf numFmtId="0" fontId="0" fillId="32" borderId="2" xfId="0" applyFill="1" applyBorder="1" applyAlignment="1">
      <alignment vertical="center"/>
    </xf>
    <xf numFmtId="187" fontId="0" fillId="7" borderId="73" xfId="0" applyNumberFormat="1" applyFill="1" applyBorder="1" applyAlignment="1">
      <alignment horizontal="center" vertical="center"/>
    </xf>
    <xf numFmtId="205" fontId="0" fillId="32" borderId="2" xfId="0" applyNumberFormat="1" applyFill="1" applyBorder="1" applyAlignment="1">
      <alignment horizontal="center" vertical="center"/>
    </xf>
    <xf numFmtId="206" fontId="15" fillId="0" borderId="0" xfId="2" applyNumberFormat="1" applyFont="1" applyProtection="1">
      <protection hidden="1"/>
    </xf>
    <xf numFmtId="175" fontId="2" fillId="0" borderId="0" xfId="2" applyNumberFormat="1" applyFont="1" applyProtection="1">
      <protection locked="0"/>
    </xf>
    <xf numFmtId="186" fontId="2" fillId="30" borderId="2" xfId="0" applyNumberFormat="1" applyFont="1" applyFill="1" applyBorder="1" applyAlignment="1">
      <alignment horizontal="center" vertical="center"/>
    </xf>
    <xf numFmtId="177" fontId="2" fillId="0" borderId="0" xfId="2" applyNumberFormat="1" applyFont="1"/>
    <xf numFmtId="170" fontId="2" fillId="33" borderId="25" xfId="0" applyNumberFormat="1" applyFont="1" applyFill="1" applyBorder="1" applyAlignment="1" applyProtection="1">
      <alignment horizontal="center" vertical="center"/>
      <protection locked="0"/>
    </xf>
    <xf numFmtId="165" fontId="2" fillId="5" borderId="34" xfId="2" applyNumberFormat="1" applyFont="1" applyFill="1" applyBorder="1" applyAlignment="1">
      <alignment horizontal="center"/>
    </xf>
    <xf numFmtId="178" fontId="14" fillId="5" borderId="34" xfId="2" applyNumberFormat="1" applyFont="1" applyFill="1" applyBorder="1"/>
    <xf numFmtId="179" fontId="32" fillId="5" borderId="24" xfId="2" applyNumberFormat="1" applyFont="1" applyFill="1" applyBorder="1" applyAlignment="1" applyProtection="1">
      <alignment horizontal="center" vertical="center"/>
      <protection hidden="1"/>
    </xf>
    <xf numFmtId="0" fontId="32" fillId="5" borderId="24" xfId="2" applyFont="1" applyFill="1" applyBorder="1" applyAlignment="1" applyProtection="1">
      <alignment horizontal="center" vertical="center"/>
      <protection hidden="1"/>
    </xf>
    <xf numFmtId="2" fontId="15" fillId="0" borderId="19" xfId="2" applyNumberFormat="1" applyFont="1" applyBorder="1" applyAlignment="1" applyProtection="1">
      <alignment horizontal="center"/>
      <protection hidden="1"/>
    </xf>
    <xf numFmtId="2" fontId="15" fillId="0" borderId="20" xfId="2" applyNumberFormat="1" applyFont="1" applyBorder="1" applyAlignment="1" applyProtection="1">
      <alignment horizontal="center"/>
      <protection hidden="1"/>
    </xf>
    <xf numFmtId="2" fontId="15" fillId="0" borderId="0" xfId="2" applyNumberFormat="1" applyFont="1" applyAlignment="1" applyProtection="1">
      <alignment horizontal="center"/>
      <protection hidden="1"/>
    </xf>
    <xf numFmtId="0" fontId="2" fillId="6" borderId="24" xfId="2" applyFont="1" applyFill="1" applyBorder="1" applyAlignment="1">
      <alignment vertical="center"/>
    </xf>
    <xf numFmtId="0" fontId="2" fillId="6" borderId="24" xfId="2" applyFont="1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2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6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2" applyFont="1" applyFill="1" applyBorder="1" applyAlignment="1" applyProtection="1">
      <alignment horizontal="left"/>
      <protection hidden="1"/>
    </xf>
    <xf numFmtId="0" fontId="2" fillId="10" borderId="26" xfId="2" applyFont="1" applyFill="1" applyBorder="1" applyAlignment="1" applyProtection="1">
      <alignment horizontal="left"/>
      <protection hidden="1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 vertical="top"/>
    </xf>
    <xf numFmtId="0" fontId="45" fillId="0" borderId="0" xfId="2" applyFont="1" applyAlignment="1">
      <alignment horizontal="center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75" xfId="2" applyFont="1" applyFill="1" applyBorder="1" applyAlignment="1" applyProtection="1">
      <alignment horizontal="center"/>
      <protection hidden="1"/>
    </xf>
    <xf numFmtId="0" fontId="2" fillId="10" borderId="76" xfId="2" applyFont="1" applyFill="1" applyBorder="1" applyAlignment="1" applyProtection="1">
      <alignment horizontal="center"/>
      <protection hidden="1"/>
    </xf>
    <xf numFmtId="0" fontId="45" fillId="4" borderId="25" xfId="2" applyFont="1" applyFill="1" applyBorder="1" applyAlignment="1" applyProtection="1">
      <alignment horizontal="center"/>
      <protection locked="0"/>
    </xf>
    <xf numFmtId="0" fontId="45" fillId="4" borderId="77" xfId="2" applyFont="1" applyFill="1" applyBorder="1" applyAlignment="1" applyProtection="1">
      <alignment horizontal="center"/>
      <protection locked="0"/>
    </xf>
    <xf numFmtId="165" fontId="33" fillId="5" borderId="2" xfId="2" applyNumberFormat="1" applyFont="1" applyFill="1" applyBorder="1" applyAlignment="1">
      <alignment horizontal="center"/>
    </xf>
    <xf numFmtId="178" fontId="33" fillId="5" borderId="34" xfId="2" applyNumberFormat="1" applyFont="1" applyFill="1" applyBorder="1" applyAlignment="1">
      <alignment horizontal="center"/>
    </xf>
    <xf numFmtId="178" fontId="33" fillId="5" borderId="14" xfId="2" applyNumberFormat="1" applyFont="1" applyFill="1" applyBorder="1" applyAlignment="1">
      <alignment horizontal="center"/>
    </xf>
    <xf numFmtId="165" fontId="33" fillId="5" borderId="34" xfId="2" applyNumberFormat="1" applyFont="1" applyFill="1" applyBorder="1" applyAlignment="1">
      <alignment horizontal="center"/>
    </xf>
    <xf numFmtId="165" fontId="33" fillId="5" borderId="14" xfId="2" applyNumberFormat="1" applyFont="1" applyFill="1" applyBorder="1" applyAlignment="1">
      <alignment horizontal="center"/>
    </xf>
    <xf numFmtId="0" fontId="2" fillId="10" borderId="78" xfId="2" applyFont="1" applyFill="1" applyBorder="1" applyAlignment="1" applyProtection="1">
      <alignment horizontal="center"/>
      <protection hidden="1"/>
    </xf>
    <xf numFmtId="0" fontId="2" fillId="10" borderId="79" xfId="2" applyFont="1" applyFill="1" applyBorder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177" fontId="2" fillId="4" borderId="34" xfId="2" applyNumberFormat="1" applyFont="1" applyFill="1" applyBorder="1" applyAlignment="1" applyProtection="1">
      <alignment horizontal="center"/>
      <protection locked="0"/>
    </xf>
    <xf numFmtId="177" fontId="2" fillId="4" borderId="14" xfId="2" applyNumberFormat="1" applyFont="1" applyFill="1" applyBorder="1" applyAlignment="1" applyProtection="1">
      <alignment horizontal="center"/>
      <protection locked="0"/>
    </xf>
    <xf numFmtId="0" fontId="35" fillId="4" borderId="25" xfId="2" applyFont="1" applyFill="1" applyBorder="1" applyAlignment="1" applyProtection="1">
      <alignment horizontal="center" vertical="center"/>
      <protection locked="0"/>
    </xf>
    <xf numFmtId="0" fontId="35" fillId="4" borderId="2" xfId="2" applyFont="1" applyFill="1" applyBorder="1" applyAlignment="1" applyProtection="1">
      <alignment horizontal="center" vertical="center"/>
      <protection locked="0"/>
    </xf>
    <xf numFmtId="0" fontId="3" fillId="19" borderId="0" xfId="2" applyFont="1" applyFill="1" applyAlignment="1">
      <alignment horizontal="center"/>
    </xf>
    <xf numFmtId="0" fontId="2" fillId="0" borderId="0" xfId="2" applyFont="1" applyAlignment="1" applyProtection="1">
      <alignment horizontal="center"/>
      <protection hidden="1"/>
    </xf>
    <xf numFmtId="178" fontId="33" fillId="5" borderId="2" xfId="2" applyNumberFormat="1" applyFont="1" applyFill="1" applyBorder="1" applyAlignment="1">
      <alignment horizontal="center"/>
    </xf>
    <xf numFmtId="0" fontId="2" fillId="10" borderId="80" xfId="2" applyFont="1" applyFill="1" applyBorder="1" applyAlignment="1" applyProtection="1">
      <alignment horizontal="center"/>
      <protection hidden="1"/>
    </xf>
    <xf numFmtId="0" fontId="2" fillId="10" borderId="81" xfId="2" applyFont="1" applyFill="1" applyBorder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/>
      <protection locked="0"/>
    </xf>
    <xf numFmtId="0" fontId="2" fillId="4" borderId="82" xfId="2" applyFont="1" applyFill="1" applyBorder="1" applyAlignment="1" applyProtection="1">
      <alignment horizontal="center"/>
      <protection locked="0"/>
    </xf>
    <xf numFmtId="0" fontId="2" fillId="10" borderId="34" xfId="2" applyFont="1" applyFill="1" applyBorder="1" applyAlignment="1" applyProtection="1">
      <alignment horizontal="center"/>
      <protection hidden="1"/>
    </xf>
    <xf numFmtId="0" fontId="2" fillId="10" borderId="14" xfId="2" applyFont="1" applyFill="1" applyBorder="1" applyAlignment="1" applyProtection="1">
      <alignment horizontal="center"/>
      <protection hidden="1"/>
    </xf>
    <xf numFmtId="176" fontId="33" fillId="5" borderId="34" xfId="2" applyNumberFormat="1" applyFont="1" applyFill="1" applyBorder="1" applyAlignment="1">
      <alignment horizontal="center"/>
    </xf>
    <xf numFmtId="176" fontId="33" fillId="5" borderId="14" xfId="2" applyNumberFormat="1" applyFont="1" applyFill="1" applyBorder="1" applyAlignment="1">
      <alignment horizontal="center"/>
    </xf>
    <xf numFmtId="178" fontId="34" fillId="5" borderId="34" xfId="2" applyNumberFormat="1" applyFont="1" applyFill="1" applyBorder="1" applyAlignment="1">
      <alignment horizontal="center"/>
    </xf>
    <xf numFmtId="178" fontId="34" fillId="5" borderId="14" xfId="2" applyNumberFormat="1" applyFont="1" applyFill="1" applyBorder="1" applyAlignment="1">
      <alignment horizontal="center"/>
    </xf>
    <xf numFmtId="0" fontId="33" fillId="6" borderId="34" xfId="2" applyFont="1" applyFill="1" applyBorder="1" applyAlignment="1">
      <alignment horizontal="center"/>
    </xf>
    <xf numFmtId="0" fontId="33" fillId="6" borderId="14" xfId="2" applyFont="1" applyFill="1" applyBorder="1" applyAlignment="1">
      <alignment horizontal="center"/>
    </xf>
    <xf numFmtId="20" fontId="2" fillId="4" borderId="34" xfId="2" applyNumberFormat="1" applyFont="1" applyFill="1" applyBorder="1" applyAlignment="1" applyProtection="1">
      <alignment horizontal="center"/>
      <protection locked="0"/>
    </xf>
    <xf numFmtId="20" fontId="2" fillId="4" borderId="82" xfId="2" applyNumberFormat="1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45" fillId="0" borderId="83" xfId="2" applyFont="1" applyBorder="1" applyAlignment="1">
      <alignment horizontal="center"/>
    </xf>
    <xf numFmtId="0" fontId="2" fillId="4" borderId="21" xfId="2" applyFont="1" applyFill="1" applyBorder="1" applyAlignment="1" applyProtection="1">
      <alignment horizontal="center"/>
      <protection locked="0"/>
    </xf>
    <xf numFmtId="0" fontId="2" fillId="4" borderId="84" xfId="2" applyFont="1" applyFill="1" applyBorder="1" applyAlignment="1" applyProtection="1">
      <alignment horizontal="center"/>
      <protection locked="0"/>
    </xf>
    <xf numFmtId="0" fontId="17" fillId="5" borderId="31" xfId="2" applyFont="1" applyFill="1" applyBorder="1" applyAlignment="1">
      <alignment horizontal="center" vertical="center"/>
    </xf>
    <xf numFmtId="0" fontId="17" fillId="5" borderId="32" xfId="2" applyFont="1" applyFill="1" applyBorder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23" xfId="2" applyFont="1" applyFill="1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/>
      <protection locked="0"/>
    </xf>
    <xf numFmtId="0" fontId="2" fillId="4" borderId="8" xfId="2" applyFont="1" applyFill="1" applyBorder="1" applyAlignment="1" applyProtection="1">
      <alignment horizontal="center"/>
      <protection locked="0"/>
    </xf>
    <xf numFmtId="177" fontId="33" fillId="5" borderId="34" xfId="2" applyNumberFormat="1" applyFont="1" applyFill="1" applyBorder="1" applyAlignment="1" applyProtection="1">
      <alignment horizontal="center"/>
      <protection hidden="1"/>
    </xf>
    <xf numFmtId="177" fontId="33" fillId="5" borderId="14" xfId="2" applyNumberFormat="1" applyFont="1" applyFill="1" applyBorder="1" applyAlignment="1" applyProtection="1">
      <alignment horizontal="center"/>
      <protection hidden="1"/>
    </xf>
    <xf numFmtId="176" fontId="33" fillId="5" borderId="34" xfId="2" applyNumberFormat="1" applyFont="1" applyFill="1" applyBorder="1" applyAlignment="1" applyProtection="1">
      <alignment horizontal="center"/>
      <protection hidden="1"/>
    </xf>
    <xf numFmtId="176" fontId="33" fillId="5" borderId="14" xfId="2" applyNumberFormat="1" applyFont="1" applyFill="1" applyBorder="1" applyAlignment="1" applyProtection="1">
      <alignment horizontal="center"/>
      <protection hidden="1"/>
    </xf>
    <xf numFmtId="165" fontId="2" fillId="5" borderId="34" xfId="2" applyNumberFormat="1" applyFont="1" applyFill="1" applyBorder="1" applyAlignment="1">
      <alignment horizontal="center"/>
    </xf>
    <xf numFmtId="165" fontId="2" fillId="5" borderId="14" xfId="2" applyNumberFormat="1" applyFont="1" applyFill="1" applyBorder="1" applyAlignment="1">
      <alignment horizontal="center"/>
    </xf>
    <xf numFmtId="0" fontId="15" fillId="0" borderId="0" xfId="2" applyFont="1" applyAlignment="1" applyProtection="1">
      <alignment horizontal="center"/>
      <protection hidden="1"/>
    </xf>
    <xf numFmtId="0" fontId="30" fillId="6" borderId="34" xfId="2" applyFont="1" applyFill="1" applyBorder="1" applyAlignment="1" applyProtection="1">
      <alignment horizontal="center"/>
      <protection hidden="1"/>
    </xf>
    <xf numFmtId="0" fontId="30" fillId="6" borderId="14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33" fillId="6" borderId="2" xfId="2" applyFont="1" applyFill="1" applyBorder="1" applyAlignment="1">
      <alignment horizontal="center"/>
    </xf>
    <xf numFmtId="0" fontId="41" fillId="8" borderId="85" xfId="0" applyFont="1" applyFill="1" applyBorder="1" applyAlignment="1" applyProtection="1">
      <alignment horizontal="center" vertical="center"/>
      <protection hidden="1"/>
    </xf>
    <xf numFmtId="0" fontId="41" fillId="8" borderId="86" xfId="0" applyFont="1" applyFill="1" applyBorder="1" applyAlignment="1" applyProtection="1">
      <alignment horizontal="center" vertical="center"/>
      <protection hidden="1"/>
    </xf>
    <xf numFmtId="0" fontId="2" fillId="8" borderId="87" xfId="0" applyFont="1" applyFill="1" applyBorder="1" applyAlignment="1" applyProtection="1">
      <alignment horizontal="center" vertical="center"/>
      <protection hidden="1"/>
    </xf>
    <xf numFmtId="0" fontId="11" fillId="8" borderId="15" xfId="0" applyFont="1" applyFill="1" applyBorder="1" applyAlignment="1" applyProtection="1">
      <alignment horizontal="center" vertical="center"/>
      <protection hidden="1"/>
    </xf>
    <xf numFmtId="0" fontId="41" fillId="8" borderId="88" xfId="0" applyFont="1" applyFill="1" applyBorder="1" applyAlignment="1" applyProtection="1">
      <alignment horizontal="center" vertical="center"/>
      <protection hidden="1"/>
    </xf>
    <xf numFmtId="0" fontId="41" fillId="8" borderId="89" xfId="0" applyFont="1" applyFill="1" applyBorder="1" applyAlignment="1" applyProtection="1">
      <alignment horizontal="center" vertical="center"/>
      <protection hidden="1"/>
    </xf>
    <xf numFmtId="0" fontId="14" fillId="8" borderId="15" xfId="0" applyFont="1" applyFill="1" applyBorder="1" applyAlignment="1" applyProtection="1">
      <alignment horizontal="center" vertical="center"/>
      <protection hidden="1"/>
    </xf>
    <xf numFmtId="0" fontId="12" fillId="8" borderId="17" xfId="0" applyFont="1" applyFill="1" applyBorder="1" applyAlignment="1" applyProtection="1">
      <alignment horizontal="center" vertical="center"/>
      <protection hidden="1"/>
    </xf>
    <xf numFmtId="0" fontId="12" fillId="8" borderId="16" xfId="0" applyFont="1" applyFill="1" applyBorder="1" applyAlignment="1" applyProtection="1">
      <alignment horizontal="center" vertical="center"/>
      <protection hidden="1"/>
    </xf>
    <xf numFmtId="0" fontId="2" fillId="13" borderId="90" xfId="0" applyFont="1" applyFill="1" applyBorder="1" applyAlignment="1" applyProtection="1">
      <alignment horizontal="center" vertical="center"/>
      <protection locked="0"/>
    </xf>
    <xf numFmtId="0" fontId="2" fillId="13" borderId="91" xfId="0" applyFont="1" applyFill="1" applyBorder="1" applyAlignment="1" applyProtection="1">
      <alignment horizontal="center" vertical="center"/>
      <protection locked="0"/>
    </xf>
    <xf numFmtId="164" fontId="2" fillId="13" borderId="46" xfId="0" applyNumberFormat="1" applyFont="1" applyFill="1" applyBorder="1" applyAlignment="1">
      <alignment horizontal="center" vertical="center"/>
    </xf>
    <xf numFmtId="168" fontId="2" fillId="13" borderId="15" xfId="0" applyNumberFormat="1" applyFont="1" applyFill="1" applyBorder="1" applyAlignment="1" applyProtection="1">
      <alignment horizontal="center" vertical="center"/>
      <protection locked="0"/>
    </xf>
    <xf numFmtId="167" fontId="2" fillId="13" borderId="15" xfId="0" applyNumberFormat="1" applyFont="1" applyFill="1" applyBorder="1" applyAlignment="1" applyProtection="1">
      <alignment horizontal="center" vertical="center"/>
      <protection locked="0"/>
    </xf>
    <xf numFmtId="0" fontId="2" fillId="13" borderId="92" xfId="0" applyFont="1" applyFill="1" applyBorder="1" applyAlignment="1">
      <alignment horizontal="center"/>
    </xf>
    <xf numFmtId="0" fontId="2" fillId="13" borderId="91" xfId="0" applyFont="1" applyFill="1" applyBorder="1" applyAlignment="1">
      <alignment horizontal="center"/>
    </xf>
    <xf numFmtId="0" fontId="2" fillId="12" borderId="15" xfId="0" applyFont="1" applyFill="1" applyBorder="1" applyAlignment="1" applyProtection="1">
      <alignment horizontal="center"/>
      <protection hidden="1"/>
    </xf>
    <xf numFmtId="166" fontId="2" fillId="17" borderId="46" xfId="0" applyNumberFormat="1" applyFont="1" applyFill="1" applyBorder="1" applyAlignment="1">
      <alignment horizontal="center" vertical="center"/>
    </xf>
    <xf numFmtId="0" fontId="2" fillId="12" borderId="66" xfId="0" applyFont="1" applyFill="1" applyBorder="1" applyAlignment="1" applyProtection="1">
      <alignment horizontal="center"/>
      <protection hidden="1"/>
    </xf>
    <xf numFmtId="0" fontId="2" fillId="12" borderId="93" xfId="0" applyFont="1" applyFill="1" applyBorder="1" applyAlignment="1" applyProtection="1">
      <alignment horizontal="center"/>
      <protection hidden="1"/>
    </xf>
    <xf numFmtId="0" fontId="11" fillId="8" borderId="94" xfId="0" applyFont="1" applyFill="1" applyBorder="1" applyAlignment="1" applyProtection="1">
      <alignment horizontal="center" vertical="center"/>
      <protection hidden="1"/>
    </xf>
    <xf numFmtId="0" fontId="11" fillId="8" borderId="68" xfId="0" applyFont="1" applyFill="1" applyBorder="1" applyAlignment="1" applyProtection="1">
      <alignment horizontal="center" vertical="center"/>
      <protection hidden="1"/>
    </xf>
    <xf numFmtId="0" fontId="12" fillId="8" borderId="95" xfId="0" applyFont="1" applyFill="1" applyBorder="1" applyAlignment="1" applyProtection="1">
      <alignment horizontal="center" vertical="center"/>
      <protection hidden="1"/>
    </xf>
    <xf numFmtId="0" fontId="11" fillId="8" borderId="96" xfId="0" applyFont="1" applyFill="1" applyBorder="1" applyAlignment="1" applyProtection="1">
      <alignment horizontal="center" vertical="center"/>
      <protection hidden="1"/>
    </xf>
    <xf numFmtId="0" fontId="41" fillId="8" borderId="97" xfId="0" applyFont="1" applyFill="1" applyBorder="1" applyAlignment="1" applyProtection="1">
      <alignment horizontal="center" vertical="center"/>
      <protection hidden="1"/>
    </xf>
    <xf numFmtId="0" fontId="2" fillId="4" borderId="34" xfId="2" applyFont="1" applyFill="1" applyBorder="1" applyAlignment="1" applyProtection="1">
      <alignment horizontal="center" vertical="center"/>
      <protection locked="0"/>
    </xf>
    <xf numFmtId="0" fontId="2" fillId="4" borderId="14" xfId="2" applyFont="1" applyFill="1" applyBorder="1" applyAlignment="1" applyProtection="1">
      <alignment horizontal="center" vertical="center"/>
      <protection locked="0"/>
    </xf>
    <xf numFmtId="0" fontId="14" fillId="8" borderId="98" xfId="0" applyFont="1" applyFill="1" applyBorder="1" applyAlignment="1" applyProtection="1">
      <alignment horizontal="center" vertical="center"/>
      <protection hidden="1"/>
    </xf>
    <xf numFmtId="0" fontId="14" fillId="8" borderId="43" xfId="0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 vertical="center"/>
      <protection locked="0"/>
    </xf>
    <xf numFmtId="0" fontId="3" fillId="20" borderId="0" xfId="0" applyFont="1" applyFill="1" applyAlignment="1">
      <alignment horizontal="center"/>
    </xf>
    <xf numFmtId="0" fontId="35" fillId="13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30" borderId="21" xfId="0" applyFill="1" applyBorder="1" applyAlignment="1">
      <alignment horizontal="center"/>
    </xf>
    <xf numFmtId="0" fontId="0" fillId="30" borderId="23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0" borderId="19" xfId="0" applyFill="1" applyBorder="1" applyAlignment="1">
      <alignment horizontal="center"/>
    </xf>
    <xf numFmtId="0" fontId="0" fillId="30" borderId="20" xfId="0" applyFill="1" applyBorder="1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30" borderId="21" xfId="0" applyFill="1" applyBorder="1" applyAlignment="1" applyProtection="1">
      <alignment horizontal="center"/>
      <protection locked="0"/>
    </xf>
    <xf numFmtId="0" fontId="0" fillId="30" borderId="23" xfId="0" applyFill="1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30" borderId="19" xfId="0" applyFill="1" applyBorder="1" applyAlignment="1" applyProtection="1">
      <alignment horizontal="center"/>
      <protection locked="0"/>
    </xf>
    <xf numFmtId="0" fontId="0" fillId="30" borderId="20" xfId="0" applyFill="1" applyBorder="1" applyAlignment="1" applyProtection="1">
      <alignment horizontal="center"/>
      <protection locked="0"/>
    </xf>
    <xf numFmtId="0" fontId="0" fillId="28" borderId="31" xfId="0" applyFill="1" applyBorder="1" applyAlignment="1">
      <alignment horizontal="center"/>
    </xf>
    <xf numFmtId="0" fontId="0" fillId="28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2" fontId="0" fillId="22" borderId="53" xfId="0" applyNumberFormat="1" applyFill="1" applyBorder="1" applyAlignment="1">
      <alignment horizontal="center"/>
    </xf>
    <xf numFmtId="2" fontId="0" fillId="22" borderId="65" xfId="0" applyNumberFormat="1" applyFill="1" applyBorder="1" applyAlignment="1">
      <alignment horizontal="center"/>
    </xf>
    <xf numFmtId="2" fontId="0" fillId="22" borderId="11" xfId="0" applyNumberFormat="1" applyFill="1" applyBorder="1" applyAlignment="1">
      <alignment horizontal="center"/>
    </xf>
    <xf numFmtId="2" fontId="0" fillId="22" borderId="54" xfId="0" applyNumberFormat="1" applyFill="1" applyBorder="1" applyAlignment="1">
      <alignment horizontal="center"/>
    </xf>
    <xf numFmtId="0" fontId="0" fillId="22" borderId="99" xfId="0" applyFill="1" applyBorder="1" applyAlignment="1">
      <alignment horizontal="center"/>
    </xf>
    <xf numFmtId="0" fontId="0" fillId="22" borderId="100" xfId="0" applyFill="1" applyBorder="1" applyAlignment="1">
      <alignment horizontal="center"/>
    </xf>
    <xf numFmtId="0" fontId="0" fillId="22" borderId="101" xfId="0" applyFill="1" applyBorder="1" applyAlignment="1">
      <alignment horizontal="center"/>
    </xf>
    <xf numFmtId="2" fontId="0" fillId="22" borderId="52" xfId="0" applyNumberFormat="1" applyFill="1" applyBorder="1" applyAlignment="1">
      <alignment horizontal="center"/>
    </xf>
    <xf numFmtId="194" fontId="2" fillId="13" borderId="46" xfId="0" applyNumberFormat="1" applyFont="1" applyFill="1" applyBorder="1" applyAlignment="1">
      <alignment horizontal="center" vertical="center"/>
    </xf>
    <xf numFmtId="195" fontId="2" fillId="17" borderId="15" xfId="0" applyNumberFormat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6" xfId="0" applyFont="1" applyFill="1" applyBorder="1" applyAlignment="1">
      <alignment horizontal="center" vertical="center"/>
    </xf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5" fontId="2" fillId="0" borderId="22" xfId="0" applyNumberFormat="1" applyFont="1" applyBorder="1" applyAlignment="1">
      <alignment horizontal="center" vertical="center"/>
    </xf>
    <xf numFmtId="175" fontId="2" fillId="0" borderId="23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54"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  <dxf>
      <font>
        <color rgb="FFFF0000"/>
      </font>
    </dxf>
    <dxf>
      <font>
        <color rgb="FF808080"/>
      </font>
    </dxf>
    <dxf>
      <fill>
        <patternFill>
          <bgColor indexed="10"/>
        </patternFill>
      </fill>
    </dxf>
    <dxf>
      <fill>
        <patternFill patternType="solid">
          <fgColor indexed="53"/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color rgb="FFCCFFFF"/>
      </font>
    </dxf>
    <dxf>
      <font>
        <color rgb="FFCC6600"/>
      </font>
    </dxf>
    <dxf>
      <font>
        <color rgb="FFCC6600"/>
      </font>
    </dxf>
    <dxf>
      <fill>
        <patternFill>
          <bgColor rgb="FFFF00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  <dxf>
      <font>
        <color rgb="FF99CCFF"/>
      </font>
    </dxf>
    <dxf>
      <fill>
        <patternFill>
          <bgColor indexed="10"/>
        </patternFill>
      </fill>
    </dxf>
    <dxf>
      <font>
        <color theme="0"/>
      </font>
      <fill>
        <patternFill>
          <bgColor theme="0"/>
        </patternFill>
      </fill>
      <border>
        <right/>
        <top/>
        <bottom/>
      </border>
    </dxf>
    <dxf>
      <font>
        <color indexed="9"/>
      </font>
      <fill>
        <patternFill patternType="solid">
          <bgColor indexed="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theme="0"/>
        </patternFill>
      </fill>
      <border>
        <right/>
        <bottom/>
      </border>
    </dxf>
    <dxf>
      <fill>
        <patternFill patternType="solid">
          <fgColor indexed="60"/>
          <bgColor indexed="10"/>
        </patternFill>
      </fill>
    </dxf>
    <dxf>
      <font>
        <color rgb="FFFFFF99"/>
        <name val="Cambria"/>
        <scheme val="none"/>
      </font>
    </dxf>
    <dxf>
      <font>
        <color rgb="FFFFCC99"/>
      </font>
    </dxf>
    <dxf>
      <font>
        <color rgb="FF808080"/>
      </font>
    </dxf>
    <dxf>
      <font>
        <color theme="0"/>
      </font>
      <fill>
        <patternFill>
          <bgColor theme="0"/>
        </patternFill>
      </fill>
      <border>
        <left/>
        <right/>
        <bottom/>
      </border>
    </dxf>
    <dxf>
      <font>
        <color rgb="FFFF0000"/>
      </font>
    </dxf>
    <dxf>
      <font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FF0000"/>
      </font>
    </dxf>
    <dxf>
      <font>
        <color rgb="FFCC6600"/>
      </font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</dxfs>
  <tableStyles count="1" defaultTableStyle="TableStyleMedium2" defaultPivotStyle="PivotStyleLight16">
    <tableStyle name="Invisible" pivot="0" table="0" count="0" xr9:uid="{F4726A1C-5962-4C6D-A156-DDCD1FCD6B5E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85232743879301E-2"/>
          <c:y val="6.1378198400092628E-2"/>
          <c:w val="0.84871001627006748"/>
          <c:h val="0.90566037735849303"/>
        </c:manualLayout>
      </c:layout>
      <c:scatterChart>
        <c:scatterStyle val="lineMarker"/>
        <c:varyColors val="0"/>
        <c:ser>
          <c:idx val="0"/>
          <c:order val="0"/>
          <c:tx>
            <c:v>fuselage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Stabilito!$D$124:$D$131</c:f>
              <c:numCache>
                <c:formatCode>0</c:formatCode>
                <c:ptCount val="8"/>
                <c:pt idx="0">
                  <c:v>0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22.5</c:v>
                </c:pt>
                <c:pt idx="6">
                  <c:v>22.5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-280</c:v>
                </c:pt>
                <c:pt idx="1">
                  <c:v>-280</c:v>
                </c:pt>
                <c:pt idx="2">
                  <c:v>-500</c:v>
                </c:pt>
                <c:pt idx="3">
                  <c:v>-550</c:v>
                </c:pt>
                <c:pt idx="4">
                  <c:v>-1000</c:v>
                </c:pt>
                <c:pt idx="5">
                  <c:v>-1050</c:v>
                </c:pt>
                <c:pt idx="6">
                  <c:v>-1050</c:v>
                </c:pt>
                <c:pt idx="7">
                  <c:v>-1050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F59-84CA-EEBAEE08982C}"/>
            </c:ext>
          </c:extLst>
        </c:ser>
        <c:ser>
          <c:idx val="1"/>
          <c:order val="1"/>
          <c:tx>
            <c:v>aileron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Stabilito!$D$132:$D$136</c:f>
              <c:numCache>
                <c:formatCode>0</c:formatCode>
                <c:ptCount val="5"/>
                <c:pt idx="0">
                  <c:v>32</c:v>
                </c:pt>
                <c:pt idx="1">
                  <c:v>132</c:v>
                </c:pt>
                <c:pt idx="2">
                  <c:v>132</c:v>
                </c:pt>
                <c:pt idx="3">
                  <c:v>32</c:v>
                </c:pt>
                <c:pt idx="4">
                  <c:v>32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-822</c:v>
                </c:pt>
                <c:pt idx="1">
                  <c:v>-962</c:v>
                </c:pt>
                <c:pt idx="2">
                  <c:v>-1042</c:v>
                </c:pt>
                <c:pt idx="3">
                  <c:v>-1000</c:v>
                </c:pt>
                <c:pt idx="4">
                  <c:v>-822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5-4F59-84CA-EEBAEE08982C}"/>
            </c:ext>
          </c:extLst>
        </c:ser>
        <c:ser>
          <c:idx val="2"/>
          <c:order val="2"/>
          <c:tx>
            <c:v>fuselage2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Stabilito!$E$124:$E$131</c:f>
              <c:numCache>
                <c:formatCode>0</c:formatCode>
                <c:ptCount val="8"/>
                <c:pt idx="0">
                  <c:v>0</c:v>
                </c:pt>
                <c:pt idx="1">
                  <c:v>-32</c:v>
                </c:pt>
                <c:pt idx="2">
                  <c:v>-32</c:v>
                </c:pt>
                <c:pt idx="3">
                  <c:v>-32</c:v>
                </c:pt>
                <c:pt idx="4">
                  <c:v>-32</c:v>
                </c:pt>
                <c:pt idx="5">
                  <c:v>-22.5</c:v>
                </c:pt>
                <c:pt idx="6">
                  <c:v>-22.5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-280</c:v>
                </c:pt>
                <c:pt idx="1">
                  <c:v>-280</c:v>
                </c:pt>
                <c:pt idx="2">
                  <c:v>-500</c:v>
                </c:pt>
                <c:pt idx="3">
                  <c:v>-550</c:v>
                </c:pt>
                <c:pt idx="4">
                  <c:v>-1000</c:v>
                </c:pt>
                <c:pt idx="5">
                  <c:v>-1050</c:v>
                </c:pt>
                <c:pt idx="6">
                  <c:v>-1050</c:v>
                </c:pt>
                <c:pt idx="7">
                  <c:v>-1050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5-4F59-84CA-EEBAEE08982C}"/>
            </c:ext>
          </c:extLst>
        </c:ser>
        <c:ser>
          <c:idx val="3"/>
          <c:order val="3"/>
          <c:tx>
            <c:v>aileron2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Stabilito!$E$132:$E$136</c:f>
              <c:numCache>
                <c:formatCode>0</c:formatCode>
                <c:ptCount val="5"/>
                <c:pt idx="0">
                  <c:v>-32</c:v>
                </c:pt>
                <c:pt idx="1">
                  <c:v>-132</c:v>
                </c:pt>
                <c:pt idx="2">
                  <c:v>-132</c:v>
                </c:pt>
                <c:pt idx="3">
                  <c:v>-32</c:v>
                </c:pt>
                <c:pt idx="4">
                  <c:v>-32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-822</c:v>
                </c:pt>
                <c:pt idx="1">
                  <c:v>-962</c:v>
                </c:pt>
                <c:pt idx="2">
                  <c:v>-1042</c:v>
                </c:pt>
                <c:pt idx="3">
                  <c:v>-1000</c:v>
                </c:pt>
                <c:pt idx="4">
                  <c:v>-822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35-4F59-84CA-EEBAEE08982C}"/>
            </c:ext>
          </c:extLst>
        </c:ser>
        <c:ser>
          <c:idx val="4"/>
          <c:order val="4"/>
          <c:tx>
            <c:strRef>
              <c:f>Stabilito!$B$12</c:f>
              <c:strCache>
                <c:ptCount val="1"/>
                <c:pt idx="0">
                  <c:v>Centre de Masse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Stabilito!$D$149:$D$150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Stabilito!$C$149:$C$150</c:f>
              <c:numCache>
                <c:formatCode>0</c:formatCode>
                <c:ptCount val="2"/>
                <c:pt idx="0">
                  <c:v>-634.1341728783741</c:v>
                </c:pt>
                <c:pt idx="1">
                  <c:v>-623.18514609221324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35-4F59-84CA-EEBAEE08982C}"/>
            </c:ext>
          </c:extLst>
        </c:ser>
        <c:ser>
          <c:idx val="5"/>
          <c:order val="5"/>
          <c:tx>
            <c:strRef>
              <c:f>Stabilito!$F$28</c:f>
              <c:strCache>
                <c:ptCount val="1"/>
                <c:pt idx="0">
                  <c:v>Portance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Stabilito!$D$151:$D$154</c:f>
              <c:numCache>
                <c:formatCode>0</c:formatCode>
                <c:ptCount val="4"/>
                <c:pt idx="0">
                  <c:v>0</c:v>
                </c:pt>
                <c:pt idx="1">
                  <c:v>88.784420956092845</c:v>
                </c:pt>
                <c:pt idx="2">
                  <c:v>88.784420956092845</c:v>
                </c:pt>
                <c:pt idx="3">
                  <c:v>0</c:v>
                </c:pt>
              </c:numCache>
            </c:numRef>
          </c:xVal>
          <c:yVal>
            <c:numRef>
              <c:f>Stabilito!$C$151:$C$154</c:f>
              <c:numCache>
                <c:formatCode>0</c:formatCode>
                <c:ptCount val="4"/>
                <c:pt idx="0">
                  <c:v>-841.56863797452036</c:v>
                </c:pt>
                <c:pt idx="1">
                  <c:v>-841.56863797452036</c:v>
                </c:pt>
                <c:pt idx="2">
                  <c:v>-841.56863797452036</c:v>
                </c:pt>
                <c:pt idx="3">
                  <c:v>-841.56863797452036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35-4F59-84CA-EEBAEE08982C}"/>
            </c:ext>
          </c:extLst>
        </c:ser>
        <c:ser>
          <c:idx val="6"/>
          <c:order val="6"/>
          <c:tx>
            <c:v>canard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Stabilito!$D$158:$D$162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35-4F59-84CA-EEBAEE08982C}"/>
            </c:ext>
          </c:extLst>
        </c:ser>
        <c:ser>
          <c:idx val="7"/>
          <c:order val="7"/>
          <c:tx>
            <c:v>canard2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Stabilito!$E$158:$E$162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35-4F59-84CA-EEBAEE08982C}"/>
            </c:ext>
          </c:extLst>
        </c:ser>
        <c:ser>
          <c:idx val="8"/>
          <c:order val="8"/>
          <c:tx>
            <c:v>masquage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Stabilito!$D$163:$D$167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35-4F59-84CA-EEBAEE08982C}"/>
            </c:ext>
          </c:extLst>
        </c:ser>
        <c:ser>
          <c:idx val="9"/>
          <c:order val="9"/>
          <c:tx>
            <c:v>masquage2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Stabilito!$E$163:$E$167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35-4F59-84CA-EEBAEE08982C}"/>
            </c:ext>
          </c:extLst>
        </c:ser>
        <c:ser>
          <c:idx val="10"/>
          <c:order val="10"/>
          <c:tx>
            <c:v>cadre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Stabilito!$D$168:$D$169</c:f>
              <c:numCache>
                <c:formatCode>0</c:formatCode>
                <c:ptCount val="2"/>
                <c:pt idx="0">
                  <c:v>350</c:v>
                </c:pt>
                <c:pt idx="1">
                  <c:v>-350</c:v>
                </c:pt>
              </c:numCache>
            </c:numRef>
          </c:xVal>
          <c:yVal>
            <c:numRef>
              <c:f>Stabilito!$C$168:$C$169</c:f>
              <c:numCache>
                <c:formatCode>0</c:formatCode>
                <c:ptCount val="2"/>
                <c:pt idx="0">
                  <c:v>-1060.5</c:v>
                </c:pt>
                <c:pt idx="1">
                  <c:v>-1060.5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535-4F59-84CA-EEBAEE08982C}"/>
            </c:ext>
          </c:extLst>
        </c:ser>
        <c:ser>
          <c:idx val="11"/>
          <c:order val="11"/>
          <c:tx>
            <c:v>Propu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Stabilito!$D$170:$D$174</c:f>
              <c:numCache>
                <c:formatCode>0</c:formatCode>
                <c:ptCount val="5"/>
                <c:pt idx="0">
                  <c:v>-12</c:v>
                </c:pt>
                <c:pt idx="1">
                  <c:v>12</c:v>
                </c:pt>
                <c:pt idx="2">
                  <c:v>12</c:v>
                </c:pt>
                <c:pt idx="3">
                  <c:v>-12</c:v>
                </c:pt>
                <c:pt idx="4">
                  <c:v>-12</c:v>
                </c:pt>
              </c:numCache>
            </c:numRef>
          </c:xVal>
          <c:yVal>
            <c:numRef>
              <c:f>Stabilito!$C$170:$C$174</c:f>
              <c:numCache>
                <c:formatCode>0</c:formatCode>
                <c:ptCount val="5"/>
                <c:pt idx="0">
                  <c:v>-822</c:v>
                </c:pt>
                <c:pt idx="1">
                  <c:v>-822</c:v>
                </c:pt>
                <c:pt idx="2">
                  <c:v>-1050</c:v>
                </c:pt>
                <c:pt idx="3">
                  <c:v>-1050</c:v>
                </c:pt>
                <c:pt idx="4">
                  <c:v>-822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535-4F59-84CA-EEBAEE08982C}"/>
            </c:ext>
          </c:extLst>
        </c:ser>
        <c:ser>
          <c:idx val="12"/>
          <c:order val="12"/>
          <c:tx>
            <c:v>Cone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Stabilito!$D$175:$D$180</c:f>
              <c:numCache>
                <c:formatCode>0</c:formatCode>
                <c:ptCount val="6"/>
                <c:pt idx="0">
                  <c:v>0</c:v>
                </c:pt>
                <c:pt idx="1">
                  <c:v>3.2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-28</c:v>
                </c:pt>
                <c:pt idx="2">
                  <c:v>-70</c:v>
                </c:pt>
                <c:pt idx="3">
                  <c:v>-140</c:v>
                </c:pt>
                <c:pt idx="4">
                  <c:v>-210</c:v>
                </c:pt>
                <c:pt idx="5">
                  <c:v>-280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535-4F59-84CA-EEBAEE08982C}"/>
            </c:ext>
          </c:extLst>
        </c:ser>
        <c:ser>
          <c:idx val="13"/>
          <c:order val="13"/>
          <c:tx>
            <c:v>Cone1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Stabilito!$E$175:$E$180</c:f>
              <c:numCache>
                <c:formatCode>0</c:formatCode>
                <c:ptCount val="6"/>
                <c:pt idx="0">
                  <c:v>0</c:v>
                </c:pt>
                <c:pt idx="1">
                  <c:v>-3.2</c:v>
                </c:pt>
                <c:pt idx="2">
                  <c:v>-8</c:v>
                </c:pt>
                <c:pt idx="3">
                  <c:v>-16</c:v>
                </c:pt>
                <c:pt idx="4">
                  <c:v>-24</c:v>
                </c:pt>
                <c:pt idx="5">
                  <c:v>-32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-28</c:v>
                </c:pt>
                <c:pt idx="2">
                  <c:v>-70</c:v>
                </c:pt>
                <c:pt idx="3">
                  <c:v>-140</c:v>
                </c:pt>
                <c:pt idx="4">
                  <c:v>-210</c:v>
                </c:pt>
                <c:pt idx="5">
                  <c:v>-280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535-4F59-84CA-EEBAEE08982C}"/>
            </c:ext>
          </c:extLst>
        </c:ser>
        <c:ser>
          <c:idx val="14"/>
          <c:order val="14"/>
          <c:tx>
            <c:strRef>
              <c:f>Stabilito!$B$137</c:f>
              <c:strCache>
                <c:ptCount val="1"/>
                <c:pt idx="0">
                  <c:v>Envergure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Stabilito!$D$137:$D$139</c:f>
              <c:numCache>
                <c:formatCode>0</c:formatCode>
                <c:ptCount val="3"/>
                <c:pt idx="0">
                  <c:v>-132</c:v>
                </c:pt>
                <c:pt idx="1">
                  <c:v>-82</c:v>
                </c:pt>
                <c:pt idx="2">
                  <c:v>-32</c:v>
                </c:pt>
              </c:numCache>
            </c:numRef>
          </c:xVal>
          <c:yVal>
            <c:numRef>
              <c:f>Stabilito!$C$137:$C$139</c:f>
              <c:numCache>
                <c:formatCode>0</c:formatCode>
                <c:ptCount val="3"/>
                <c:pt idx="0">
                  <c:v>-1077</c:v>
                </c:pt>
                <c:pt idx="1">
                  <c:v>-1077</c:v>
                </c:pt>
                <c:pt idx="2">
                  <c:v>-1077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535-4F59-84CA-EEBAEE08982C}"/>
            </c:ext>
          </c:extLst>
        </c:ser>
        <c:ser>
          <c:idx val="15"/>
          <c:order val="15"/>
          <c:tx>
            <c:strRef>
              <c:f>Stabilito!$B$143</c:f>
              <c:strCache>
                <c:ptCount val="1"/>
                <c:pt idx="0">
                  <c:v>Flèche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Stabilito!$D$143:$D$145</c:f>
              <c:numCache>
                <c:formatCode>0</c:formatCode>
                <c:ptCount val="3"/>
                <c:pt idx="0">
                  <c:v>-167</c:v>
                </c:pt>
                <c:pt idx="1">
                  <c:v>-167</c:v>
                </c:pt>
                <c:pt idx="2">
                  <c:v>-167</c:v>
                </c:pt>
              </c:numCache>
            </c:numRef>
          </c:xVal>
          <c:yVal>
            <c:numRef>
              <c:f>Stabilito!$C$143:$C$145</c:f>
              <c:numCache>
                <c:formatCode>0</c:formatCode>
                <c:ptCount val="3"/>
                <c:pt idx="0">
                  <c:v>-822</c:v>
                </c:pt>
                <c:pt idx="1">
                  <c:v>-892</c:v>
                </c:pt>
                <c:pt idx="2">
                  <c:v>-962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535-4F59-84CA-EEBAEE08982C}"/>
            </c:ext>
          </c:extLst>
        </c:ser>
        <c:ser>
          <c:idx val="16"/>
          <c:order val="16"/>
          <c:tx>
            <c:strRef>
              <c:f>Stabilito!$B$146</c:f>
              <c:strCache>
                <c:ptCount val="1"/>
                <c:pt idx="0">
                  <c:v>Saumon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Stabilito!$D$146:$D$148</c:f>
              <c:numCache>
                <c:formatCode>0</c:formatCode>
                <c:ptCount val="3"/>
                <c:pt idx="0">
                  <c:v>-184.5</c:v>
                </c:pt>
                <c:pt idx="1">
                  <c:v>-184.5</c:v>
                </c:pt>
                <c:pt idx="2">
                  <c:v>-184.5</c:v>
                </c:pt>
              </c:numCache>
            </c:numRef>
          </c:xVal>
          <c:yVal>
            <c:numRef>
              <c:f>Stabilito!$C$146:$C$148</c:f>
              <c:numCache>
                <c:formatCode>0</c:formatCode>
                <c:ptCount val="3"/>
                <c:pt idx="0">
                  <c:v>-962</c:v>
                </c:pt>
                <c:pt idx="1">
                  <c:v>-1002</c:v>
                </c:pt>
                <c:pt idx="2">
                  <c:v>-1042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535-4F59-84CA-EEBAEE08982C}"/>
            </c:ext>
          </c:extLst>
        </c:ser>
        <c:ser>
          <c:idx val="17"/>
          <c:order val="17"/>
          <c:tx>
            <c:strRef>
              <c:f>Stabilito!$B$140</c:f>
              <c:strCache>
                <c:ptCount val="1"/>
                <c:pt idx="0">
                  <c:v>Emplanture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Stabilito!$D$140:$D$142</c:f>
              <c:numCache>
                <c:formatCode>0</c:formatCode>
                <c:ptCount val="3"/>
                <c:pt idx="0">
                  <c:v>184.5</c:v>
                </c:pt>
                <c:pt idx="1">
                  <c:v>184.5</c:v>
                </c:pt>
                <c:pt idx="2">
                  <c:v>184.5</c:v>
                </c:pt>
              </c:numCache>
            </c:numRef>
          </c:xVal>
          <c:yVal>
            <c:numRef>
              <c:f>Stabilito!$C$140:$C$142</c:f>
              <c:numCache>
                <c:formatCode>0</c:formatCode>
                <c:ptCount val="3"/>
                <c:pt idx="0">
                  <c:v>-822</c:v>
                </c:pt>
                <c:pt idx="1">
                  <c:v>-911</c:v>
                </c:pt>
                <c:pt idx="2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535-4F59-84CA-EEBAEE08982C}"/>
            </c:ext>
          </c:extLst>
        </c:ser>
        <c:ser>
          <c:idx val="18"/>
          <c:order val="18"/>
          <c:tx>
            <c:strRef>
              <c:f>Stabilito!$B$155</c:f>
              <c:strCache>
                <c:ptCount val="1"/>
                <c:pt idx="0">
                  <c:v>Marge Statique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Stabilito!$D$155:$D$157</c:f>
              <c:numCache>
                <c:formatCode>0</c:formatCode>
                <c:ptCount val="3"/>
                <c:pt idx="0">
                  <c:v>-184.5</c:v>
                </c:pt>
                <c:pt idx="1">
                  <c:v>-184.5</c:v>
                </c:pt>
                <c:pt idx="2">
                  <c:v>-184.5</c:v>
                </c:pt>
              </c:numCache>
            </c:numRef>
          </c:xVal>
          <c:yVal>
            <c:numRef>
              <c:f>Stabilito!$C$155:$C$157</c:f>
              <c:numCache>
                <c:formatCode>0</c:formatCode>
                <c:ptCount val="3"/>
                <c:pt idx="0">
                  <c:v>-628.65965948529367</c:v>
                </c:pt>
                <c:pt idx="1">
                  <c:v>-735.11414872990701</c:v>
                </c:pt>
                <c:pt idx="2">
                  <c:v>-841.56863797452036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35-4F59-84CA-EEBAEE08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7200"/>
        <c:axId val="148708736"/>
      </c:scatterChart>
      <c:valAx>
        <c:axId val="148707200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708736"/>
        <c:crosses val="max"/>
        <c:crossBetween val="midCat"/>
      </c:valAx>
      <c:valAx>
        <c:axId val="1487087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70720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Abaco!$B$75</c:f>
          <c:strCache>
            <c:ptCount val="1"/>
            <c:pt idx="0">
              <c:v>Vitesse max / Masse totale</c:v>
            </c:pt>
          </c:strCache>
        </c:strRef>
      </c:tx>
      <c:layout>
        <c:manualLayout>
          <c:xMode val="edge"/>
          <c:yMode val="edge"/>
          <c:x val="0.32580555555555563"/>
          <c:y val="3.2407484861159096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32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Abaco!$K$41:$K$49</c:f>
              <c:numCache>
                <c:formatCode>General" m/s"</c:formatCode>
                <c:ptCount val="9"/>
                <c:pt idx="0">
                  <c:v>518.94952416597778</c:v>
                </c:pt>
                <c:pt idx="1">
                  <c:v>198.49753990043649</c:v>
                </c:pt>
                <c:pt idx="2">
                  <c:v>105.66630297739793</c:v>
                </c:pt>
                <c:pt idx="3">
                  <c:v>67.725239557747287</c:v>
                </c:pt>
                <c:pt idx="4">
                  <c:v>47.328360220362292</c:v>
                </c:pt>
                <c:pt idx="5">
                  <c:v>34.627652389421009</c:v>
                </c:pt>
                <c:pt idx="6">
                  <c:v>25.967635090589273</c:v>
                </c:pt>
                <c:pt idx="7">
                  <c:v>19.68766949561736</c:v>
                </c:pt>
                <c:pt idx="8">
                  <c:v>14.926323355662507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5-471B-B048-B774D8756BF8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64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Abaco!$K$50:$K$58</c:f>
              <c:numCache>
                <c:formatCode>General" m/s"</c:formatCode>
                <c:ptCount val="9"/>
                <c:pt idx="0">
                  <c:v>266.49907966284059</c:v>
                </c:pt>
                <c:pt idx="1">
                  <c:v>172.7519194218907</c:v>
                </c:pt>
                <c:pt idx="2">
                  <c:v>101.05105211477053</c:v>
                </c:pt>
                <c:pt idx="3">
                  <c:v>66.369568376303889</c:v>
                </c:pt>
                <c:pt idx="4">
                  <c:v>46.815908655918143</c:v>
                </c:pt>
                <c:pt idx="5">
                  <c:v>34.404325804395008</c:v>
                </c:pt>
                <c:pt idx="6">
                  <c:v>25.861820089244752</c:v>
                </c:pt>
                <c:pt idx="7">
                  <c:v>19.635143273295299</c:v>
                </c:pt>
                <c:pt idx="8">
                  <c:v>14.899761934098844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5-471B-B048-B774D8756BF8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96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Abaco!$K$59:$K$67</c:f>
              <c:numCache>
                <c:formatCode>General" m/s"</c:formatCode>
                <c:ptCount val="9"/>
                <c:pt idx="0">
                  <c:v>177.73030863759445</c:v>
                </c:pt>
                <c:pt idx="1">
                  <c:v>143.98370867252873</c:v>
                </c:pt>
                <c:pt idx="2">
                  <c:v>94.347705743316638</c:v>
                </c:pt>
                <c:pt idx="3">
                  <c:v>64.249274729196827</c:v>
                </c:pt>
                <c:pt idx="4">
                  <c:v>45.99078805211267</c:v>
                </c:pt>
                <c:pt idx="5">
                  <c:v>34.039698692662668</c:v>
                </c:pt>
                <c:pt idx="6">
                  <c:v>25.687742808690167</c:v>
                </c:pt>
                <c:pt idx="7">
                  <c:v>19.548343008766757</c:v>
                </c:pt>
                <c:pt idx="8">
                  <c:v>14.855744090041446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5-471B-B048-B774D875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7904"/>
        <c:axId val="193469824"/>
      </c:scatterChart>
      <c:valAx>
        <c:axId val="193467904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29"/>
              <c:y val="0.80923605680929611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69824"/>
        <c:crosses val="autoZero"/>
        <c:crossBetween val="midCat"/>
      </c:valAx>
      <c:valAx>
        <c:axId val="193469824"/>
        <c:scaling>
          <c:orientation val="minMax"/>
        </c:scaling>
        <c:delete val="0"/>
        <c:axPos val="l"/>
        <c:majorGridlines/>
        <c:title>
          <c:tx>
            <c:strRef>
              <c:f>Abaco!$B$74</c:f>
              <c:strCache>
                <c:ptCount val="1"/>
                <c:pt idx="0">
                  <c:v>Vitesse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22378207343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/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6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4466316710431"/>
          <c:y val="0.18706733829172051"/>
          <c:w val="0.20833333333333343"/>
          <c:h val="0.2471135276681638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Abaco!$B$77</c:f>
          <c:strCache>
            <c:ptCount val="1"/>
            <c:pt idx="0">
              <c:v>Altitude max / Masse totale</c:v>
            </c:pt>
          </c:strCache>
        </c:strRef>
      </c:tx>
      <c:layout>
        <c:manualLayout>
          <c:xMode val="edge"/>
          <c:yMode val="edge"/>
          <c:x val="0.32580555555555563"/>
          <c:y val="3.2407517456544362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32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Abaco!$L$41:$L$49</c:f>
              <c:numCache>
                <c:formatCode>General" m"</c:formatCode>
                <c:ptCount val="9"/>
                <c:pt idx="0">
                  <c:v>1481.9072365242646</c:v>
                </c:pt>
                <c:pt idx="1">
                  <c:v>1378.8979794910933</c:v>
                </c:pt>
                <c:pt idx="2">
                  <c:v>612.64481520796915</c:v>
                </c:pt>
                <c:pt idx="3">
                  <c:v>293.62934511904984</c:v>
                </c:pt>
                <c:pt idx="4">
                  <c:v>160.06992086835291</c:v>
                </c:pt>
                <c:pt idx="5">
                  <c:v>95.426895124649832</c:v>
                </c:pt>
                <c:pt idx="6">
                  <c:v>60.260305644996478</c:v>
                </c:pt>
                <c:pt idx="7">
                  <c:v>39.425260198496034</c:v>
                </c:pt>
                <c:pt idx="8">
                  <c:v>26.278503997816205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3-4D65-B3FC-606C75B7CC88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64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Abaco!$L$50:$L$58</c:f>
              <c:numCache>
                <c:formatCode>General" m"</c:formatCode>
                <c:ptCount val="9"/>
                <c:pt idx="0">
                  <c:v>637.68790256291891</c:v>
                </c:pt>
                <c:pt idx="1">
                  <c:v>727.27495427687541</c:v>
                </c:pt>
                <c:pt idx="2">
                  <c:v>470.41863669464141</c:v>
                </c:pt>
                <c:pt idx="3">
                  <c:v>265.2723848354745</c:v>
                </c:pt>
                <c:pt idx="4">
                  <c:v>153.35242205713561</c:v>
                </c:pt>
                <c:pt idx="5">
                  <c:v>93.535836807904303</c:v>
                </c:pt>
                <c:pt idx="6">
                  <c:v>59.655813409674863</c:v>
                </c:pt>
                <c:pt idx="7">
                  <c:v>39.215069433599183</c:v>
                </c:pt>
                <c:pt idx="8">
                  <c:v>26.201826510846224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3-4D65-B3FC-606C75B7CC88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96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Abaco!$L$59:$L$67</c:f>
              <c:numCache>
                <c:formatCode>General" m"</c:formatCode>
                <c:ptCount val="9"/>
                <c:pt idx="0">
                  <c:v>401.90793900567917</c:v>
                </c:pt>
                <c:pt idx="1">
                  <c:v>461.4849259497006</c:v>
                </c:pt>
                <c:pt idx="2">
                  <c:v>357.07596526753775</c:v>
                </c:pt>
                <c:pt idx="3">
                  <c:v>231.61209145488274</c:v>
                </c:pt>
                <c:pt idx="4">
                  <c:v>143.7968901897458</c:v>
                </c:pt>
                <c:pt idx="5">
                  <c:v>90.622071913923605</c:v>
                </c:pt>
                <c:pt idx="6">
                  <c:v>58.689031873749073</c:v>
                </c:pt>
                <c:pt idx="7">
                  <c:v>38.872586369444846</c:v>
                </c:pt>
                <c:pt idx="8">
                  <c:v>26.075647588144506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73-4D65-B3FC-606C75B7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2576"/>
        <c:axId val="193514496"/>
      </c:scatterChart>
      <c:valAx>
        <c:axId val="19351257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29"/>
              <c:y val="0.8092359976229385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514496"/>
        <c:crosses val="autoZero"/>
        <c:crossBetween val="midCat"/>
      </c:valAx>
      <c:valAx>
        <c:axId val="193514496"/>
        <c:scaling>
          <c:orientation val="minMax"/>
        </c:scaling>
        <c:delete val="0"/>
        <c:axPos val="l"/>
        <c:majorGridlines/>
        <c:title>
          <c:tx>
            <c:strRef>
              <c:f>Abaco!$B$76</c:f>
              <c:strCache>
                <c:ptCount val="1"/>
                <c:pt idx="0">
                  <c:v>Altitude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51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4466316710431"/>
          <c:y val="0.18396263556678061"/>
          <c:w val="0.20833333333333343"/>
          <c:h val="0.2523588619818750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Abaco!$B$79</c:f>
          <c:strCache>
            <c:ptCount val="1"/>
            <c:pt idx="0">
              <c:v>Temps de culmination / Masse totale</c:v>
            </c:pt>
          </c:strCache>
        </c:strRef>
      </c:tx>
      <c:layout>
        <c:manualLayout>
          <c:xMode val="edge"/>
          <c:yMode val="edge"/>
          <c:x val="0.18369438576275529"/>
          <c:y val="3.2407517456544362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32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Abaco!$M$41:$M$49</c:f>
              <c:numCache>
                <c:formatCode>General" s"</c:formatCode>
                <c:ptCount val="9"/>
                <c:pt idx="0">
                  <c:v>10.621440228038505</c:v>
                </c:pt>
                <c:pt idx="1">
                  <c:v>16.237261476387317</c:v>
                </c:pt>
                <c:pt idx="2">
                  <c:v>11.964850339807267</c:v>
                </c:pt>
                <c:pt idx="3">
                  <c:v>8.7433596295815299</c:v>
                </c:pt>
                <c:pt idx="4">
                  <c:v>6.7817986685975225</c:v>
                </c:pt>
                <c:pt idx="5">
                  <c:v>5.516220362636842</c:v>
                </c:pt>
                <c:pt idx="6">
                  <c:v>4.6422301272473749</c:v>
                </c:pt>
                <c:pt idx="7">
                  <c:v>4.0050846746559721</c:v>
                </c:pt>
                <c:pt idx="8">
                  <c:v>3.5208475762553997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E-4D16-B659-8F15E40A2BDD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64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Abaco!$M$50:$M$58</c:f>
              <c:numCache>
                <c:formatCode>General" s"</c:formatCode>
                <c:ptCount val="9"/>
                <c:pt idx="0">
                  <c:v>6.3193077495453549</c:v>
                </c:pt>
                <c:pt idx="1">
                  <c:v>10.980562782866897</c:v>
                </c:pt>
                <c:pt idx="2">
                  <c:v>10.171323546835652</c:v>
                </c:pt>
                <c:pt idx="3">
                  <c:v>8.2239789477948388</c:v>
                </c:pt>
                <c:pt idx="4">
                  <c:v>6.6141747765814536</c:v>
                </c:pt>
                <c:pt idx="5">
                  <c:v>5.4547310121187502</c:v>
                </c:pt>
                <c:pt idx="6">
                  <c:v>4.6173798106553683</c:v>
                </c:pt>
                <c:pt idx="7">
                  <c:v>3.9943828461786604</c:v>
                </c:pt>
                <c:pt idx="8">
                  <c:v>3.5160793815929843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E-4D16-B659-8F15E40A2BDD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96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Abaco!$M$59:$M$67</c:f>
              <c:numCache>
                <c:formatCode>General" s"</c:formatCode>
                <c:ptCount val="9"/>
                <c:pt idx="0">
                  <c:v>4.8796149823077659</c:v>
                </c:pt>
                <c:pt idx="1">
                  <c:v>8.3825307162962446</c:v>
                </c:pt>
                <c:pt idx="2">
                  <c:v>8.6198051594425351</c:v>
                </c:pt>
                <c:pt idx="3">
                  <c:v>7.5863781327156259</c:v>
                </c:pt>
                <c:pt idx="4">
                  <c:v>6.3722500004324294</c:v>
                </c:pt>
                <c:pt idx="5">
                  <c:v>5.3593606129293381</c:v>
                </c:pt>
                <c:pt idx="6">
                  <c:v>4.577513561415735</c:v>
                </c:pt>
                <c:pt idx="7">
                  <c:v>3.9769208963065146</c:v>
                </c:pt>
                <c:pt idx="8">
                  <c:v>3.5082284431786976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CE-4D16-B659-8F15E40A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78976"/>
        <c:axId val="195680896"/>
      </c:scatterChart>
      <c:valAx>
        <c:axId val="19567897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4251328334"/>
              <c:y val="0.8092359976229385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680896"/>
        <c:crosses val="autoZero"/>
        <c:crossBetween val="midCat"/>
      </c:valAx>
      <c:valAx>
        <c:axId val="195680896"/>
        <c:scaling>
          <c:orientation val="minMax"/>
        </c:scaling>
        <c:delete val="0"/>
        <c:axPos val="l"/>
        <c:majorGridlines/>
        <c:title>
          <c:tx>
            <c:strRef>
              <c:f>Abaco!$B$78</c:f>
              <c:strCache>
                <c:ptCount val="1"/>
                <c:pt idx="0">
                  <c:v>Temps de culmination</c:v>
                </c:pt>
              </c:strCache>
            </c:strRef>
          </c:tx>
          <c:layout>
            <c:manualLayout>
              <c:xMode val="edge"/>
              <c:yMode val="edge"/>
              <c:x val="0.14166677336064695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67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57744916031841"/>
          <c:y val="0.18396263556678061"/>
          <c:w val="0.20325203252032525"/>
          <c:h val="0.2523588619818750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Stabilito!$B$117</c:f>
          <c:strCache>
            <c:ptCount val="1"/>
            <c:pt idx="0">
              <c:v>Diagramme des critères de stabilité</c:v>
            </c:pt>
          </c:strCache>
        </c:strRef>
      </c:tx>
      <c:layout>
        <c:manualLayout>
          <c:xMode val="edge"/>
          <c:yMode val="edge"/>
          <c:x val="0.19620910443519407"/>
          <c:y val="8.021417322834646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092838196286504E-2"/>
          <c:y val="5.8823683008029475E-2"/>
          <c:w val="0.93899204244031864"/>
          <c:h val="0.82887916965859743"/>
        </c:manualLayout>
      </c:layout>
      <c:scatterChart>
        <c:scatterStyle val="smoothMarker"/>
        <c:varyColors val="0"/>
        <c:ser>
          <c:idx val="0"/>
          <c:order val="0"/>
          <c:tx>
            <c:v>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Stabilito!$B$182:$B$183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Stabilito!$C$182:$C$183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B-4801-8589-0A76F8F3832F}"/>
            </c:ext>
          </c:extLst>
        </c:ser>
        <c:ser>
          <c:idx val="1"/>
          <c:order val="1"/>
          <c:tx>
            <c:v>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Stabilito!$B$184:$B$185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Stabilito!$C$184:$C$185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2B-4801-8589-0A76F8F3832F}"/>
            </c:ext>
          </c:extLst>
        </c:ser>
        <c:ser>
          <c:idx val="2"/>
          <c:order val="2"/>
          <c:tx>
            <c:v>MS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Stabilito!$B$186:$B$187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Stabilito!$C$186:$C$187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2B-4801-8589-0A76F8F3832F}"/>
            </c:ext>
          </c:extLst>
        </c:ser>
        <c:ser>
          <c:idx val="3"/>
          <c:order val="3"/>
          <c:tx>
            <c:v>MS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Stabilito!$B$188:$B$189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Stabilito!$C$188:$C$189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2B-4801-8589-0A76F8F3832F}"/>
            </c:ext>
          </c:extLst>
        </c:ser>
        <c:ser>
          <c:idx val="5"/>
          <c:order val="6"/>
          <c:tx>
            <c:v>MS*Cna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Stabilito!$D$182:$D$187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Stabilito!$E$182:$E$187</c:f>
              <c:numCache>
                <c:formatCode>General</c:formatCode>
                <c:ptCount val="6"/>
                <c:pt idx="0">
                  <c:v>60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6</c:v>
                </c:pt>
                <c:pt idx="5">
                  <c:v>4.2857142857142856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2B-4801-8589-0A76F8F3832F}"/>
            </c:ext>
          </c:extLst>
        </c:ser>
        <c:ser>
          <c:idx val="6"/>
          <c:order val="7"/>
          <c:tx>
            <c:v>MS*Cna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Stabilito!$D$188:$D$193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Stabilito!$E$188:$E$193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33.333333333333336</c:v>
                </c:pt>
                <c:pt idx="3">
                  <c:v>25</c:v>
                </c:pt>
                <c:pt idx="4">
                  <c:v>16.666666666666668</c:v>
                </c:pt>
                <c:pt idx="5">
                  <c:v>14.285714285714286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2B-4801-8589-0A76F8F3832F}"/>
            </c:ext>
          </c:extLst>
        </c:ser>
        <c:ser>
          <c:idx val="7"/>
          <c:order val="8"/>
          <c:tx>
            <c:v>Cna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Stabilito!$B$195:$B$196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Stabilito!$C$195:$C$196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2B-4801-8589-0A76F8F3832F}"/>
            </c:ext>
          </c:extLst>
        </c:ser>
        <c:ser>
          <c:idx val="8"/>
          <c:order val="9"/>
          <c:tx>
            <c:v>Cna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Stabilito!$B$197:$B$198</c:f>
              <c:numCache>
                <c:formatCode>General</c:formatCode>
                <c:ptCount val="2"/>
                <c:pt idx="0">
                  <c:v>4.4444444444444446</c:v>
                </c:pt>
                <c:pt idx="1">
                  <c:v>7</c:v>
                </c:pt>
              </c:numCache>
            </c:numRef>
          </c:xVal>
          <c:yVal>
            <c:numRef>
              <c:f>Stabilito!$C$197:$C$198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2B-4801-8589-0A76F8F3832F}"/>
            </c:ext>
          </c:extLst>
        </c:ser>
        <c:ser>
          <c:idx val="9"/>
          <c:order val="10"/>
          <c:tx>
            <c:v>MS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Stabilito!$B$199:$B$200</c:f>
              <c:numCache>
                <c:formatCode>General</c:formatCode>
                <c:ptCount val="2"/>
                <c:pt idx="0">
                  <c:v>3.75</c:v>
                </c:pt>
                <c:pt idx="1">
                  <c:v>3.75</c:v>
                </c:pt>
              </c:numCache>
            </c:numRef>
          </c:xVal>
          <c:yVal>
            <c:numRef>
              <c:f>Stabilito!$C$199:$C$200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2B-4801-8589-0A76F8F3832F}"/>
            </c:ext>
          </c:extLst>
        </c:ser>
        <c:ser>
          <c:idx val="10"/>
          <c:order val="11"/>
          <c:tx>
            <c:v>MS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Stabilito!$B$201:$B$202</c:f>
              <c:numCache>
                <c:formatCode>General</c:formatCode>
                <c:ptCount val="2"/>
                <c:pt idx="0">
                  <c:v>3.75</c:v>
                </c:pt>
                <c:pt idx="1">
                  <c:v>3.75</c:v>
                </c:pt>
              </c:numCache>
            </c:numRef>
          </c:xVal>
          <c:yVal>
            <c:numRef>
              <c:f>Stabilito!$C$201:$C$202</c:f>
              <c:numCache>
                <c:formatCode>General</c:formatCode>
                <c:ptCount val="2"/>
                <c:pt idx="0">
                  <c:v>26.666666666666668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2B-4801-8589-0A76F8F3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168"/>
        <c:axId val="148481536"/>
      </c:scatterChart>
      <c:scatterChart>
        <c:scatterStyle val="lineMarker"/>
        <c:varyColors val="0"/>
        <c:ser>
          <c:idx val="4"/>
          <c:order val="4"/>
          <c:tx>
            <c:v>Fusée en cours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Stabilito!$B$190:$B$193</c:f>
              <c:numCache>
                <c:formatCode>0.00</c:formatCode>
                <c:ptCount val="4"/>
                <c:pt idx="0">
                  <c:v>3.2411635171272852</c:v>
                </c:pt>
                <c:pt idx="1">
                  <c:v>3.2411635171272852</c:v>
                </c:pt>
                <c:pt idx="2">
                  <c:v>3.4122420606610486</c:v>
                </c:pt>
                <c:pt idx="3">
                  <c:v>3.4122420606610486</c:v>
                </c:pt>
              </c:numCache>
            </c:numRef>
          </c:xVal>
          <c:yVal>
            <c:numRef>
              <c:f>Stabilito!$C$190:$C$193</c:f>
              <c:numCache>
                <c:formatCode>0.00</c:formatCode>
                <c:ptCount val="4"/>
                <c:pt idx="0">
                  <c:v>20.80884866158426</c:v>
                </c:pt>
                <c:pt idx="1">
                  <c:v>20.80884866158426</c:v>
                </c:pt>
                <c:pt idx="2">
                  <c:v>20.80884866158426</c:v>
                </c:pt>
                <c:pt idx="3">
                  <c:v>20.80884866158426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2B-4801-8589-0A76F8F3832F}"/>
            </c:ext>
          </c:extLst>
        </c:ser>
        <c:ser>
          <c:idx val="11"/>
          <c:order val="5"/>
          <c:tx>
            <c:v>Fusée en cours0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Stabilito!$B$193:$B$194</c:f>
              <c:numCache>
                <c:formatCode>0.00</c:formatCode>
                <c:ptCount val="2"/>
                <c:pt idx="0">
                  <c:v>3.4122420606610486</c:v>
                </c:pt>
                <c:pt idx="1">
                  <c:v>3.2411635171272852</c:v>
                </c:pt>
              </c:numCache>
            </c:numRef>
          </c:xVal>
          <c:yVal>
            <c:numRef>
              <c:f>Stabilito!$C$193:$C$194</c:f>
              <c:numCache>
                <c:formatCode>0.00</c:formatCode>
                <c:ptCount val="2"/>
                <c:pt idx="0">
                  <c:v>20.80884866158426</c:v>
                </c:pt>
                <c:pt idx="1">
                  <c:v>20.80884866158426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2B-4801-8589-0A76F8F3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168"/>
        <c:axId val="148481536"/>
      </c:scatterChart>
      <c:valAx>
        <c:axId val="148471168"/>
        <c:scaling>
          <c:orientation val="minMax"/>
          <c:max val="7"/>
          <c:min val="0"/>
        </c:scaling>
        <c:delete val="0"/>
        <c:axPos val="b"/>
        <c:title>
          <c:tx>
            <c:strRef>
              <c:f>Stabilito!$B$118</c:f>
              <c:strCache>
                <c:ptCount val="1"/>
                <c:pt idx="0">
                  <c:v>Marge Statique (MS)</c:v>
                </c:pt>
              </c:strCache>
            </c:strRef>
          </c:tx>
          <c:layout>
            <c:manualLayout>
              <c:xMode val="edge"/>
              <c:yMode val="edge"/>
              <c:x val="0.51717271009913568"/>
              <c:y val="0.7309404724409449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481536"/>
        <c:crosses val="autoZero"/>
        <c:crossBetween val="midCat"/>
      </c:valAx>
      <c:valAx>
        <c:axId val="148481536"/>
        <c:scaling>
          <c:orientation val="minMax"/>
          <c:max val="55"/>
          <c:min val="0"/>
        </c:scaling>
        <c:delete val="0"/>
        <c:axPos val="l"/>
        <c:title>
          <c:tx>
            <c:strRef>
              <c:f>Stabilito!$B$119</c:f>
              <c:strCache>
                <c:ptCount val="1"/>
                <c:pt idx="0">
                  <c:v>Portance Cnα</c:v>
                </c:pt>
              </c:strCache>
            </c:strRef>
          </c:tx>
          <c:layout>
            <c:manualLayout>
              <c:xMode val="edge"/>
              <c:yMode val="edge"/>
              <c:x val="6.9119481083972797E-2"/>
              <c:y val="0.24099905511811029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471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Trajecto!$B$110</c:f>
          <c:strCache>
            <c:ptCount val="1"/>
            <c:pt idx="0">
              <c:v>Trajectoire (x z)</c:v>
            </c:pt>
          </c:strCache>
        </c:strRef>
      </c:tx>
      <c:layout>
        <c:manualLayout>
          <c:xMode val="edge"/>
          <c:yMode val="edge"/>
          <c:x val="0.66868786671936287"/>
          <c:y val="3.857574406972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697175950449913E-2"/>
          <c:y val="3.5608360198500402E-2"/>
          <c:w val="0.89697235136230857"/>
          <c:h val="0.89614373166225958"/>
        </c:manualLayout>
      </c:layout>
      <c:scatterChart>
        <c:scatterStyle val="lineMarker"/>
        <c:varyColors val="0"/>
        <c:ser>
          <c:idx val="0"/>
          <c:order val="0"/>
          <c:tx>
            <c:v>Point invisible pour mise à l'echelle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Trajecto!$B$120</c:f>
              <c:numCache>
                <c:formatCode>0</c:formatCode>
                <c:ptCount val="1"/>
                <c:pt idx="0">
                  <c:v>2283.3016154512825</c:v>
                </c:pt>
              </c:numCache>
            </c:numRef>
          </c:xVal>
          <c:yVal>
            <c:numRef>
              <c:f>Trajecto!$C$118</c:f>
              <c:numCache>
                <c:formatCode>0</c:formatCode>
                <c:ptCount val="1"/>
                <c:pt idx="0">
                  <c:v>2283.3016154512825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2-4CA2-BA56-E0E46E48A268}"/>
            </c:ext>
          </c:extLst>
        </c:ser>
        <c:ser>
          <c:idx val="1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Calculs!$AD$4:$AD$1004</c:f>
              <c:numCache>
                <c:formatCode>0</c:formatCode>
                <c:ptCount val="1001"/>
                <c:pt idx="0">
                  <c:v>-1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113.60966586234687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143.97479415477588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172.06242971446144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197.37117211721267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220.54793305146262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242.05720620199673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262.24089189824502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281.35974977528883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299.61880630647335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317.18365707123723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334.19129645023219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350.75744103825383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366.98134286204157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382.94826375921633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398.72839931439569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414.3684264493138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429.87592255018723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445.21839088910843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460.34225599491384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475.18800369722896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489.69709656102282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503.81522657034469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517.49408127550203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530.69234679182057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543.37621442203249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555.51951701038774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567.10357576719809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578.11682270273218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588.55425691496021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598.41678767187113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607.71051131073807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616.44596210287159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624.63736975187658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632.30194863973134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639.45923680120723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646.13049625530016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652.33818096329264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658.10547439201832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663.45589540882486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668.41296892283594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672.99995617813693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677.23963874726667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883.12</c:v>
                </c:pt>
                <c:pt idx="1">
                  <c:v>885.04722432312724</c:v>
                </c:pt>
                <c:pt idx="2">
                  <c:v>886.97705860169447</c:v>
                </c:pt>
                <c:pt idx="3">
                  <c:v>888.91357576788494</c:v>
                </c:pt>
                <c:pt idx="4">
                  <c:v>890.85751191203963</c:v>
                </c:pt>
                <c:pt idx="5">
                  <c:v>892.80815548327644</c:v>
                </c:pt>
                <c:pt idx="6">
                  <c:v>894.76523589599708</c:v>
                </c:pt>
                <c:pt idx="7">
                  <c:v>896.72870302692411</c:v>
                </c:pt>
                <c:pt idx="8">
                  <c:v>898.6985067595491</c:v>
                </c:pt>
                <c:pt idx="9">
                  <c:v>900.67459698553307</c:v>
                </c:pt>
                <c:pt idx="10">
                  <c:v>902.65692360609626</c:v>
                </c:pt>
                <c:pt idx="11">
                  <c:v>904.64543653339706</c:v>
                </c:pt>
                <c:pt idx="12">
                  <c:v>906.64008569189991</c:v>
                </c:pt>
                <c:pt idx="13">
                  <c:v>908.6408210197327</c:v>
                </c:pt>
                <c:pt idx="14">
                  <c:v>910.64759247003269</c:v>
                </c:pt>
                <c:pt idx="15">
                  <c:v>912.66035001228204</c:v>
                </c:pt>
                <c:pt idx="16">
                  <c:v>914.67904363363164</c:v>
                </c:pt>
                <c:pt idx="17">
                  <c:v>916.70362334021422</c:v>
                </c:pt>
                <c:pt idx="18">
                  <c:v>918.73403915844608</c:v>
                </c:pt>
                <c:pt idx="19">
                  <c:v>920.77024113631762</c:v>
                </c:pt>
                <c:pt idx="20">
                  <c:v>922.81217934467247</c:v>
                </c:pt>
                <c:pt idx="21">
                  <c:v>924.8598038784753</c:v>
                </c:pt>
                <c:pt idx="22">
                  <c:v>926.91306485806865</c:v>
                </c:pt>
                <c:pt idx="23">
                  <c:v>928.97191243041732</c:v>
                </c:pt>
                <c:pt idx="24">
                  <c:v>931.03629677034246</c:v>
                </c:pt>
                <c:pt idx="25">
                  <c:v>933.10616808174314</c:v>
                </c:pt>
                <c:pt idx="26">
                  <c:v>935.18147659880708</c:v>
                </c:pt>
                <c:pt idx="27">
                  <c:v>937.26217258720931</c:v>
                </c:pt>
                <c:pt idx="28">
                  <c:v>939.34820634529933</c:v>
                </c:pt>
                <c:pt idx="29">
                  <c:v>941.4395282052767</c:v>
                </c:pt>
                <c:pt idx="30">
                  <c:v>943.5360885343548</c:v>
                </c:pt>
                <c:pt idx="31">
                  <c:v>945.63783773591297</c:v>
                </c:pt>
                <c:pt idx="32">
                  <c:v>947.74472625063686</c:v>
                </c:pt>
                <c:pt idx="33">
                  <c:v>949.85670455764671</c:v>
                </c:pt>
                <c:pt idx="34">
                  <c:v>951.9737231756144</c:v>
                </c:pt>
                <c:pt idx="35">
                  <c:v>954.09573266386826</c:v>
                </c:pt>
                <c:pt idx="36">
                  <c:v>956.2226836234862</c:v>
                </c:pt>
                <c:pt idx="37">
                  <c:v>958.35452669837684</c:v>
                </c:pt>
                <c:pt idx="38">
                  <c:v>960.49121257634874</c:v>
                </c:pt>
                <c:pt idx="39">
                  <c:v>962.63269199016815</c:v>
                </c:pt>
                <c:pt idx="40">
                  <c:v>964.77891571860437</c:v>
                </c:pt>
                <c:pt idx="41">
                  <c:v>966.92983458746357</c:v>
                </c:pt>
                <c:pt idx="42">
                  <c:v>969.08539947061024</c:v>
                </c:pt>
                <c:pt idx="43">
                  <c:v>971.24556129097732</c:v>
                </c:pt>
                <c:pt idx="44">
                  <c:v>973.41027102156386</c:v>
                </c:pt>
                <c:pt idx="45">
                  <c:v>975.57947968642122</c:v>
                </c:pt>
                <c:pt idx="46">
                  <c:v>977.75313836162695</c:v>
                </c:pt>
                <c:pt idx="47">
                  <c:v>979.93119817624688</c:v>
                </c:pt>
                <c:pt idx="48">
                  <c:v>982.11361031328556</c:v>
                </c:pt>
                <c:pt idx="49">
                  <c:v>984.30032601062419</c:v>
                </c:pt>
                <c:pt idx="50">
                  <c:v>986.49129656194725</c:v>
                </c:pt>
                <c:pt idx="51">
                  <c:v>988.68647331765692</c:v>
                </c:pt>
                <c:pt idx="52">
                  <c:v>990.8858076857756</c:v>
                </c:pt>
                <c:pt idx="53">
                  <c:v>993.08925113283669</c:v>
                </c:pt>
                <c:pt idx="54">
                  <c:v>995.29675518476324</c:v>
                </c:pt>
                <c:pt idx="55">
                  <c:v>997.50827142773494</c:v>
                </c:pt>
                <c:pt idx="56">
                  <c:v>999.72375150904361</c:v>
                </c:pt>
                <c:pt idx="57">
                  <c:v>1001.943147137936</c:v>
                </c:pt>
                <c:pt idx="58">
                  <c:v>1004.1664100864454</c:v>
                </c:pt>
                <c:pt idx="59">
                  <c:v>1006.3934921902115</c:v>
                </c:pt>
                <c:pt idx="60">
                  <c:v>1008.6243453492887</c:v>
                </c:pt>
                <c:pt idx="61">
                  <c:v>1010.8589215289412</c:v>
                </c:pt>
                <c:pt idx="62">
                  <c:v>1013.0971727604286</c:v>
                </c:pt>
                <c:pt idx="63">
                  <c:v>1015.3390318025245</c:v>
                </c:pt>
                <c:pt idx="64">
                  <c:v>1017.5843928270252</c:v>
                </c:pt>
                <c:pt idx="65">
                  <c:v>1019.833130822696</c:v>
                </c:pt>
                <c:pt idx="66">
                  <c:v>1022.0851209765161</c:v>
                </c:pt>
                <c:pt idx="67">
                  <c:v>1024.3402209400624</c:v>
                </c:pt>
                <c:pt idx="68">
                  <c:v>1026.5982531205573</c:v>
                </c:pt>
                <c:pt idx="69">
                  <c:v>1028.8589909307138</c:v>
                </c:pt>
                <c:pt idx="70">
                  <c:v>1031.1221450639896</c:v>
                </c:pt>
                <c:pt idx="71">
                  <c:v>1033.3873951758574</c:v>
                </c:pt>
                <c:pt idx="72">
                  <c:v>1035.6544215218846</c:v>
                </c:pt>
                <c:pt idx="73">
                  <c:v>1037.9229049746293</c:v>
                </c:pt>
                <c:pt idx="74">
                  <c:v>1040.1925270400793</c:v>
                </c:pt>
                <c:pt idx="75">
                  <c:v>1042.4629698736403</c:v>
                </c:pt>
                <c:pt idx="76">
                  <c:v>1044.7339162956689</c:v>
                </c:pt>
                <c:pt idx="77">
                  <c:v>1047.0050498065548</c:v>
                </c:pt>
                <c:pt idx="78">
                  <c:v>1049.2760546013526</c:v>
                </c:pt>
                <c:pt idx="79">
                  <c:v>1051.5466155839638</c:v>
                </c:pt>
                <c:pt idx="80">
                  <c:v>1053.816418380871</c:v>
                </c:pt>
                <c:pt idx="81">
                  <c:v>1056.0851869221869</c:v>
                </c:pt>
                <c:pt idx="82">
                  <c:v>1058.3527209342972</c:v>
                </c:pt>
                <c:pt idx="83">
                  <c:v>1060.6188581959623</c:v>
                </c:pt>
                <c:pt idx="84">
                  <c:v>1062.8834368772511</c:v>
                </c:pt>
                <c:pt idx="85">
                  <c:v>1065.1462955418474</c:v>
                </c:pt>
                <c:pt idx="86">
                  <c:v>1067.407273149242</c:v>
                </c:pt>
                <c:pt idx="87">
                  <c:v>1069.6662090568143</c:v>
                </c:pt>
                <c:pt idx="88">
                  <c:v>1071.9229430218022</c:v>
                </c:pt>
                <c:pt idx="89">
                  <c:v>1074.1773270758865</c:v>
                </c:pt>
                <c:pt idx="90">
                  <c:v>1076.4292373693206</c:v>
                </c:pt>
                <c:pt idx="91">
                  <c:v>1078.6785622371956</c:v>
                </c:pt>
                <c:pt idx="92">
                  <c:v>1080.9251902953195</c:v>
                </c:pt>
                <c:pt idx="93">
                  <c:v>1083.169013409248</c:v>
                </c:pt>
                <c:pt idx="94">
                  <c:v>1085.409929655468</c:v>
                </c:pt>
                <c:pt idx="95">
                  <c:v>1087.6478403367792</c:v>
                </c:pt>
                <c:pt idx="96">
                  <c:v>1089.8826470053405</c:v>
                </c:pt>
                <c:pt idx="97">
                  <c:v>1092.1142633392501</c:v>
                </c:pt>
                <c:pt idx="98">
                  <c:v>1094.3426269871832</c:v>
                </c:pt>
                <c:pt idx="99">
                  <c:v>1096.5676876270061</c:v>
                </c:pt>
                <c:pt idx="100">
                  <c:v>1098.7893950561586</c:v>
                </c:pt>
                <c:pt idx="101">
                  <c:v>1101.0076991911692</c:v>
                </c:pt>
                <c:pt idx="102">
                  <c:v>1103.2225500671618</c:v>
                </c:pt>
                <c:pt idx="103">
                  <c:v>1105.4338978373573</c:v>
                </c:pt>
                <c:pt idx="104">
                  <c:v>1107.6416927725677</c:v>
                </c:pt>
                <c:pt idx="105">
                  <c:v>1109.8458852606839</c:v>
                </c:pt>
                <c:pt idx="106">
                  <c:v>1112.0464258061577</c:v>
                </c:pt>
                <c:pt idx="107">
                  <c:v>1114.2432650294772</c:v>
                </c:pt>
                <c:pt idx="108">
                  <c:v>1116.4363536666356</c:v>
                </c:pt>
                <c:pt idx="109">
                  <c:v>1118.6256574154115</c:v>
                </c:pt>
                <c:pt idx="110">
                  <c:v>1120.8111717407921</c:v>
                </c:pt>
                <c:pt idx="111">
                  <c:v>1122.9929069464865</c:v>
                </c:pt>
                <c:pt idx="112">
                  <c:v>1125.170873287718</c:v>
                </c:pt>
                <c:pt idx="113">
                  <c:v>1127.3450809715271</c:v>
                </c:pt>
                <c:pt idx="114">
                  <c:v>1129.5155401570737</c:v>
                </c:pt>
                <c:pt idx="115">
                  <c:v>1131.6822609559365</c:v>
                </c:pt>
                <c:pt idx="116">
                  <c:v>1133.8452534324097</c:v>
                </c:pt>
                <c:pt idx="117">
                  <c:v>1136.004527603797</c:v>
                </c:pt>
                <c:pt idx="118">
                  <c:v>1138.1600934407049</c:v>
                </c:pt>
                <c:pt idx="119">
                  <c:v>1140.3119608673319</c:v>
                </c:pt>
                <c:pt idx="120">
                  <c:v>1142.460139761756</c:v>
                </c:pt>
                <c:pt idx="121">
                  <c:v>1144.604639956221</c:v>
                </c:pt>
                <c:pt idx="122">
                  <c:v>1146.745471237419</c:v>
                </c:pt>
                <c:pt idx="123">
                  <c:v>1148.8826433467716</c:v>
                </c:pt>
                <c:pt idx="124">
                  <c:v>1151.016165980709</c:v>
                </c:pt>
                <c:pt idx="125">
                  <c:v>1153.1460487909465</c:v>
                </c:pt>
                <c:pt idx="126">
                  <c:v>1155.2723013847583</c:v>
                </c:pt>
                <c:pt idx="127">
                  <c:v>1157.3949333252515</c:v>
                </c:pt>
                <c:pt idx="128">
                  <c:v>1159.513954131635</c:v>
                </c:pt>
                <c:pt idx="129">
                  <c:v>1161.6293732794886</c:v>
                </c:pt>
                <c:pt idx="130">
                  <c:v>1163.7412002010285</c:v>
                </c:pt>
                <c:pt idx="131">
                  <c:v>1165.8494442853716</c:v>
                </c:pt>
                <c:pt idx="132">
                  <c:v>1167.954114878798</c:v>
                </c:pt>
                <c:pt idx="133">
                  <c:v>1170.0552212850107</c:v>
                </c:pt>
                <c:pt idx="134">
                  <c:v>1172.1527727653938</c:v>
                </c:pt>
                <c:pt idx="135">
                  <c:v>1174.2467785392687</c:v>
                </c:pt>
                <c:pt idx="136">
                  <c:v>1176.3372477841481</c:v>
                </c:pt>
                <c:pt idx="137">
                  <c:v>1178.4241896359883</c:v>
                </c:pt>
                <c:pt idx="138">
                  <c:v>1180.50761318944</c:v>
                </c:pt>
                <c:pt idx="139">
                  <c:v>1182.5875274980956</c:v>
                </c:pt>
                <c:pt idx="140">
                  <c:v>1184.6639415747372</c:v>
                </c:pt>
                <c:pt idx="141">
                  <c:v>1186.7368643915802</c:v>
                </c:pt>
                <c:pt idx="142">
                  <c:v>1188.8063048805163</c:v>
                </c:pt>
                <c:pt idx="143">
                  <c:v>1190.8722719333553</c:v>
                </c:pt>
                <c:pt idx="144">
                  <c:v>1192.9347744020629</c:v>
                </c:pt>
                <c:pt idx="145">
                  <c:v>1194.9938210989997</c:v>
                </c:pt>
                <c:pt idx="146">
                  <c:v>1197.0494207971553</c:v>
                </c:pt>
                <c:pt idx="147">
                  <c:v>1199.1015822303834</c:v>
                </c:pt>
                <c:pt idx="148">
                  <c:v>1201.1503140936331</c:v>
                </c:pt>
                <c:pt idx="149">
                  <c:v>1203.1956250431795</c:v>
                </c:pt>
                <c:pt idx="150">
                  <c:v>1205.2375236968523</c:v>
                </c:pt>
                <c:pt idx="151">
                  <c:v>1207.2760186342632</c:v>
                </c:pt>
                <c:pt idx="152">
                  <c:v>1209.3111183970304</c:v>
                </c:pt>
                <c:pt idx="153">
                  <c:v>1211.3428314890027</c:v>
                </c:pt>
                <c:pt idx="154">
                  <c:v>1213.3711663764814</c:v>
                </c:pt>
                <c:pt idx="155">
                  <c:v>1215.3961314884402</c:v>
                </c:pt>
                <c:pt idx="156">
                  <c:v>1217.4177352167449</c:v>
                </c:pt>
                <c:pt idx="157">
                  <c:v>1219.4359859163685</c:v>
                </c:pt>
                <c:pt idx="158">
                  <c:v>1221.4508919056091</c:v>
                </c:pt>
                <c:pt idx="159">
                  <c:v>1223.4624614663016</c:v>
                </c:pt>
                <c:pt idx="160">
                  <c:v>1225.4707028440314</c:v>
                </c:pt>
                <c:pt idx="161">
                  <c:v>1227.4756242483445</c:v>
                </c:pt>
                <c:pt idx="162">
                  <c:v>1229.4772338529569</c:v>
                </c:pt>
                <c:pt idx="163">
                  <c:v>1231.475539795962</c:v>
                </c:pt>
                <c:pt idx="164">
                  <c:v>1233.4705501800372</c:v>
                </c:pt>
                <c:pt idx="165">
                  <c:v>1235.4622730726483</c:v>
                </c:pt>
                <c:pt idx="166">
                  <c:v>1237.4507165062523</c:v>
                </c:pt>
                <c:pt idx="167">
                  <c:v>1239.4358884784997</c:v>
                </c:pt>
                <c:pt idx="168">
                  <c:v>1241.4177969524344</c:v>
                </c:pt>
                <c:pt idx="169">
                  <c:v>1243.3964498566927</c:v>
                </c:pt>
                <c:pt idx="170">
                  <c:v>1245.3718550857</c:v>
                </c:pt>
                <c:pt idx="171">
                  <c:v>1247.3440204998674</c:v>
                </c:pt>
                <c:pt idx="172">
                  <c:v>1249.3129539257861</c:v>
                </c:pt>
                <c:pt idx="173">
                  <c:v>1251.27866315642</c:v>
                </c:pt>
                <c:pt idx="174">
                  <c:v>1253.2411559512975</c:v>
                </c:pt>
                <c:pt idx="175">
                  <c:v>1255.2004400367025</c:v>
                </c:pt>
                <c:pt idx="176">
                  <c:v>1257.1565231058626</c:v>
                </c:pt>
                <c:pt idx="177">
                  <c:v>1259.1094128191369</c:v>
                </c:pt>
                <c:pt idx="178">
                  <c:v>1261.0591168042026</c:v>
                </c:pt>
                <c:pt idx="179">
                  <c:v>1263.0056426562394</c:v>
                </c:pt>
                <c:pt idx="180">
                  <c:v>1264.9489979381133</c:v>
                </c:pt>
                <c:pt idx="181">
                  <c:v>1266.8891901805591</c:v>
                </c:pt>
                <c:pt idx="182">
                  <c:v>1268.8262268823614</c:v>
                </c:pt>
                <c:pt idx="183">
                  <c:v>1270.760115510534</c:v>
                </c:pt>
                <c:pt idx="184">
                  <c:v>1272.6908635004984</c:v>
                </c:pt>
                <c:pt idx="185">
                  <c:v>1274.6184782562614</c:v>
                </c:pt>
                <c:pt idx="186">
                  <c:v>1276.5429671505906</c:v>
                </c:pt>
                <c:pt idx="187">
                  <c:v>1278.4643375251894</c:v>
                </c:pt>
                <c:pt idx="188">
                  <c:v>1280.3825966908701</c:v>
                </c:pt>
                <c:pt idx="189">
                  <c:v>1282.297751927726</c:v>
                </c:pt>
                <c:pt idx="190">
                  <c:v>1284.2098104853035</c:v>
                </c:pt>
                <c:pt idx="191">
                  <c:v>1286.1187795827707</c:v>
                </c:pt>
                <c:pt idx="192">
                  <c:v>1288.0246664090866</c:v>
                </c:pt>
                <c:pt idx="193">
                  <c:v>1289.9274781231684</c:v>
                </c:pt>
                <c:pt idx="194">
                  <c:v>1291.8272218540578</c:v>
                </c:pt>
                <c:pt idx="195">
                  <c:v>1293.7239047010867</c:v>
                </c:pt>
                <c:pt idx="196">
                  <c:v>1295.6175337340399</c:v>
                </c:pt>
                <c:pt idx="197">
                  <c:v>1297.5081159933188</c:v>
                </c:pt>
                <c:pt idx="198">
                  <c:v>1299.3956584901036</c:v>
                </c:pt>
                <c:pt idx="199">
                  <c:v>1301.2801682065126</c:v>
                </c:pt>
                <c:pt idx="200">
                  <c:v>1303.1616520957625</c:v>
                </c:pt>
                <c:pt idx="201">
                  <c:v>1321.810606818723</c:v>
                </c:pt>
                <c:pt idx="202">
                  <c:v>1340.1614272177399</c:v>
                </c:pt>
                <c:pt idx="203">
                  <c:v>1358.2207960033118</c:v>
                </c:pt>
                <c:pt idx="204">
                  <c:v>1375.9951268880332</c:v>
                </c:pt>
                <c:pt idx="205">
                  <c:v>1393.4905787635607</c:v>
                </c:pt>
                <c:pt idx="206">
                  <c:v>1410.7130689442679</c:v>
                </c:pt>
                <c:pt idx="207">
                  <c:v>1427.6682855506911</c:v>
                </c:pt>
                <c:pt idx="208">
                  <c:v>1444.3616990992514</c:v>
                </c:pt>
                <c:pt idx="209">
                  <c:v>1460.798573358793</c:v>
                </c:pt>
                <c:pt idx="210">
                  <c:v>1476.9839755291316</c:v>
                </c:pt>
                <c:pt idx="211">
                  <c:v>1492.9227857920046</c:v>
                </c:pt>
                <c:pt idx="212">
                  <c:v>1508.6197062804756</c:v>
                </c:pt>
                <c:pt idx="213">
                  <c:v>1524.0792695089358</c:v>
                </c:pt>
                <c:pt idx="214">
                  <c:v>1539.3058463023081</c:v>
                </c:pt>
                <c:pt idx="215">
                  <c:v>1554.3036532598612</c:v>
                </c:pt>
                <c:pt idx="216">
                  <c:v>1569.0767597861413</c:v>
                </c:pt>
                <c:pt idx="217">
                  <c:v>1583.6290947188966</c:v>
                </c:pt>
                <c:pt idx="218">
                  <c:v>1597.9644525814851</c:v>
                </c:pt>
                <c:pt idx="219">
                  <c:v>1612.0864994850797</c:v>
                </c:pt>
                <c:pt idx="220">
                  <c:v>1625.9987787040059</c:v>
                </c:pt>
                <c:pt idx="221">
                  <c:v>1639.7047159457502</c:v>
                </c:pt>
                <c:pt idx="222">
                  <c:v>1653.2076243355259</c:v>
                </c:pt>
                <c:pt idx="223">
                  <c:v>1666.5107091337838</c:v>
                </c:pt>
                <c:pt idx="224">
                  <c:v>1679.6170722036809</c:v>
                </c:pt>
                <c:pt idx="225">
                  <c:v>1692.5297162442623</c:v>
                </c:pt>
                <c:pt idx="226">
                  <c:v>1705.251548803961</c:v>
                </c:pt>
                <c:pt idx="227">
                  <c:v>1717.7853860879609</c:v>
                </c:pt>
                <c:pt idx="228">
                  <c:v>1730.1339565720009</c:v>
                </c:pt>
                <c:pt idx="229">
                  <c:v>1742.2999044343069</c:v>
                </c:pt>
                <c:pt idx="230">
                  <c:v>1754.285792816517</c:v>
                </c:pt>
                <c:pt idx="231">
                  <c:v>1766.0941069237124</c:v>
                </c:pt>
                <c:pt idx="232">
                  <c:v>1777.7272569729721</c:v>
                </c:pt>
                <c:pt idx="233">
                  <c:v>1789.1875809992273</c:v>
                </c:pt>
                <c:pt idx="234">
                  <c:v>1800.4773475266006</c:v>
                </c:pt>
                <c:pt idx="235">
                  <c:v>1811.5987581128704</c:v>
                </c:pt>
                <c:pt idx="236">
                  <c:v>1822.5539497741931</c:v>
                </c:pt>
                <c:pt idx="237">
                  <c:v>1833.3449972967521</c:v>
                </c:pt>
                <c:pt idx="238">
                  <c:v>1843.9739154415688</c:v>
                </c:pt>
                <c:pt idx="239">
                  <c:v>1854.442661048309</c:v>
                </c:pt>
                <c:pt idx="240">
                  <c:v>1864.7531350435495</c:v>
                </c:pt>
                <c:pt idx="241">
                  <c:v>1874.9071843586241</c:v>
                </c:pt>
                <c:pt idx="242">
                  <c:v>1884.9066037618463</c:v>
                </c:pt>
                <c:pt idx="243">
                  <c:v>1894.7531376096131</c:v>
                </c:pt>
                <c:pt idx="244">
                  <c:v>1904.4484815206142</c:v>
                </c:pt>
                <c:pt idx="245">
                  <c:v>1913.9942839771147</c:v>
                </c:pt>
                <c:pt idx="246">
                  <c:v>1923.3921478570421</c:v>
                </c:pt>
                <c:pt idx="247">
                  <c:v>1932.6436319003826</c:v>
                </c:pt>
                <c:pt idx="248">
                  <c:v>1941.7502521131855</c:v>
                </c:pt>
                <c:pt idx="249">
                  <c:v>1950.7134831122814</c:v>
                </c:pt>
                <c:pt idx="250">
                  <c:v>1959.5347594136358</c:v>
                </c:pt>
                <c:pt idx="251">
                  <c:v>1968.215476667094</c:v>
                </c:pt>
                <c:pt idx="252">
                  <c:v>1976.7569928401142</c:v>
                </c:pt>
                <c:pt idx="253">
                  <c:v>1985.1606293529376</c:v>
                </c:pt>
                <c:pt idx="254">
                  <c:v>1993.427672167506</c:v>
                </c:pt>
                <c:pt idx="255">
                  <c:v>2001.559372832309</c:v>
                </c:pt>
                <c:pt idx="256">
                  <c:v>2009.5569494852223</c:v>
                </c:pt>
                <c:pt idx="257">
                  <c:v>2017.4215878162811</c:v>
                </c:pt>
                <c:pt idx="258">
                  <c:v>2025.1544419922341</c:v>
                </c:pt>
                <c:pt idx="259">
                  <c:v>2032.756635544614</c:v>
                </c:pt>
                <c:pt idx="260">
                  <c:v>2040.2292622229759</c:v>
                </c:pt>
                <c:pt idx="261">
                  <c:v>2047.5733868148602</c:v>
                </c:pt>
                <c:pt idx="262">
                  <c:v>2054.7900459339589</c:v>
                </c:pt>
                <c:pt idx="263">
                  <c:v>2061.8802487778826</c:v>
                </c:pt>
                <c:pt idx="264">
                  <c:v>2068.8449778568552</c:v>
                </c:pt>
                <c:pt idx="265">
                  <c:v>2075.6851896945946</c:v>
                </c:pt>
                <c:pt idx="266">
                  <c:v>2082.4018155025728</c:v>
                </c:pt>
                <c:pt idx="267">
                  <c:v>2088.9957618287845</c:v>
                </c:pt>
                <c:pt idx="268">
                  <c:v>2095.4679111821029</c:v>
                </c:pt>
                <c:pt idx="269">
                  <c:v>2101.8191226332438</c:v>
                </c:pt>
                <c:pt idx="270">
                  <c:v>2108.0502323933056</c:v>
                </c:pt>
                <c:pt idx="271">
                  <c:v>2114.1620543708113</c:v>
                </c:pt>
                <c:pt idx="272">
                  <c:v>2120.1553807081273</c:v>
                </c:pt>
                <c:pt idx="273">
                  <c:v>2126.0309822980985</c:v>
                </c:pt>
                <c:pt idx="274">
                  <c:v>2131.7896092816891</c:v>
                </c:pt>
                <c:pt idx="275">
                  <c:v>2137.4319915273945</c:v>
                </c:pt>
                <c:pt idx="276">
                  <c:v>2142.9588390931394</c:v>
                </c:pt>
                <c:pt idx="277">
                  <c:v>2148.3708426713565</c:v>
                </c:pt>
                <c:pt idx="278">
                  <c:v>2153.668674017902</c:v>
                </c:pt>
                <c:pt idx="279">
                  <c:v>2158.8529863654367</c:v>
                </c:pt>
                <c:pt idx="280">
                  <c:v>2163.9244148218731</c:v>
                </c:pt>
                <c:pt idx="281">
                  <c:v>2168.883576754466</c:v>
                </c:pt>
                <c:pt idx="282">
                  <c:v>2173.7310721600943</c:v>
                </c:pt>
                <c:pt idx="283">
                  <c:v>2178.4674840222692</c:v>
                </c:pt>
                <c:pt idx="284">
                  <c:v>2183.0933786553715</c:v>
                </c:pt>
                <c:pt idx="285">
                  <c:v>2187.609306036612</c:v>
                </c:pt>
                <c:pt idx="286">
                  <c:v>2192.0158001261852</c:v>
                </c:pt>
                <c:pt idx="287">
                  <c:v>2196.3133791760752</c:v>
                </c:pt>
                <c:pt idx="288">
                  <c:v>2200.5025460279553</c:v>
                </c:pt>
                <c:pt idx="289">
                  <c:v>2204.583788400616</c:v>
                </c:pt>
                <c:pt idx="290">
                  <c:v>2208.5575791673405</c:v>
                </c:pt>
                <c:pt idx="291">
                  <c:v>2212.4243766236432</c:v>
                </c:pt>
                <c:pt idx="292">
                  <c:v>2216.1846247457788</c:v>
                </c:pt>
                <c:pt idx="293">
                  <c:v>2219.8387534404292</c:v>
                </c:pt>
                <c:pt idx="294">
                  <c:v>2223.3871787859739</c:v>
                </c:pt>
                <c:pt idx="295">
                  <c:v>2226.8303032657491</c:v>
                </c:pt>
                <c:pt idx="296">
                  <c:v>2230.1685159937169</c:v>
                </c:pt>
                <c:pt idx="297">
                  <c:v>2233.4021929329665</c:v>
                </c:pt>
                <c:pt idx="298">
                  <c:v>2236.5316971074885</c:v>
                </c:pt>
                <c:pt idx="299">
                  <c:v>2239.5573788076913</c:v>
                </c:pt>
                <c:pt idx="300">
                  <c:v>2242.4795757901447</c:v>
                </c:pt>
                <c:pt idx="301">
                  <c:v>2245.2986134720795</c:v>
                </c:pt>
                <c:pt idx="302">
                  <c:v>2248.0148051212163</c:v>
                </c:pt>
                <c:pt idx="303">
                  <c:v>2250.6284520415493</c:v>
                </c:pt>
                <c:pt idx="304">
                  <c:v>2253.1398437557777</c:v>
                </c:pt>
                <c:pt idx="305">
                  <c:v>2255.5492581851718</c:v>
                </c:pt>
                <c:pt idx="306">
                  <c:v>2257.856961827747</c:v>
                </c:pt>
                <c:pt idx="307">
                  <c:v>2260.063209935754</c:v>
                </c:pt>
                <c:pt idx="308">
                  <c:v>2262.1682466936386</c:v>
                </c:pt>
                <c:pt idx="309">
                  <c:v>2264.1723053977998</c:v>
                </c:pt>
                <c:pt idx="310">
                  <c:v>2266.0756086396891</c:v>
                </c:pt>
                <c:pt idx="311">
                  <c:v>2267.8783684940418</c:v>
                </c:pt>
                <c:pt idx="312">
                  <c:v>2269.580786714329</c:v>
                </c:pt>
                <c:pt idx="313">
                  <c:v>2271.183054937856</c:v>
                </c:pt>
                <c:pt idx="314">
                  <c:v>2272.6853549033249</c:v>
                </c:pt>
                <c:pt idx="315">
                  <c:v>2274.0878586841172</c:v>
                </c:pt>
                <c:pt idx="316">
                  <c:v>2275.390728941039</c:v>
                </c:pt>
                <c:pt idx="317">
                  <c:v>2276.5941191987786</c:v>
                </c:pt>
                <c:pt idx="318">
                  <c:v>2277.6981741508475</c:v>
                </c:pt>
                <c:pt idx="319">
                  <c:v>2278.7030299982544</c:v>
                </c:pt>
                <c:pt idx="320">
                  <c:v>2279.6088148275594</c:v>
                </c:pt>
                <c:pt idx="321">
                  <c:v>2280.4156490341652</c:v>
                </c:pt>
                <c:pt idx="322">
                  <c:v>2281.1236457966493</c:v>
                </c:pt>
                <c:pt idx="323">
                  <c:v>2281.7329116074857</c:v>
                </c:pt>
                <c:pt idx="324">
                  <c:v>2282.2435468645308</c:v>
                </c:pt>
                <c:pt idx="325">
                  <c:v>2282.6556465260455</c:v>
                </c:pt>
                <c:pt idx="326">
                  <c:v>2282.9693008297431</c:v>
                </c:pt>
                <c:pt idx="327">
                  <c:v>2283.1845960734186</c:v>
                </c:pt>
                <c:pt idx="328">
                  <c:v>2283.3016154512825</c:v>
                </c:pt>
                <c:pt idx="329">
                  <c:v>2283.3204399364904</c:v>
                </c:pt>
                <c:pt idx="330">
                  <c:v>2283.2411491969215</c:v>
                </c:pt>
                <c:pt idx="331">
                  <c:v>2283.0638225284806</c:v>
                </c:pt>
                <c:pt idx="332">
                  <c:v>2282.7885397884984</c:v>
                </c:pt>
                <c:pt idx="333">
                  <c:v>2282.4153823114448</c:v>
                </c:pt>
                <c:pt idx="334">
                  <c:v>2281.9444337902323</c:v>
                </c:pt>
                <c:pt idx="335">
                  <c:v>2281.3757811086734</c:v>
                </c:pt>
                <c:pt idx="336">
                  <c:v>2280.7095151138346</c:v>
                </c:pt>
                <c:pt idx="337">
                  <c:v>2279.9457313206358</c:v>
                </c:pt>
                <c:pt idx="338">
                  <c:v>2279.084530544631</c:v>
                </c:pt>
                <c:pt idx="339">
                  <c:v>2278.1260194621332</c:v>
                </c:pt>
                <c:pt idx="340">
                  <c:v>2277.0703110994659</c:v>
                </c:pt>
                <c:pt idx="341">
                  <c:v>2275.9175252550676</c:v>
                </c:pt>
                <c:pt idx="342">
                  <c:v>2274.6677888594472</c:v>
                </c:pt>
                <c:pt idx="343">
                  <c:v>2273.3212362786703</c:v>
                </c:pt>
                <c:pt idx="344">
                  <c:v>2271.8780095672873</c:v>
                </c:pt>
                <c:pt idx="345">
                  <c:v>2270.338258676501</c:v>
                </c:pt>
                <c:pt idx="346">
                  <c:v>2268.7021416230377</c:v>
                </c:pt>
                <c:pt idx="347">
                  <c:v>2266.9698246237276</c:v>
                </c:pt>
                <c:pt idx="348">
                  <c:v>2265.1414822002776</c:v>
                </c:pt>
                <c:pt idx="349">
                  <c:v>2263.2172972581839</c:v>
                </c:pt>
                <c:pt idx="350">
                  <c:v>2261.1974611432306</c:v>
                </c:pt>
                <c:pt idx="351">
                  <c:v>2259.0821736785319</c:v>
                </c:pt>
                <c:pt idx="352">
                  <c:v>2256.871643184671</c:v>
                </c:pt>
                <c:pt idx="353">
                  <c:v>2254.566086485097</c:v>
                </c:pt>
                <c:pt idx="354">
                  <c:v>2252.165728898628</c:v>
                </c:pt>
                <c:pt idx="355">
                  <c:v>2249.6708042206305</c:v>
                </c:pt>
                <c:pt idx="356">
                  <c:v>2247.081554694199</c:v>
                </c:pt>
                <c:pt idx="357">
                  <c:v>2244.3982309724734</c:v>
                </c:pt>
                <c:pt idx="358">
                  <c:v>2241.6210920730496</c:v>
                </c:pt>
                <c:pt idx="359">
                  <c:v>2238.7504053253087</c:v>
                </c:pt>
                <c:pt idx="360">
                  <c:v>2235.7864463113642</c:v>
                </c:pt>
                <c:pt idx="361">
                  <c:v>2232.7294988012286</c:v>
                </c:pt>
                <c:pt idx="362">
                  <c:v>2229.5798546827214</c:v>
                </c:pt>
                <c:pt idx="363">
                  <c:v>2226.3378138865673</c:v>
                </c:pt>
                <c:pt idx="364">
                  <c:v>2223.003684307077</c:v>
                </c:pt>
                <c:pt idx="365">
                  <c:v>2219.5777817187527</c:v>
                </c:pt>
                <c:pt idx="366">
                  <c:v>2216.0604296891224</c:v>
                </c:pt>
                <c:pt idx="367">
                  <c:v>2212.4519594880717</c:v>
                </c:pt>
                <c:pt idx="368">
                  <c:v>2208.7527099939125</c:v>
                </c:pt>
                <c:pt idx="369">
                  <c:v>2204.9630275964028</c:v>
                </c:pt>
                <c:pt idx="370">
                  <c:v>2201.0832660969149</c:v>
                </c:pt>
                <c:pt idx="371">
                  <c:v>2197.1137866059294</c:v>
                </c:pt>
                <c:pt idx="372">
                  <c:v>2193.054957438017</c:v>
                </c:pt>
                <c:pt idx="373">
                  <c:v>2188.907154004462</c:v>
                </c:pt>
                <c:pt idx="374">
                  <c:v>2184.6707587036653</c:v>
                </c:pt>
                <c:pt idx="375">
                  <c:v>2180.3461608094613</c:v>
                </c:pt>
                <c:pt idx="376">
                  <c:v>2175.9337563574682</c:v>
                </c:pt>
                <c:pt idx="377">
                  <c:v>2171.4339480295962</c:v>
                </c:pt>
                <c:pt idx="378">
                  <c:v>2166.847145036817</c:v>
                </c:pt>
                <c:pt idx="379">
                  <c:v>2162.173763000309</c:v>
                </c:pt>
                <c:pt idx="380">
                  <c:v>2157.4142238310751</c:v>
                </c:pt>
                <c:pt idx="381">
                  <c:v>2152.5689556081361</c:v>
                </c:pt>
                <c:pt idx="382">
                  <c:v>2147.6383924553911</c:v>
                </c:pt>
                <c:pt idx="383">
                  <c:v>2142.6229744172433</c:v>
                </c:pt>
                <c:pt idx="384">
                  <c:v>2137.5231473330741</c:v>
                </c:pt>
                <c:pt idx="385">
                  <c:v>2132.3393627106616</c:v>
                </c:pt>
                <c:pt idx="386">
                  <c:v>2127.0720775986201</c:v>
                </c:pt>
                <c:pt idx="387">
                  <c:v>2121.7217544579544</c:v>
                </c:pt>
                <c:pt idx="388">
                  <c:v>2116.2888610328005</c:v>
                </c:pt>
                <c:pt idx="389">
                  <c:v>2110.7738702204433</c:v>
                </c:pt>
                <c:pt idx="390">
                  <c:v>2105.1772599406827</c:v>
                </c:pt>
                <c:pt idx="391">
                  <c:v>2099.4995130046282</c:v>
                </c:pt>
                <c:pt idx="392">
                  <c:v>2093.7411169829998</c:v>
                </c:pt>
                <c:pt idx="393">
                  <c:v>2087.9025640740069</c:v>
                </c:pt>
                <c:pt idx="394">
                  <c:v>2081.9843509708812</c:v>
                </c:pt>
                <c:pt idx="395">
                  <c:v>2075.9869787291336</c:v>
                </c:pt>
                <c:pt idx="396">
                  <c:v>2069.9109526336083</c:v>
                </c:pt>
                <c:pt idx="397">
                  <c:v>2063.7567820654026</c:v>
                </c:pt>
                <c:pt idx="398">
                  <c:v>2057.5249803687207</c:v>
                </c:pt>
                <c:pt idx="399">
                  <c:v>2051.2160647177293</c:v>
                </c:pt>
                <c:pt idx="400">
                  <c:v>2044.830555983481</c:v>
                </c:pt>
                <c:pt idx="401">
                  <c:v>2038.3689786009711</c:v>
                </c:pt>
                <c:pt idx="402">
                  <c:v>2031.8318604363899</c:v>
                </c:pt>
                <c:pt idx="403">
                  <c:v>2025.2197326546345</c:v>
                </c:pt>
                <c:pt idx="404">
                  <c:v>2018.5331295871401</c:v>
                </c:pt>
                <c:pt idx="405">
                  <c:v>2011.7725886000919</c:v>
                </c:pt>
                <c:pt idx="406">
                  <c:v>2004.938649963075</c:v>
                </c:pt>
                <c:pt idx="407">
                  <c:v>1998.0318567182203</c:v>
                </c:pt>
                <c:pt idx="408">
                  <c:v>1991.0527545499037</c:v>
                </c:pt>
                <c:pt idx="409">
                  <c:v>1984.0018916550507</c:v>
                </c:pt>
                <c:pt idx="410">
                  <c:v>1976.8798186141025</c:v>
                </c:pt>
                <c:pt idx="411">
                  <c:v>1969.6870882626949</c:v>
                </c:pt>
                <c:pt idx="412">
                  <c:v>1962.4242555640994</c:v>
                </c:pt>
                <c:pt idx="413">
                  <c:v>1955.0918774824788</c:v>
                </c:pt>
                <c:pt idx="414">
                  <c:v>1947.6905128570031</c:v>
                </c:pt>
                <c:pt idx="415">
                  <c:v>1940.2207222768729</c:v>
                </c:pt>
                <c:pt idx="416">
                  <c:v>1932.6830679572975</c:v>
                </c:pt>
                <c:pt idx="417">
                  <c:v>1925.0781136164678</c:v>
                </c:pt>
                <c:pt idx="418">
                  <c:v>1917.4064243535722</c:v>
                </c:pt>
                <c:pt idx="419">
                  <c:v>1909.6685665278908</c:v>
                </c:pt>
                <c:pt idx="420">
                  <c:v>1901.865107639012</c:v>
                </c:pt>
                <c:pt idx="421">
                  <c:v>1893.9966162082085</c:v>
                </c:pt>
                <c:pt idx="422">
                  <c:v>1886.0636616610084</c:v>
                </c:pt>
                <c:pt idx="423">
                  <c:v>1878.0668142109998</c:v>
                </c:pt>
                <c:pt idx="424">
                  <c:v>1870.006644744901</c:v>
                </c:pt>
                <c:pt idx="425">
                  <c:v>1861.8837247089291</c:v>
                </c:pt>
                <c:pt idx="426">
                  <c:v>1853.6986259965004</c:v>
                </c:pt>
                <c:pt idx="427">
                  <c:v>1845.4519208372892</c:v>
                </c:pt>
                <c:pt idx="428">
                  <c:v>1837.1441816876786</c:v>
                </c:pt>
                <c:pt idx="429">
                  <c:v>1828.7759811226244</c:v>
                </c:pt>
                <c:pt idx="430">
                  <c:v>1820.3478917289642</c:v>
                </c:pt>
                <c:pt idx="431">
                  <c:v>1811.8604860001906</c:v>
                </c:pt>
                <c:pt idx="432">
                  <c:v>1803.3143362327164</c:v>
                </c:pt>
                <c:pt idx="433">
                  <c:v>1794.7100144236508</c:v>
                </c:pt>
                <c:pt idx="434">
                  <c:v>1786.0480921701073</c:v>
                </c:pt>
                <c:pt idx="435">
                  <c:v>1777.3291405700636</c:v>
                </c:pt>
                <c:pt idx="436">
                  <c:v>1768.5537301247903</c:v>
                </c:pt>
                <c:pt idx="437">
                  <c:v>1759.7224306428659</c:v>
                </c:pt>
                <c:pt idx="438">
                  <c:v>1750.8358111457926</c:v>
                </c:pt>
                <c:pt idx="439">
                  <c:v>1741.8944397752271</c:v>
                </c:pt>
                <c:pt idx="440">
                  <c:v>1732.8988837018392</c:v>
                </c:pt>
                <c:pt idx="441">
                  <c:v>1723.8497090358105</c:v>
                </c:pt>
                <c:pt idx="442">
                  <c:v>1714.7474807389824</c:v>
                </c:pt>
                <c:pt idx="443">
                  <c:v>1705.5927625386626</c:v>
                </c:pt>
                <c:pt idx="444">
                  <c:v>1696.3861168430997</c:v>
                </c:pt>
                <c:pt idx="445">
                  <c:v>1687.1281046586307</c:v>
                </c:pt>
                <c:pt idx="446">
                  <c:v>1677.8192855085083</c:v>
                </c:pt>
                <c:pt idx="447">
                  <c:v>1668.4602173534126</c:v>
                </c:pt>
                <c:pt idx="448">
                  <c:v>1659.0514565136505</c:v>
                </c:pt>
                <c:pt idx="449">
                  <c:v>1649.5935575930444</c:v>
                </c:pt>
                <c:pt idx="450">
                  <c:v>1640.0870734045138</c:v>
                </c:pt>
                <c:pt idx="451">
                  <c:v>1630.5325548973485</c:v>
                </c:pt>
                <c:pt idx="452">
                  <c:v>1620.9305510861725</c:v>
                </c:pt>
                <c:pt idx="453">
                  <c:v>1611.2816089815992</c:v>
                </c:pt>
                <c:pt idx="454">
                  <c:v>1601.586273522573</c:v>
                </c:pt>
                <c:pt idx="455">
                  <c:v>1591.8450875103958</c:v>
                </c:pt>
                <c:pt idx="456">
                  <c:v>1582.0585915444328</c:v>
                </c:pt>
                <c:pt idx="457">
                  <c:v>1572.2273239594931</c:v>
                </c:pt>
                <c:pt idx="458">
                  <c:v>1562.3518207648794</c:v>
                </c:pt>
                <c:pt idx="459">
                  <c:v>1552.4326155850997</c:v>
                </c:pt>
                <c:pt idx="460">
                  <c:v>1542.4702396022319</c:v>
                </c:pt>
                <c:pt idx="461">
                  <c:v>1532.4652214999371</c:v>
                </c:pt>
                <c:pt idx="462">
                  <c:v>1522.4180874091071</c:v>
                </c:pt>
                <c:pt idx="463">
                  <c:v>1512.3293608551403</c:v>
                </c:pt>
                <c:pt idx="464">
                  <c:v>1502.1995627068345</c:v>
                </c:pt>
                <c:pt idx="465">
                  <c:v>1492.0292111268845</c:v>
                </c:pt>
                <c:pt idx="466">
                  <c:v>1481.8188215239732</c:v>
                </c:pt>
                <c:pt idx="467">
                  <c:v>1471.5689065064444</c:v>
                </c:pt>
                <c:pt idx="468">
                  <c:v>1461.2799758375434</c:v>
                </c:pt>
                <c:pt idx="469">
                  <c:v>1450.9525363922128</c:v>
                </c:pt>
                <c:pt idx="470">
                  <c:v>1440.5870921154285</c:v>
                </c:pt>
                <c:pt idx="471">
                  <c:v>1430.184143982061</c:v>
                </c:pt>
                <c:pt idx="472">
                  <c:v>1419.7441899582482</c:v>
                </c:pt>
                <c:pt idx="473">
                  <c:v>1409.2677249642634</c:v>
                </c:pt>
                <c:pt idx="474">
                  <c:v>1398.7552408388624</c:v>
                </c:pt>
                <c:pt idx="475">
                  <c:v>1388.2072263050927</c:v>
                </c:pt>
                <c:pt idx="476">
                  <c:v>1377.6241669375488</c:v>
                </c:pt>
                <c:pt idx="477">
                  <c:v>1367.0065451310563</c:v>
                </c:pt>
                <c:pt idx="478">
                  <c:v>1356.3548400707675</c:v>
                </c:pt>
                <c:pt idx="479">
                  <c:v>1345.6695277036486</c:v>
                </c:pt>
                <c:pt idx="480">
                  <c:v>1334.9510807113427</c:v>
                </c:pt>
                <c:pt idx="481">
                  <c:v>1324.1999684843897</c:v>
                </c:pt>
                <c:pt idx="482">
                  <c:v>1313.4166570977823</c:v>
                </c:pt>
                <c:pt idx="483">
                  <c:v>1302.601609287841</c:v>
                </c:pt>
                <c:pt idx="484">
                  <c:v>1291.7552844303893</c:v>
                </c:pt>
                <c:pt idx="485">
                  <c:v>1280.8781385202074</c:v>
                </c:pt>
                <c:pt idx="486">
                  <c:v>1269.9706241517456</c:v>
                </c:pt>
                <c:pt idx="487">
                  <c:v>1259.0331905010801</c:v>
                </c:pt>
                <c:pt idx="488">
                  <c:v>1248.0662833090857</c:v>
                </c:pt>
                <c:pt idx="489">
                  <c:v>1237.0703448658123</c:v>
                </c:pt>
                <c:pt idx="490">
                  <c:v>1226.0458139960376</c:v>
                </c:pt>
                <c:pt idx="491">
                  <c:v>1214.9931260459819</c:v>
                </c:pt>
                <c:pt idx="492">
                  <c:v>1203.9127128711602</c:v>
                </c:pt>
                <c:pt idx="493">
                  <c:v>1192.8050028253547</c:v>
                </c:pt>
                <c:pt idx="494">
                  <c:v>1181.670420750683</c:v>
                </c:pt>
                <c:pt idx="495">
                  <c:v>1170.5093879687452</c:v>
                </c:pt>
                <c:pt idx="496">
                  <c:v>1159.322322272827</c:v>
                </c:pt>
                <c:pt idx="497">
                  <c:v>1148.1096379211397</c:v>
                </c:pt>
                <c:pt idx="498">
                  <c:v>1136.8717456310744</c:v>
                </c:pt>
                <c:pt idx="499">
                  <c:v>1125.6090525744523</c:v>
                </c:pt>
                <c:pt idx="500">
                  <c:v>1114.3219623737484</c:v>
                </c:pt>
                <c:pt idx="501">
                  <c:v>1103.0108750992697</c:v>
                </c:pt>
                <c:pt idx="502">
                  <c:v>1091.6761872672655</c:v>
                </c:pt>
                <c:pt idx="503">
                  <c:v>1080.3182918389521</c:v>
                </c:pt>
                <c:pt idx="504">
                  <c:v>1068.937578220429</c:v>
                </c:pt>
                <c:pt idx="505">
                  <c:v>1057.5344322634674</c:v>
                </c:pt>
                <c:pt idx="506">
                  <c:v>1046.1092362671509</c:v>
                </c:pt>
                <c:pt idx="507">
                  <c:v>1034.6623689803489</c:v>
                </c:pt>
                <c:pt idx="508">
                  <c:v>1023.1942056050018</c:v>
                </c:pt>
                <c:pt idx="509">
                  <c:v>1011.7051178001979</c:v>
                </c:pt>
                <c:pt idx="510">
                  <c:v>1000.195473687024</c:v>
                </c:pt>
                <c:pt idx="511">
                  <c:v>988.66563785416929</c:v>
                </c:pt>
                <c:pt idx="512">
                  <c:v>977.11597136426224</c:v>
                </c:pt>
                <c:pt idx="513">
                  <c:v>965.54683176092294</c:v>
                </c:pt>
                <c:pt idx="514">
                  <c:v>953.95857307651113</c:v>
                </c:pt>
                <c:pt idx="515">
                  <c:v>942.35154584055056</c:v>
                </c:pt>
                <c:pt idx="516">
                  <c:v>930.72609708881191</c:v>
                </c:pt>
                <c:pt idx="517">
                  <c:v>919.08257037303554</c:v>
                </c:pt>
                <c:pt idx="518">
                  <c:v>907.42130577127512</c:v>
                </c:pt>
                <c:pt idx="519">
                  <c:v>895.74263989884491</c:v>
                </c:pt>
                <c:pt idx="520">
                  <c:v>884.04690591985286</c:v>
                </c:pt>
                <c:pt idx="521">
                  <c:v>872.33443355930046</c:v>
                </c:pt>
                <c:pt idx="522">
                  <c:v>860.60554911573399</c:v>
                </c:pt>
                <c:pt idx="523">
                  <c:v>848.86057547442806</c:v>
                </c:pt>
                <c:pt idx="524">
                  <c:v>837.09983212108546</c:v>
                </c:pt>
                <c:pt idx="525">
                  <c:v>825.32363515603629</c:v>
                </c:pt>
                <c:pt idx="526">
                  <c:v>813.53229730891974</c:v>
                </c:pt>
                <c:pt idx="527">
                  <c:v>801.72612795383168</c:v>
                </c:pt>
                <c:pt idx="528">
                  <c:v>789.90543312492321</c:v>
                </c:pt>
                <c:pt idx="529">
                  <c:v>778.07051553243309</c:v>
                </c:pt>
                <c:pt idx="530">
                  <c:v>766.22167457913895</c:v>
                </c:pt>
                <c:pt idx="531">
                  <c:v>754.35920637721131</c:v>
                </c:pt>
                <c:pt idx="532">
                  <c:v>742.48340376545673</c:v>
                </c:pt>
                <c:pt idx="533">
                  <c:v>730.59455632693323</c:v>
                </c:pt>
                <c:pt idx="534">
                  <c:v>718.6929504069243</c:v>
                </c:pt>
                <c:pt idx="535">
                  <c:v>706.77886913125781</c:v>
                </c:pt>
                <c:pt idx="536">
                  <c:v>694.85259242495363</c:v>
                </c:pt>
                <c:pt idx="537">
                  <c:v>682.91439703118829</c:v>
                </c:pt>
                <c:pt idx="538">
                  <c:v>670.96455653056114</c:v>
                </c:pt>
                <c:pt idx="539">
                  <c:v>659.00334136064998</c:v>
                </c:pt>
                <c:pt idx="540">
                  <c:v>647.03101883584156</c:v>
                </c:pt>
                <c:pt idx="541">
                  <c:v>635.04785316742539</c:v>
                </c:pt>
                <c:pt idx="542">
                  <c:v>623.05410548393729</c:v>
                </c:pt>
                <c:pt idx="543">
                  <c:v>611.05003385174018</c:v>
                </c:pt>
                <c:pt idx="544">
                  <c:v>599.03589329583076</c:v>
                </c:pt>
                <c:pt idx="545">
                  <c:v>587.01193582085853</c:v>
                </c:pt>
                <c:pt idx="546">
                  <c:v>574.97841043234757</c:v>
                </c:pt>
                <c:pt idx="547">
                  <c:v>562.93556315810713</c:v>
                </c:pt>
                <c:pt idx="548">
                  <c:v>550.88363706982216</c:v>
                </c:pt>
                <c:pt idx="549">
                  <c:v>538.82287230481074</c:v>
                </c:pt>
                <c:pt idx="550">
                  <c:v>526.75350608793906</c:v>
                </c:pt>
                <c:pt idx="551">
                  <c:v>514.67577275368285</c:v>
                </c:pt>
                <c:pt idx="552">
                  <c:v>502.58990376832469</c:v>
                </c:pt>
                <c:pt idx="553">
                  <c:v>490.49612775227769</c:v>
                </c:pt>
                <c:pt idx="554">
                  <c:v>478.39467050252534</c:v>
                </c:pt>
                <c:pt idx="555">
                  <c:v>466.28575501516804</c:v>
                </c:pt>
                <c:pt idx="556">
                  <c:v>454.16960150806671</c:v>
                </c:pt>
                <c:pt idx="557">
                  <c:v>442.04642744357477</c:v>
                </c:pt>
                <c:pt idx="558">
                  <c:v>429.91644755134899</c:v>
                </c:pt>
                <c:pt idx="559">
                  <c:v>417.779873851231</c:v>
                </c:pt>
                <c:pt idx="560">
                  <c:v>405.63691567619048</c:v>
                </c:pt>
                <c:pt idx="561">
                  <c:v>393.4877796953221</c:v>
                </c:pt>
                <c:pt idx="562">
                  <c:v>381.33266993688812</c:v>
                </c:pt>
                <c:pt idx="563">
                  <c:v>369.17178781139825</c:v>
                </c:pt>
                <c:pt idx="564">
                  <c:v>357.00533213472005</c:v>
                </c:pt>
                <c:pt idx="565">
                  <c:v>344.83349915121153</c:v>
                </c:pt>
                <c:pt idx="566">
                  <c:v>332.65648255686909</c:v>
                </c:pt>
                <c:pt idx="567">
                  <c:v>320.47447352248378</c:v>
                </c:pt>
                <c:pt idx="568">
                  <c:v>308.28766071679888</c:v>
                </c:pt>
                <c:pt idx="569">
                  <c:v>296.09623032966226</c:v>
                </c:pt>
                <c:pt idx="570">
                  <c:v>283.90036609516687</c:v>
                </c:pt>
                <c:pt idx="571">
                  <c:v>271.70024931477332</c:v>
                </c:pt>
                <c:pt idx="572">
                  <c:v>259.49605888040804</c:v>
                </c:pt>
                <c:pt idx="573">
                  <c:v>247.28797129753173</c:v>
                </c:pt>
                <c:pt idx="574">
                  <c:v>235.07616070817167</c:v>
                </c:pt>
                <c:pt idx="575">
                  <c:v>222.86079891391287</c:v>
                </c:pt>
                <c:pt idx="576">
                  <c:v>210.64205539884233</c:v>
                </c:pt>
                <c:pt idx="577">
                  <c:v>198.42009735244136</c:v>
                </c:pt>
                <c:pt idx="578">
                  <c:v>186.19508969242079</c:v>
                </c:pt>
                <c:pt idx="579">
                  <c:v>173.96719508749439</c:v>
                </c:pt>
                <c:pt idx="580">
                  <c:v>161.73657398008547</c:v>
                </c:pt>
                <c:pt idx="581">
                  <c:v>149.50338460896245</c:v>
                </c:pt>
                <c:pt idx="582">
                  <c:v>137.26778303179861</c:v>
                </c:pt>
                <c:pt idx="583">
                  <c:v>125.02992314765213</c:v>
                </c:pt>
                <c:pt idx="584">
                  <c:v>112.78995671936202</c:v>
                </c:pt>
                <c:pt idx="585">
                  <c:v>100.54803339585624</c:v>
                </c:pt>
                <c:pt idx="586">
                  <c:v>88.304300734367885</c:v>
                </c:pt>
                <c:pt idx="587">
                  <c:v>76.05890422255618</c:v>
                </c:pt>
                <c:pt idx="588">
                  <c:v>63.811987300528294</c:v>
                </c:pt>
                <c:pt idx="589">
                  <c:v>51.563691382758996</c:v>
                </c:pt>
                <c:pt idx="590">
                  <c:v>39.314155879904597</c:v>
                </c:pt>
                <c:pt idx="591">
                  <c:v>27.06351822050819</c:v>
                </c:pt>
                <c:pt idx="592">
                  <c:v>14.811913872593156</c:v>
                </c:pt>
                <c:pt idx="593">
                  <c:v>2.5594763651420589</c:v>
                </c:pt>
                <c:pt idx="594">
                  <c:v>-9.6936626905418191</c:v>
                </c:pt>
                <c:pt idx="595">
                  <c:v>-9.7059161479608953</c:v>
                </c:pt>
                <c:pt idx="596">
                  <c:v>-9.7181696058873559</c:v>
                </c:pt>
                <c:pt idx="597">
                  <c:v>-9.730423064321073</c:v>
                </c:pt>
                <c:pt idx="598">
                  <c:v>-9.7426765232619204</c:v>
                </c:pt>
                <c:pt idx="599">
                  <c:v>-9.754929982709772</c:v>
                </c:pt>
                <c:pt idx="600">
                  <c:v>-9.7671834426644999</c:v>
                </c:pt>
                <c:pt idx="601">
                  <c:v>-9.779436903125978</c:v>
                </c:pt>
                <c:pt idx="602">
                  <c:v>-9.7916903640940802</c:v>
                </c:pt>
                <c:pt idx="603">
                  <c:v>-9.8039438255686786</c:v>
                </c:pt>
                <c:pt idx="604">
                  <c:v>-9.8161972875496453</c:v>
                </c:pt>
                <c:pt idx="605">
                  <c:v>-9.8284507500368559</c:v>
                </c:pt>
                <c:pt idx="606">
                  <c:v>-9.8407042130301825</c:v>
                </c:pt>
                <c:pt idx="607">
                  <c:v>-9.8529576765294973</c:v>
                </c:pt>
                <c:pt idx="608">
                  <c:v>-9.8652111405346741</c:v>
                </c:pt>
                <c:pt idx="609">
                  <c:v>-9.8774646050455868</c:v>
                </c:pt>
                <c:pt idx="610">
                  <c:v>-9.8897180700621075</c:v>
                </c:pt>
                <c:pt idx="611">
                  <c:v>-9.90197153558411</c:v>
                </c:pt>
                <c:pt idx="612">
                  <c:v>-9.9142250016114684</c:v>
                </c:pt>
                <c:pt idx="613">
                  <c:v>-9.9264784681440545</c:v>
                </c:pt>
                <c:pt idx="614">
                  <c:v>-9.9387319351817425</c:v>
                </c:pt>
                <c:pt idx="615">
                  <c:v>-9.950985402724406</c:v>
                </c:pt>
                <c:pt idx="616">
                  <c:v>-9.9632388707719173</c:v>
                </c:pt>
                <c:pt idx="617">
                  <c:v>-9.9754923393241501</c:v>
                </c:pt>
                <c:pt idx="618">
                  <c:v>-9.9877458083809767</c:v>
                </c:pt>
                <c:pt idx="619">
                  <c:v>-9.9999992779422708</c:v>
                </c:pt>
                <c:pt idx="620">
                  <c:v>-10.012252748007906</c:v>
                </c:pt>
                <c:pt idx="621">
                  <c:v>-10.024506218577756</c:v>
                </c:pt>
                <c:pt idx="622">
                  <c:v>-10.036759689651692</c:v>
                </c:pt>
                <c:pt idx="623">
                  <c:v>-10.04901316122959</c:v>
                </c:pt>
                <c:pt idx="624">
                  <c:v>-10.061266633311321</c:v>
                </c:pt>
                <c:pt idx="625">
                  <c:v>-10.07352010589676</c:v>
                </c:pt>
                <c:pt idx="626">
                  <c:v>-10.085773578985778</c:v>
                </c:pt>
                <c:pt idx="627">
                  <c:v>-10.098027052578249</c:v>
                </c:pt>
                <c:pt idx="628">
                  <c:v>-10.110280526674048</c:v>
                </c:pt>
                <c:pt idx="629">
                  <c:v>-10.122534001273046</c:v>
                </c:pt>
                <c:pt idx="630">
                  <c:v>-10.134787476375116</c:v>
                </c:pt>
                <c:pt idx="631">
                  <c:v>-10.147040951980134</c:v>
                </c:pt>
                <c:pt idx="632">
                  <c:v>-10.159294428087971</c:v>
                </c:pt>
                <c:pt idx="633">
                  <c:v>-10.171547904698501</c:v>
                </c:pt>
                <c:pt idx="634">
                  <c:v>-10.183801381811598</c:v>
                </c:pt>
                <c:pt idx="635">
                  <c:v>-10.196054859427134</c:v>
                </c:pt>
                <c:pt idx="636">
                  <c:v>-10.208308337544983</c:v>
                </c:pt>
                <c:pt idx="637">
                  <c:v>-10.220561816165018</c:v>
                </c:pt>
                <c:pt idx="638">
                  <c:v>-10.232815295287113</c:v>
                </c:pt>
                <c:pt idx="639">
                  <c:v>-10.24506877491114</c:v>
                </c:pt>
                <c:pt idx="640">
                  <c:v>-10.257322255036971</c:v>
                </c:pt>
                <c:pt idx="641">
                  <c:v>-10.269575735664482</c:v>
                </c:pt>
                <c:pt idx="642">
                  <c:v>-10.281829216793545</c:v>
                </c:pt>
                <c:pt idx="643">
                  <c:v>-10.294082698424035</c:v>
                </c:pt>
                <c:pt idx="644">
                  <c:v>-10.306336180555823</c:v>
                </c:pt>
                <c:pt idx="645">
                  <c:v>-10.318589663188783</c:v>
                </c:pt>
                <c:pt idx="646">
                  <c:v>-10.330843146322788</c:v>
                </c:pt>
                <c:pt idx="647">
                  <c:v>-10.343096629957712</c:v>
                </c:pt>
                <c:pt idx="648">
                  <c:v>-10.355350114093428</c:v>
                </c:pt>
                <c:pt idx="649">
                  <c:v>-10.367603598729808</c:v>
                </c:pt>
                <c:pt idx="650">
                  <c:v>-10.379857083866726</c:v>
                </c:pt>
                <c:pt idx="651">
                  <c:v>-10.392110569504057</c:v>
                </c:pt>
                <c:pt idx="652">
                  <c:v>-10.404364055641674</c:v>
                </c:pt>
                <c:pt idx="653">
                  <c:v>-10.416617542279448</c:v>
                </c:pt>
                <c:pt idx="654">
                  <c:v>-10.428871029417254</c:v>
                </c:pt>
                <c:pt idx="655">
                  <c:v>-10.441124517054964</c:v>
                </c:pt>
                <c:pt idx="656">
                  <c:v>-10.453378005192453</c:v>
                </c:pt>
                <c:pt idx="657">
                  <c:v>-10.465631493829594</c:v>
                </c:pt>
                <c:pt idx="658">
                  <c:v>-10.477884982966259</c:v>
                </c:pt>
                <c:pt idx="659">
                  <c:v>-10.490138472602322</c:v>
                </c:pt>
                <c:pt idx="660">
                  <c:v>-10.502391962737656</c:v>
                </c:pt>
                <c:pt idx="661">
                  <c:v>-10.514645453372134</c:v>
                </c:pt>
                <c:pt idx="662">
                  <c:v>-10.526898944505632</c:v>
                </c:pt>
                <c:pt idx="663">
                  <c:v>-10.53915243613802</c:v>
                </c:pt>
                <c:pt idx="664">
                  <c:v>-10.551405928269173</c:v>
                </c:pt>
                <c:pt idx="665">
                  <c:v>-10.563659420898963</c:v>
                </c:pt>
                <c:pt idx="666">
                  <c:v>-10.575912914027265</c:v>
                </c:pt>
                <c:pt idx="667">
                  <c:v>-10.588166407653951</c:v>
                </c:pt>
                <c:pt idx="668">
                  <c:v>-10.600419901778896</c:v>
                </c:pt>
                <c:pt idx="669">
                  <c:v>-10.61267339640197</c:v>
                </c:pt>
                <c:pt idx="670">
                  <c:v>-10.624926891523049</c:v>
                </c:pt>
                <c:pt idx="671">
                  <c:v>-10.637180387142006</c:v>
                </c:pt>
                <c:pt idx="672">
                  <c:v>-10.649433883258714</c:v>
                </c:pt>
                <c:pt idx="673">
                  <c:v>-10.661687379873047</c:v>
                </c:pt>
                <c:pt idx="674">
                  <c:v>-10.673940876984878</c:v>
                </c:pt>
                <c:pt idx="675">
                  <c:v>-10.686194374594079</c:v>
                </c:pt>
                <c:pt idx="676">
                  <c:v>-10.698447872700525</c:v>
                </c:pt>
                <c:pt idx="677">
                  <c:v>-10.710701371304088</c:v>
                </c:pt>
                <c:pt idx="678">
                  <c:v>-10.722954870404642</c:v>
                </c:pt>
                <c:pt idx="679">
                  <c:v>-10.735208370002061</c:v>
                </c:pt>
                <c:pt idx="680">
                  <c:v>-10.747461870096217</c:v>
                </c:pt>
                <c:pt idx="681">
                  <c:v>-10.759715370686985</c:v>
                </c:pt>
                <c:pt idx="682">
                  <c:v>-10.771968871774236</c:v>
                </c:pt>
                <c:pt idx="683">
                  <c:v>-10.784222373357846</c:v>
                </c:pt>
                <c:pt idx="684">
                  <c:v>-10.796475875437686</c:v>
                </c:pt>
                <c:pt idx="685">
                  <c:v>-10.808729378013631</c:v>
                </c:pt>
                <c:pt idx="686">
                  <c:v>-10.820982881085554</c:v>
                </c:pt>
                <c:pt idx="687">
                  <c:v>-10.833236384653327</c:v>
                </c:pt>
                <c:pt idx="688">
                  <c:v>-10.845489888716825</c:v>
                </c:pt>
                <c:pt idx="689">
                  <c:v>-10.857743393275921</c:v>
                </c:pt>
                <c:pt idx="690">
                  <c:v>-10.869996898330488</c:v>
                </c:pt>
                <c:pt idx="691">
                  <c:v>-10.882250403880398</c:v>
                </c:pt>
                <c:pt idx="692">
                  <c:v>-10.894503909925527</c:v>
                </c:pt>
                <c:pt idx="693">
                  <c:v>-10.906757416465748</c:v>
                </c:pt>
                <c:pt idx="694">
                  <c:v>-10.919010923500933</c:v>
                </c:pt>
                <c:pt idx="695">
                  <c:v>-10.931264431030955</c:v>
                </c:pt>
                <c:pt idx="696">
                  <c:v>-10.94351793905569</c:v>
                </c:pt>
                <c:pt idx="697">
                  <c:v>-10.955771447575009</c:v>
                </c:pt>
                <c:pt idx="698">
                  <c:v>-10.968024956588785</c:v>
                </c:pt>
                <c:pt idx="699">
                  <c:v>-10.980278466096893</c:v>
                </c:pt>
                <c:pt idx="700">
                  <c:v>-10.992531976099206</c:v>
                </c:pt>
                <c:pt idx="701">
                  <c:v>-11.004785486595598</c:v>
                </c:pt>
                <c:pt idx="702">
                  <c:v>-11.01703899758594</c:v>
                </c:pt>
                <c:pt idx="703">
                  <c:v>-11.029292509070107</c:v>
                </c:pt>
                <c:pt idx="704">
                  <c:v>-11.041546021047973</c:v>
                </c:pt>
                <c:pt idx="705">
                  <c:v>-11.05379953351941</c:v>
                </c:pt>
                <c:pt idx="706">
                  <c:v>-11.066053046484292</c:v>
                </c:pt>
                <c:pt idx="707">
                  <c:v>-11.078306559942492</c:v>
                </c:pt>
                <c:pt idx="708">
                  <c:v>-11.090560073893885</c:v>
                </c:pt>
                <c:pt idx="709">
                  <c:v>-11.102813588338343</c:v>
                </c:pt>
                <c:pt idx="710">
                  <c:v>-11.115067103275738</c:v>
                </c:pt>
                <c:pt idx="711">
                  <c:v>-11.127320618705946</c:v>
                </c:pt>
                <c:pt idx="712">
                  <c:v>-11.139574134628839</c:v>
                </c:pt>
                <c:pt idx="713">
                  <c:v>-11.151827651044291</c:v>
                </c:pt>
                <c:pt idx="714">
                  <c:v>-11.164081167952176</c:v>
                </c:pt>
                <c:pt idx="715">
                  <c:v>-11.176334685352366</c:v>
                </c:pt>
                <c:pt idx="716">
                  <c:v>-11.188588203244734</c:v>
                </c:pt>
                <c:pt idx="717">
                  <c:v>-11.200841721629155</c:v>
                </c:pt>
                <c:pt idx="718">
                  <c:v>-11.213095240505501</c:v>
                </c:pt>
                <c:pt idx="719">
                  <c:v>-11.225348759873647</c:v>
                </c:pt>
                <c:pt idx="720">
                  <c:v>-11.237602279733466</c:v>
                </c:pt>
                <c:pt idx="721">
                  <c:v>-11.249855800084831</c:v>
                </c:pt>
                <c:pt idx="722">
                  <c:v>-11.262109320927614</c:v>
                </c:pt>
                <c:pt idx="723">
                  <c:v>-11.27436284226169</c:v>
                </c:pt>
                <c:pt idx="724">
                  <c:v>-11.286616364086932</c:v>
                </c:pt>
                <c:pt idx="725">
                  <c:v>-11.298869886403214</c:v>
                </c:pt>
                <c:pt idx="726">
                  <c:v>-11.31112340921041</c:v>
                </c:pt>
                <c:pt idx="727">
                  <c:v>-11.323376932508392</c:v>
                </c:pt>
                <c:pt idx="728">
                  <c:v>-11.335630456297034</c:v>
                </c:pt>
                <c:pt idx="729">
                  <c:v>-11.347883980576208</c:v>
                </c:pt>
                <c:pt idx="730">
                  <c:v>-11.36013750534579</c:v>
                </c:pt>
                <c:pt idx="731">
                  <c:v>-11.372391030605652</c:v>
                </c:pt>
                <c:pt idx="732">
                  <c:v>-11.384644556355667</c:v>
                </c:pt>
                <c:pt idx="733">
                  <c:v>-11.39689808259571</c:v>
                </c:pt>
                <c:pt idx="734">
                  <c:v>-11.409151609325653</c:v>
                </c:pt>
                <c:pt idx="735">
                  <c:v>-11.421405136545369</c:v>
                </c:pt>
                <c:pt idx="736">
                  <c:v>-11.433658664254732</c:v>
                </c:pt>
                <c:pt idx="737">
                  <c:v>-11.445912192453617</c:v>
                </c:pt>
                <c:pt idx="738">
                  <c:v>-11.458165721141896</c:v>
                </c:pt>
                <c:pt idx="739">
                  <c:v>-11.470419250319443</c:v>
                </c:pt>
                <c:pt idx="740">
                  <c:v>-11.48267277998613</c:v>
                </c:pt>
                <c:pt idx="741">
                  <c:v>-11.494926310141832</c:v>
                </c:pt>
                <c:pt idx="742">
                  <c:v>-11.507179840786423</c:v>
                </c:pt>
                <c:pt idx="743">
                  <c:v>-11.519433371919774</c:v>
                </c:pt>
                <c:pt idx="744">
                  <c:v>-11.531686903541761</c:v>
                </c:pt>
                <c:pt idx="745">
                  <c:v>-11.543940435652257</c:v>
                </c:pt>
                <c:pt idx="746">
                  <c:v>-11.556193968251133</c:v>
                </c:pt>
                <c:pt idx="747">
                  <c:v>-11.568447501338264</c:v>
                </c:pt>
                <c:pt idx="748">
                  <c:v>-11.580701034913524</c:v>
                </c:pt>
                <c:pt idx="749">
                  <c:v>-11.592954568976786</c:v>
                </c:pt>
                <c:pt idx="750">
                  <c:v>-11.605208103527925</c:v>
                </c:pt>
                <c:pt idx="751">
                  <c:v>-11.617461638566812</c:v>
                </c:pt>
                <c:pt idx="752">
                  <c:v>-11.629715174093322</c:v>
                </c:pt>
                <c:pt idx="753">
                  <c:v>-11.641968710107328</c:v>
                </c:pt>
                <c:pt idx="754">
                  <c:v>-11.654222246608704</c:v>
                </c:pt>
                <c:pt idx="755">
                  <c:v>-11.666475783597322</c:v>
                </c:pt>
                <c:pt idx="756">
                  <c:v>-11.678729321073057</c:v>
                </c:pt>
                <c:pt idx="757">
                  <c:v>-11.690982859035781</c:v>
                </c:pt>
                <c:pt idx="758">
                  <c:v>-11.703236397485369</c:v>
                </c:pt>
                <c:pt idx="759">
                  <c:v>-11.715489936421694</c:v>
                </c:pt>
                <c:pt idx="760">
                  <c:v>-11.72774347584463</c:v>
                </c:pt>
                <c:pt idx="761">
                  <c:v>-11.739997015754049</c:v>
                </c:pt>
                <c:pt idx="762">
                  <c:v>-11.752250556149827</c:v>
                </c:pt>
                <c:pt idx="763">
                  <c:v>-11.764504097031834</c:v>
                </c:pt>
                <c:pt idx="764">
                  <c:v>-11.776757638399946</c:v>
                </c:pt>
                <c:pt idx="765">
                  <c:v>-11.789011180254036</c:v>
                </c:pt>
                <c:pt idx="766">
                  <c:v>-11.801264722593977</c:v>
                </c:pt>
                <c:pt idx="767">
                  <c:v>-11.813518265419644</c:v>
                </c:pt>
                <c:pt idx="768">
                  <c:v>-11.825771808730908</c:v>
                </c:pt>
                <c:pt idx="769">
                  <c:v>-11.838025352527643</c:v>
                </c:pt>
                <c:pt idx="770">
                  <c:v>-11.850278896809723</c:v>
                </c:pt>
                <c:pt idx="771">
                  <c:v>-11.862532441577022</c:v>
                </c:pt>
                <c:pt idx="772">
                  <c:v>-11.874785986829414</c:v>
                </c:pt>
                <c:pt idx="773">
                  <c:v>-11.887039532566771</c:v>
                </c:pt>
                <c:pt idx="774">
                  <c:v>-11.899293078788968</c:v>
                </c:pt>
                <c:pt idx="775">
                  <c:v>-11.911546625495879</c:v>
                </c:pt>
                <c:pt idx="776">
                  <c:v>-11.923800172687375</c:v>
                </c:pt>
                <c:pt idx="777">
                  <c:v>-11.936053720363331</c:v>
                </c:pt>
                <c:pt idx="778">
                  <c:v>-11.948307268523621</c:v>
                </c:pt>
                <c:pt idx="779">
                  <c:v>-11.960560817168117</c:v>
                </c:pt>
                <c:pt idx="780">
                  <c:v>-11.972814366296694</c:v>
                </c:pt>
                <c:pt idx="781">
                  <c:v>-11.985067915909225</c:v>
                </c:pt>
                <c:pt idx="782">
                  <c:v>-11.997321466005582</c:v>
                </c:pt>
                <c:pt idx="783">
                  <c:v>-12.009575016585641</c:v>
                </c:pt>
                <c:pt idx="784">
                  <c:v>-12.021828567649274</c:v>
                </c:pt>
                <c:pt idx="785">
                  <c:v>-12.034082119196356</c:v>
                </c:pt>
                <c:pt idx="786">
                  <c:v>-12.046335671226759</c:v>
                </c:pt>
                <c:pt idx="787">
                  <c:v>-12.058589223740356</c:v>
                </c:pt>
                <c:pt idx="788">
                  <c:v>-12.070842776737022</c:v>
                </c:pt>
                <c:pt idx="789">
                  <c:v>-12.08309633021663</c:v>
                </c:pt>
                <c:pt idx="790">
                  <c:v>-12.095349884179054</c:v>
                </c:pt>
                <c:pt idx="791">
                  <c:v>-12.107603438624167</c:v>
                </c:pt>
                <c:pt idx="792">
                  <c:v>-12.119856993551844</c:v>
                </c:pt>
                <c:pt idx="793">
                  <c:v>-12.132110548961956</c:v>
                </c:pt>
                <c:pt idx="794">
                  <c:v>-12.144364104854377</c:v>
                </c:pt>
                <c:pt idx="795">
                  <c:v>-12.156617661228982</c:v>
                </c:pt>
                <c:pt idx="796">
                  <c:v>-12.168871218085643</c:v>
                </c:pt>
                <c:pt idx="797">
                  <c:v>-12.181124775424236</c:v>
                </c:pt>
                <c:pt idx="798">
                  <c:v>-12.193378333244633</c:v>
                </c:pt>
                <c:pt idx="799">
                  <c:v>-12.205631891546707</c:v>
                </c:pt>
                <c:pt idx="800">
                  <c:v>-12.217885450330332</c:v>
                </c:pt>
                <c:pt idx="801">
                  <c:v>-12.230139009595382</c:v>
                </c:pt>
                <c:pt idx="802">
                  <c:v>-12.24239256934173</c:v>
                </c:pt>
                <c:pt idx="803">
                  <c:v>-12.254646129569251</c:v>
                </c:pt>
                <c:pt idx="804">
                  <c:v>-12.266899690277816</c:v>
                </c:pt>
                <c:pt idx="805">
                  <c:v>-12.279153251467299</c:v>
                </c:pt>
                <c:pt idx="806">
                  <c:v>-12.291406813137575</c:v>
                </c:pt>
                <c:pt idx="807">
                  <c:v>-12.303660375288517</c:v>
                </c:pt>
                <c:pt idx="808">
                  <c:v>-12.31591393792</c:v>
                </c:pt>
                <c:pt idx="809">
                  <c:v>-12.328167501031896</c:v>
                </c:pt>
                <c:pt idx="810">
                  <c:v>-12.340421064624078</c:v>
                </c:pt>
                <c:pt idx="811">
                  <c:v>-12.35267462869642</c:v>
                </c:pt>
                <c:pt idx="812">
                  <c:v>-12.364928193248796</c:v>
                </c:pt>
                <c:pt idx="813">
                  <c:v>-12.377181758281079</c:v>
                </c:pt>
                <c:pt idx="814">
                  <c:v>-12.389435323793144</c:v>
                </c:pt>
                <c:pt idx="815">
                  <c:v>-12.401688889784865</c:v>
                </c:pt>
                <c:pt idx="816">
                  <c:v>-12.413942456256112</c:v>
                </c:pt>
                <c:pt idx="817">
                  <c:v>-12.426196023206762</c:v>
                </c:pt>
                <c:pt idx="818">
                  <c:v>-12.438449590636687</c:v>
                </c:pt>
                <c:pt idx="819">
                  <c:v>-12.45070315854576</c:v>
                </c:pt>
                <c:pt idx="820">
                  <c:v>-12.462956726933857</c:v>
                </c:pt>
                <c:pt idx="821">
                  <c:v>-12.475210295800849</c:v>
                </c:pt>
                <c:pt idx="822">
                  <c:v>-12.487463865146612</c:v>
                </c:pt>
                <c:pt idx="823">
                  <c:v>-12.499717434971018</c:v>
                </c:pt>
                <c:pt idx="824">
                  <c:v>-12.51197100527394</c:v>
                </c:pt>
                <c:pt idx="825">
                  <c:v>-12.524224576055254</c:v>
                </c:pt>
                <c:pt idx="826">
                  <c:v>-12.536478147314831</c:v>
                </c:pt>
                <c:pt idx="827">
                  <c:v>-12.548731719052547</c:v>
                </c:pt>
                <c:pt idx="828">
                  <c:v>-12.560985291268274</c:v>
                </c:pt>
                <c:pt idx="829">
                  <c:v>-12.573238863961885</c:v>
                </c:pt>
                <c:pt idx="830">
                  <c:v>-12.585492437133256</c:v>
                </c:pt>
                <c:pt idx="831">
                  <c:v>-12.597746010782259</c:v>
                </c:pt>
                <c:pt idx="832">
                  <c:v>-12.609999584908767</c:v>
                </c:pt>
                <c:pt idx="833">
                  <c:v>-12.622253159512654</c:v>
                </c:pt>
                <c:pt idx="834">
                  <c:v>-12.634506734593796</c:v>
                </c:pt>
                <c:pt idx="835">
                  <c:v>-12.646760310152063</c:v>
                </c:pt>
                <c:pt idx="836">
                  <c:v>-12.65901388618733</c:v>
                </c:pt>
                <c:pt idx="837">
                  <c:v>-12.671267462699472</c:v>
                </c:pt>
                <c:pt idx="838">
                  <c:v>-12.683521039688362</c:v>
                </c:pt>
                <c:pt idx="839">
                  <c:v>-12.695774617153871</c:v>
                </c:pt>
                <c:pt idx="840">
                  <c:v>-12.708028195095876</c:v>
                </c:pt>
                <c:pt idx="841">
                  <c:v>-12.72028177351425</c:v>
                </c:pt>
                <c:pt idx="842">
                  <c:v>-12.732535352408865</c:v>
                </c:pt>
                <c:pt idx="843">
                  <c:v>-12.744788931779597</c:v>
                </c:pt>
                <c:pt idx="844">
                  <c:v>-12.757042511626318</c:v>
                </c:pt>
                <c:pt idx="845">
                  <c:v>-12.769296091948902</c:v>
                </c:pt>
                <c:pt idx="846">
                  <c:v>-12.781549672747223</c:v>
                </c:pt>
                <c:pt idx="847">
                  <c:v>-12.793803254021153</c:v>
                </c:pt>
                <c:pt idx="848">
                  <c:v>-12.806056835770567</c:v>
                </c:pt>
                <c:pt idx="849">
                  <c:v>-12.818310417995338</c:v>
                </c:pt>
                <c:pt idx="850">
                  <c:v>-12.830564000695341</c:v>
                </c:pt>
                <c:pt idx="851">
                  <c:v>-12.842817583870449</c:v>
                </c:pt>
                <c:pt idx="852">
                  <c:v>-12.855071167520535</c:v>
                </c:pt>
                <c:pt idx="853">
                  <c:v>-12.867324751645473</c:v>
                </c:pt>
                <c:pt idx="854">
                  <c:v>-12.879578336245137</c:v>
                </c:pt>
                <c:pt idx="855">
                  <c:v>-12.891831921319401</c:v>
                </c:pt>
                <c:pt idx="856">
                  <c:v>-12.904085506868137</c:v>
                </c:pt>
                <c:pt idx="857">
                  <c:v>-12.916339092891221</c:v>
                </c:pt>
                <c:pt idx="858">
                  <c:v>-12.928592679388524</c:v>
                </c:pt>
                <c:pt idx="859">
                  <c:v>-12.940846266359921</c:v>
                </c:pt>
                <c:pt idx="860">
                  <c:v>-12.953099853805286</c:v>
                </c:pt>
                <c:pt idx="861">
                  <c:v>-12.965353441724492</c:v>
                </c:pt>
                <c:pt idx="862">
                  <c:v>-12.977607030117413</c:v>
                </c:pt>
                <c:pt idx="863">
                  <c:v>-12.989860618983924</c:v>
                </c:pt>
                <c:pt idx="864">
                  <c:v>-13.002114208323897</c:v>
                </c:pt>
                <c:pt idx="865">
                  <c:v>-13.014367798137206</c:v>
                </c:pt>
                <c:pt idx="866">
                  <c:v>-13.026621388423726</c:v>
                </c:pt>
                <c:pt idx="867">
                  <c:v>-13.038874979183328</c:v>
                </c:pt>
                <c:pt idx="868">
                  <c:v>-13.051128570415887</c:v>
                </c:pt>
                <c:pt idx="869">
                  <c:v>-13.063382162121277</c:v>
                </c:pt>
                <c:pt idx="870">
                  <c:v>-13.075635754299372</c:v>
                </c:pt>
                <c:pt idx="871">
                  <c:v>-13.087889346950044</c:v>
                </c:pt>
                <c:pt idx="872">
                  <c:v>-13.100142940073169</c:v>
                </c:pt>
                <c:pt idx="873">
                  <c:v>-13.112396533668619</c:v>
                </c:pt>
                <c:pt idx="874">
                  <c:v>-13.124650127736269</c:v>
                </c:pt>
                <c:pt idx="875">
                  <c:v>-13.13690372227599</c:v>
                </c:pt>
                <c:pt idx="876">
                  <c:v>-13.14915731728766</c:v>
                </c:pt>
                <c:pt idx="877">
                  <c:v>-13.161410912771149</c:v>
                </c:pt>
                <c:pt idx="878">
                  <c:v>-13.173664508726333</c:v>
                </c:pt>
                <c:pt idx="879">
                  <c:v>-13.185918105153084</c:v>
                </c:pt>
                <c:pt idx="880">
                  <c:v>-13.198171702051276</c:v>
                </c:pt>
                <c:pt idx="881">
                  <c:v>-13.210425299420784</c:v>
                </c:pt>
                <c:pt idx="882">
                  <c:v>-13.222678897261479</c:v>
                </c:pt>
                <c:pt idx="883">
                  <c:v>-13.234932495573238</c:v>
                </c:pt>
                <c:pt idx="884">
                  <c:v>-13.247186094355932</c:v>
                </c:pt>
                <c:pt idx="885">
                  <c:v>-13.259439693609437</c:v>
                </c:pt>
                <c:pt idx="886">
                  <c:v>-13.271693293333625</c:v>
                </c:pt>
                <c:pt idx="887">
                  <c:v>-13.28394689352837</c:v>
                </c:pt>
                <c:pt idx="888">
                  <c:v>-13.296200494193547</c:v>
                </c:pt>
                <c:pt idx="889">
                  <c:v>-13.308454095329029</c:v>
                </c:pt>
                <c:pt idx="890">
                  <c:v>-13.32070769693469</c:v>
                </c:pt>
                <c:pt idx="891">
                  <c:v>-13.332961299010401</c:v>
                </c:pt>
                <c:pt idx="892">
                  <c:v>-13.345214901556039</c:v>
                </c:pt>
                <c:pt idx="893">
                  <c:v>-13.357468504571477</c:v>
                </c:pt>
                <c:pt idx="894">
                  <c:v>-13.369722108056589</c:v>
                </c:pt>
                <c:pt idx="895">
                  <c:v>-13.381975712011247</c:v>
                </c:pt>
                <c:pt idx="896">
                  <c:v>-13.394229316435327</c:v>
                </c:pt>
                <c:pt idx="897">
                  <c:v>-13.406482921328701</c:v>
                </c:pt>
                <c:pt idx="898">
                  <c:v>-13.418736526691243</c:v>
                </c:pt>
                <c:pt idx="899">
                  <c:v>-13.430990132522826</c:v>
                </c:pt>
                <c:pt idx="900">
                  <c:v>-13.443243738823327</c:v>
                </c:pt>
                <c:pt idx="901">
                  <c:v>-13.455497345592617</c:v>
                </c:pt>
                <c:pt idx="902">
                  <c:v>-13.467750952830571</c:v>
                </c:pt>
                <c:pt idx="903">
                  <c:v>-13.48000456053706</c:v>
                </c:pt>
                <c:pt idx="904">
                  <c:v>-13.49225816871196</c:v>
                </c:pt>
                <c:pt idx="905">
                  <c:v>-13.504511777355145</c:v>
                </c:pt>
                <c:pt idx="906">
                  <c:v>-13.516765386466489</c:v>
                </c:pt>
                <c:pt idx="907">
                  <c:v>-13.529018996045863</c:v>
                </c:pt>
                <c:pt idx="908">
                  <c:v>-13.541272606093145</c:v>
                </c:pt>
                <c:pt idx="909">
                  <c:v>-13.553526216608205</c:v>
                </c:pt>
                <c:pt idx="910">
                  <c:v>-13.565779827590919</c:v>
                </c:pt>
                <c:pt idx="911">
                  <c:v>-13.57803343904116</c:v>
                </c:pt>
                <c:pt idx="912">
                  <c:v>-13.590287050958802</c:v>
                </c:pt>
                <c:pt idx="913">
                  <c:v>-13.602540663343717</c:v>
                </c:pt>
                <c:pt idx="914">
                  <c:v>-13.614794276195783</c:v>
                </c:pt>
                <c:pt idx="915">
                  <c:v>-13.62704788951487</c:v>
                </c:pt>
                <c:pt idx="916">
                  <c:v>-13.639301503300853</c:v>
                </c:pt>
                <c:pt idx="917">
                  <c:v>-13.651555117553606</c:v>
                </c:pt>
                <c:pt idx="918">
                  <c:v>-13.663808732273001</c:v>
                </c:pt>
                <c:pt idx="919">
                  <c:v>-13.676062347458913</c:v>
                </c:pt>
                <c:pt idx="920">
                  <c:v>-13.688315963111217</c:v>
                </c:pt>
                <c:pt idx="921">
                  <c:v>-13.700569579229786</c:v>
                </c:pt>
                <c:pt idx="922">
                  <c:v>-13.712823195814492</c:v>
                </c:pt>
                <c:pt idx="923">
                  <c:v>-13.725076812865211</c:v>
                </c:pt>
                <c:pt idx="924">
                  <c:v>-13.737330430381816</c:v>
                </c:pt>
                <c:pt idx="925">
                  <c:v>-13.749584048364181</c:v>
                </c:pt>
                <c:pt idx="926">
                  <c:v>-13.761837666812179</c:v>
                </c:pt>
                <c:pt idx="927">
                  <c:v>-13.774091285725685</c:v>
                </c:pt>
                <c:pt idx="928">
                  <c:v>-13.786344905104572</c:v>
                </c:pt>
                <c:pt idx="929">
                  <c:v>-13.798598524948714</c:v>
                </c:pt>
                <c:pt idx="930">
                  <c:v>-13.810852145257986</c:v>
                </c:pt>
                <c:pt idx="931">
                  <c:v>-13.82310576603226</c:v>
                </c:pt>
                <c:pt idx="932">
                  <c:v>-13.83535938727141</c:v>
                </c:pt>
                <c:pt idx="933">
                  <c:v>-13.84761300897531</c:v>
                </c:pt>
                <c:pt idx="934">
                  <c:v>-13.859866631143834</c:v>
                </c:pt>
                <c:pt idx="935">
                  <c:v>-13.872120253776856</c:v>
                </c:pt>
                <c:pt idx="936">
                  <c:v>-13.88437387687425</c:v>
                </c:pt>
                <c:pt idx="937">
                  <c:v>-13.896627500435889</c:v>
                </c:pt>
                <c:pt idx="938">
                  <c:v>-13.908881124461647</c:v>
                </c:pt>
                <c:pt idx="939">
                  <c:v>-13.921134748951397</c:v>
                </c:pt>
                <c:pt idx="940">
                  <c:v>-13.933388373905014</c:v>
                </c:pt>
                <c:pt idx="941">
                  <c:v>-13.945641999322373</c:v>
                </c:pt>
                <c:pt idx="942">
                  <c:v>-13.957895625203346</c:v>
                </c:pt>
                <c:pt idx="943">
                  <c:v>-13.970149251547806</c:v>
                </c:pt>
                <c:pt idx="944">
                  <c:v>-13.982402878355629</c:v>
                </c:pt>
                <c:pt idx="945">
                  <c:v>-13.994656505626688</c:v>
                </c:pt>
                <c:pt idx="946">
                  <c:v>-14.006910133360856</c:v>
                </c:pt>
                <c:pt idx="947">
                  <c:v>-14.019163761558008</c:v>
                </c:pt>
                <c:pt idx="948">
                  <c:v>-14.031417390218017</c:v>
                </c:pt>
                <c:pt idx="949">
                  <c:v>-14.043671019340758</c:v>
                </c:pt>
                <c:pt idx="950">
                  <c:v>-14.055924648926103</c:v>
                </c:pt>
                <c:pt idx="951">
                  <c:v>-14.068178278973928</c:v>
                </c:pt>
                <c:pt idx="952">
                  <c:v>-14.080431909484105</c:v>
                </c:pt>
                <c:pt idx="953">
                  <c:v>-14.092685540456509</c:v>
                </c:pt>
                <c:pt idx="954">
                  <c:v>-14.104939171891013</c:v>
                </c:pt>
                <c:pt idx="955">
                  <c:v>-14.117192803787491</c:v>
                </c:pt>
                <c:pt idx="956">
                  <c:v>-14.129446436145818</c:v>
                </c:pt>
                <c:pt idx="957">
                  <c:v>-14.141700068965866</c:v>
                </c:pt>
                <c:pt idx="958">
                  <c:v>-14.153953702247509</c:v>
                </c:pt>
                <c:pt idx="959">
                  <c:v>-14.166207335990622</c:v>
                </c:pt>
                <c:pt idx="960">
                  <c:v>-14.178460970195079</c:v>
                </c:pt>
                <c:pt idx="961">
                  <c:v>-14.190714604860753</c:v>
                </c:pt>
                <c:pt idx="962">
                  <c:v>-14.202968239987518</c:v>
                </c:pt>
                <c:pt idx="963">
                  <c:v>-14.215221875575248</c:v>
                </c:pt>
                <c:pt idx="964">
                  <c:v>-14.227475511623817</c:v>
                </c:pt>
                <c:pt idx="965">
                  <c:v>-14.239729148133099</c:v>
                </c:pt>
                <c:pt idx="966">
                  <c:v>-14.251982785102967</c:v>
                </c:pt>
                <c:pt idx="967">
                  <c:v>-14.264236422533296</c:v>
                </c:pt>
                <c:pt idx="968">
                  <c:v>-14.276490060423958</c:v>
                </c:pt>
                <c:pt idx="969">
                  <c:v>-14.288743698774828</c:v>
                </c:pt>
                <c:pt idx="970">
                  <c:v>-14.30099733758578</c:v>
                </c:pt>
                <c:pt idx="971">
                  <c:v>-14.31325097685669</c:v>
                </c:pt>
                <c:pt idx="972">
                  <c:v>-14.325504616587429</c:v>
                </c:pt>
                <c:pt idx="973">
                  <c:v>-14.337758256777871</c:v>
                </c:pt>
                <c:pt idx="974">
                  <c:v>-14.350011897427891</c:v>
                </c:pt>
                <c:pt idx="975">
                  <c:v>-14.362265538537361</c:v>
                </c:pt>
                <c:pt idx="976">
                  <c:v>-14.374519180106157</c:v>
                </c:pt>
                <c:pt idx="977">
                  <c:v>-14.386772822134152</c:v>
                </c:pt>
                <c:pt idx="978">
                  <c:v>-14.399026464621219</c:v>
                </c:pt>
                <c:pt idx="979">
                  <c:v>-14.411280107567233</c:v>
                </c:pt>
                <c:pt idx="980">
                  <c:v>-14.423533750972068</c:v>
                </c:pt>
                <c:pt idx="981">
                  <c:v>-14.435787394835598</c:v>
                </c:pt>
                <c:pt idx="982">
                  <c:v>-14.448041039157697</c:v>
                </c:pt>
                <c:pt idx="983">
                  <c:v>-14.460294683938239</c:v>
                </c:pt>
                <c:pt idx="984">
                  <c:v>-14.472548329177096</c:v>
                </c:pt>
                <c:pt idx="985">
                  <c:v>-14.484801974874143</c:v>
                </c:pt>
                <c:pt idx="986">
                  <c:v>-14.497055621029254</c:v>
                </c:pt>
                <c:pt idx="987">
                  <c:v>-14.509309267642303</c:v>
                </c:pt>
                <c:pt idx="988">
                  <c:v>-14.521562914713165</c:v>
                </c:pt>
                <c:pt idx="989">
                  <c:v>-14.533816562241713</c:v>
                </c:pt>
                <c:pt idx="990">
                  <c:v>-14.546070210227819</c:v>
                </c:pt>
                <c:pt idx="991">
                  <c:v>-14.558323858671359</c:v>
                </c:pt>
                <c:pt idx="992">
                  <c:v>-14.570577507572207</c:v>
                </c:pt>
                <c:pt idx="993">
                  <c:v>-14.582831156930236</c:v>
                </c:pt>
                <c:pt idx="994">
                  <c:v>-14.595084806745321</c:v>
                </c:pt>
                <c:pt idx="995">
                  <c:v>-14.607338457017335</c:v>
                </c:pt>
                <c:pt idx="996">
                  <c:v>-14.619592107746151</c:v>
                </c:pt>
                <c:pt idx="997">
                  <c:v>-14.631845758931645</c:v>
                </c:pt>
                <c:pt idx="998">
                  <c:v>-14.644099410573689</c:v>
                </c:pt>
                <c:pt idx="999">
                  <c:v>-14.65635306267216</c:v>
                </c:pt>
                <c:pt idx="1000">
                  <c:v>-14.668606715226929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2-4CA2-BA56-E0E46E48A268}"/>
            </c:ext>
          </c:extLst>
        </c:ser>
        <c:ser>
          <c:idx val="2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105.52</c:v>
                </c:pt>
                <c:pt idx="1">
                  <c:v>105.77618482600093</c:v>
                </c:pt>
                <c:pt idx="2">
                  <c:v>106.03284709276828</c:v>
                </c:pt>
                <c:pt idx="3">
                  <c:v>106.29052867418451</c:v>
                </c:pt>
                <c:pt idx="4">
                  <c:v>106.54932797775811</c:v>
                </c:pt>
                <c:pt idx="5">
                  <c:v>106.80915084513762</c:v>
                </c:pt>
                <c:pt idx="6">
                  <c:v>107.06996175689233</c:v>
                </c:pt>
                <c:pt idx="7">
                  <c:v>107.33175452859925</c:v>
                </c:pt>
                <c:pt idx="8">
                  <c:v>107.59452296869966</c:v>
                </c:pt>
                <c:pt idx="9">
                  <c:v>107.85826087873517</c:v>
                </c:pt>
                <c:pt idx="10">
                  <c:v>108.12296205358183</c:v>
                </c:pt>
                <c:pt idx="11">
                  <c:v>108.38862028168248</c:v>
                </c:pt>
                <c:pt idx="12">
                  <c:v>108.65522934527701</c:v>
                </c:pt>
                <c:pt idx="13">
                  <c:v>108.92278302063087</c:v>
                </c:pt>
                <c:pt idx="14">
                  <c:v>109.1912750782616</c:v>
                </c:pt>
                <c:pt idx="15">
                  <c:v>109.46069928316341</c:v>
                </c:pt>
                <c:pt idx="16">
                  <c:v>109.73104939502997</c:v>
                </c:pt>
                <c:pt idx="17">
                  <c:v>110.00231916847522</c:v>
                </c:pt>
                <c:pt idx="18">
                  <c:v>110.27450235325232</c:v>
                </c:pt>
                <c:pt idx="19">
                  <c:v>110.54759269447058</c:v>
                </c:pt>
                <c:pt idx="20">
                  <c:v>110.82158393281074</c:v>
                </c:pt>
                <c:pt idx="21">
                  <c:v>111.09646980473804</c:v>
                </c:pt>
                <c:pt idx="22">
                  <c:v>111.37224404271363</c:v>
                </c:pt>
                <c:pt idx="23">
                  <c:v>111.64890037540397</c:v>
                </c:pt>
                <c:pt idx="24">
                  <c:v>111.92643252788835</c:v>
                </c:pt>
                <c:pt idx="25">
                  <c:v>112.20483422186453</c:v>
                </c:pt>
                <c:pt idx="26">
                  <c:v>112.48409917585245</c:v>
                </c:pt>
                <c:pt idx="27">
                  <c:v>112.76422110539608</c:v>
                </c:pt>
                <c:pt idx="28">
                  <c:v>113.04519372326335</c:v>
                </c:pt>
                <c:pt idx="29">
                  <c:v>113.32701073964424</c:v>
                </c:pt>
                <c:pt idx="30">
                  <c:v>113.60966586234687</c:v>
                </c:pt>
                <c:pt idx="31">
                  <c:v>113.89315279699181</c:v>
                </c:pt>
                <c:pt idx="32">
                  <c:v>114.17746524720447</c:v>
                </c:pt>
                <c:pt idx="33">
                  <c:v>114.4625969148055</c:v>
                </c:pt>
                <c:pt idx="34">
                  <c:v>114.74854149999952</c:v>
                </c:pt>
                <c:pt idx="35">
                  <c:v>115.03529270156174</c:v>
                </c:pt>
                <c:pt idx="36">
                  <c:v>115.32284421702285</c:v>
                </c:pt>
                <c:pt idx="37">
                  <c:v>115.61118974285192</c:v>
                </c:pt>
                <c:pt idx="38">
                  <c:v>115.90032297463756</c:v>
                </c:pt>
                <c:pt idx="39">
                  <c:v>116.19023760726702</c:v>
                </c:pt>
                <c:pt idx="40">
                  <c:v>116.4809273351036</c:v>
                </c:pt>
                <c:pt idx="41">
                  <c:v>116.77238585216206</c:v>
                </c:pt>
                <c:pt idx="42">
                  <c:v>117.0646068522822</c:v>
                </c:pt>
                <c:pt idx="43">
                  <c:v>117.35758402930057</c:v>
                </c:pt>
                <c:pt idx="44">
                  <c:v>117.65131107722038</c:v>
                </c:pt>
                <c:pt idx="45">
                  <c:v>117.94578169037943</c:v>
                </c:pt>
                <c:pt idx="46">
                  <c:v>118.24098956361627</c:v>
                </c:pt>
                <c:pt idx="47">
                  <c:v>118.53692839243442</c:v>
                </c:pt>
                <c:pt idx="48">
                  <c:v>118.83359187316489</c:v>
                </c:pt>
                <c:pt idx="49">
                  <c:v>119.13097370312667</c:v>
                </c:pt>
                <c:pt idx="50">
                  <c:v>119.4290675807855</c:v>
                </c:pt>
                <c:pt idx="51">
                  <c:v>119.72786720591073</c:v>
                </c:pt>
                <c:pt idx="52">
                  <c:v>120.02736627973039</c:v>
                </c:pt>
                <c:pt idx="53">
                  <c:v>120.32755850508438</c:v>
                </c:pt>
                <c:pt idx="54">
                  <c:v>120.62843758657586</c:v>
                </c:pt>
                <c:pt idx="55">
                  <c:v>120.92999723072079</c:v>
                </c:pt>
                <c:pt idx="56">
                  <c:v>121.23223114609566</c:v>
                </c:pt>
                <c:pt idx="57">
                  <c:v>121.53513304348341</c:v>
                </c:pt>
                <c:pt idx="58">
                  <c:v>121.83869663601753</c:v>
                </c:pt>
                <c:pt idx="59">
                  <c:v>122.1429156393243</c:v>
                </c:pt>
                <c:pt idx="60">
                  <c:v>122.44778377166331</c:v>
                </c:pt>
                <c:pt idx="61">
                  <c:v>122.75329475406613</c:v>
                </c:pt>
                <c:pt idx="62">
                  <c:v>123.05944231047319</c:v>
                </c:pt>
                <c:pt idx="63">
                  <c:v>123.36621752207093</c:v>
                </c:pt>
                <c:pt idx="64">
                  <c:v>123.67360618144421</c:v>
                </c:pt>
                <c:pt idx="65">
                  <c:v>123.98159144265</c:v>
                </c:pt>
                <c:pt idx="66">
                  <c:v>124.29015647167509</c:v>
                </c:pt>
                <c:pt idx="67">
                  <c:v>124.59928201614211</c:v>
                </c:pt>
                <c:pt idx="68">
                  <c:v>124.90894397522767</c:v>
                </c:pt>
                <c:pt idx="69">
                  <c:v>125.21911150732882</c:v>
                </c:pt>
                <c:pt idx="70">
                  <c:v>125.52974513877702</c:v>
                </c:pt>
                <c:pt idx="71">
                  <c:v>125.84080110211627</c:v>
                </c:pt>
                <c:pt idx="72">
                  <c:v>126.15223567411029</c:v>
                </c:pt>
                <c:pt idx="73">
                  <c:v>126.46400517821905</c:v>
                </c:pt>
                <c:pt idx="74">
                  <c:v>126.77606598700605</c:v>
                </c:pt>
                <c:pt idx="75">
                  <c:v>127.08837452447619</c:v>
                </c:pt>
                <c:pt idx="76">
                  <c:v>127.40088726834463</c:v>
                </c:pt>
                <c:pt idx="77">
                  <c:v>127.71356075223642</c:v>
                </c:pt>
                <c:pt idx="78">
                  <c:v>128.02635156781727</c:v>
                </c:pt>
                <c:pt idx="79">
                  <c:v>128.3392163668556</c:v>
                </c:pt>
                <c:pt idx="80">
                  <c:v>128.65211186321582</c:v>
                </c:pt>
                <c:pt idx="81">
                  <c:v>128.96500001467101</c:v>
                </c:pt>
                <c:pt idx="82">
                  <c:v>129.27785319923512</c:v>
                </c:pt>
                <c:pt idx="83">
                  <c:v>129.59064902001057</c:v>
                </c:pt>
                <c:pt idx="84">
                  <c:v>129.9033651147183</c:v>
                </c:pt>
                <c:pt idx="85">
                  <c:v>130.21597915605273</c:v>
                </c:pt>
                <c:pt idx="86">
                  <c:v>130.52846885201885</c:v>
                </c:pt>
                <c:pt idx="87">
                  <c:v>130.84081194625185</c:v>
                </c:pt>
                <c:pt idx="88">
                  <c:v>131.15298621831914</c:v>
                </c:pt>
                <c:pt idx="89">
                  <c:v>131.4649711267175</c:v>
                </c:pt>
                <c:pt idx="90">
                  <c:v>131.77674944979864</c:v>
                </c:pt>
                <c:pt idx="91">
                  <c:v>132.08830563749493</c:v>
                </c:pt>
                <c:pt idx="92">
                  <c:v>132.3996241649931</c:v>
                </c:pt>
                <c:pt idx="93">
                  <c:v>132.71068994426017</c:v>
                </c:pt>
                <c:pt idx="94">
                  <c:v>133.02148873501972</c:v>
                </c:pt>
                <c:pt idx="95">
                  <c:v>133.3320067318086</c:v>
                </c:pt>
                <c:pt idx="96">
                  <c:v>133.64223015155389</c:v>
                </c:pt>
                <c:pt idx="97">
                  <c:v>133.95214688258278</c:v>
                </c:pt>
                <c:pt idx="98">
                  <c:v>134.26174813137135</c:v>
                </c:pt>
                <c:pt idx="99">
                  <c:v>134.57102676744753</c:v>
                </c:pt>
                <c:pt idx="100">
                  <c:v>134.87997567052739</c:v>
                </c:pt>
                <c:pt idx="101">
                  <c:v>135.18858773044735</c:v>
                </c:pt>
                <c:pt idx="102">
                  <c:v>135.49685584709542</c:v>
                </c:pt>
                <c:pt idx="103">
                  <c:v>135.80477293034065</c:v>
                </c:pt>
                <c:pt idx="104">
                  <c:v>136.11233189996153</c:v>
                </c:pt>
                <c:pt idx="105">
                  <c:v>136.41952568557301</c:v>
                </c:pt>
                <c:pt idx="106">
                  <c:v>136.72634722655204</c:v>
                </c:pt>
                <c:pt idx="107">
                  <c:v>137.03278947196199</c:v>
                </c:pt>
                <c:pt idx="108">
                  <c:v>137.33884538047562</c:v>
                </c:pt>
                <c:pt idx="109">
                  <c:v>137.64450999270449</c:v>
                </c:pt>
                <c:pt idx="110">
                  <c:v>137.9497825006118</c:v>
                </c:pt>
                <c:pt idx="111">
                  <c:v>138.25466416741696</c:v>
                </c:pt>
                <c:pt idx="112">
                  <c:v>138.55915625047399</c:v>
                </c:pt>
                <c:pt idx="113">
                  <c:v>138.8632600013085</c:v>
                </c:pt>
                <c:pt idx="114">
                  <c:v>139.16697666565426</c:v>
                </c:pt>
                <c:pt idx="115">
                  <c:v>139.47030748348959</c:v>
                </c:pt>
                <c:pt idx="116">
                  <c:v>139.77325368907333</c:v>
                </c:pt>
                <c:pt idx="117">
                  <c:v>140.07581651098064</c:v>
                </c:pt>
                <c:pt idx="118">
                  <c:v>140.37799717213852</c:v>
                </c:pt>
                <c:pt idx="119">
                  <c:v>140.67979688986088</c:v>
                </c:pt>
                <c:pt idx="120">
                  <c:v>140.98121687588363</c:v>
                </c:pt>
                <c:pt idx="121">
                  <c:v>141.28225833639922</c:v>
                </c:pt>
                <c:pt idx="122">
                  <c:v>141.58292247209107</c:v>
                </c:pt>
                <c:pt idx="123">
                  <c:v>141.88321047816765</c:v>
                </c:pt>
                <c:pt idx="124">
                  <c:v>142.18312354439641</c:v>
                </c:pt>
                <c:pt idx="125">
                  <c:v>142.48266285513728</c:v>
                </c:pt>
                <c:pt idx="126">
                  <c:v>142.78182958937606</c:v>
                </c:pt>
                <c:pt idx="127">
                  <c:v>143.08062492075746</c:v>
                </c:pt>
                <c:pt idx="128">
                  <c:v>143.37905001761794</c:v>
                </c:pt>
                <c:pt idx="129">
                  <c:v>143.67710604301828</c:v>
                </c:pt>
                <c:pt idx="130">
                  <c:v>143.97479415477588</c:v>
                </c:pt>
                <c:pt idx="131">
                  <c:v>144.2721155054968</c:v>
                </c:pt>
                <c:pt idx="132">
                  <c:v>144.56907124260761</c:v>
                </c:pt>
                <c:pt idx="133">
                  <c:v>144.865662508387</c:v>
                </c:pt>
                <c:pt idx="134">
                  <c:v>145.16189043999705</c:v>
                </c:pt>
                <c:pt idx="135">
                  <c:v>145.45775616951437</c:v>
                </c:pt>
                <c:pt idx="136">
                  <c:v>145.75326082396097</c:v>
                </c:pt>
                <c:pt idx="137">
                  <c:v>146.04840552533483</c:v>
                </c:pt>
                <c:pt idx="138">
                  <c:v>146.34319139064036</c:v>
                </c:pt>
                <c:pt idx="139">
                  <c:v>146.63761953191852</c:v>
                </c:pt>
                <c:pt idx="140">
                  <c:v>146.93169105627678</c:v>
                </c:pt>
                <c:pt idx="141">
                  <c:v>147.22540706591877</c:v>
                </c:pt>
                <c:pt idx="142">
                  <c:v>147.51876865817388</c:v>
                </c:pt>
                <c:pt idx="143">
                  <c:v>147.81177692552637</c:v>
                </c:pt>
                <c:pt idx="144">
                  <c:v>148.10443295564457</c:v>
                </c:pt>
                <c:pt idx="145">
                  <c:v>148.39673783140958</c:v>
                </c:pt>
                <c:pt idx="146">
                  <c:v>148.68869263094393</c:v>
                </c:pt>
                <c:pt idx="147">
                  <c:v>148.98029842764001</c:v>
                </c:pt>
                <c:pt idx="148">
                  <c:v>149.27155629018816</c:v>
                </c:pt>
                <c:pt idx="149">
                  <c:v>149.5624672826047</c:v>
                </c:pt>
                <c:pt idx="150">
                  <c:v>149.85303246425968</c:v>
                </c:pt>
                <c:pt idx="151">
                  <c:v>150.14325288990449</c:v>
                </c:pt>
                <c:pt idx="152">
                  <c:v>150.43312960969911</c:v>
                </c:pt>
                <c:pt idx="153">
                  <c:v>150.72266366923932</c:v>
                </c:pt>
                <c:pt idx="154">
                  <c:v>151.01185610958368</c:v>
                </c:pt>
                <c:pt idx="155">
                  <c:v>151.30070796728015</c:v>
                </c:pt>
                <c:pt idx="156">
                  <c:v>151.5892202743928</c:v>
                </c:pt>
                <c:pt idx="157">
                  <c:v>151.87739405852804</c:v>
                </c:pt>
                <c:pt idx="158">
                  <c:v>152.16523034286089</c:v>
                </c:pt>
                <c:pt idx="159">
                  <c:v>152.45273014616083</c:v>
                </c:pt>
                <c:pt idx="160">
                  <c:v>152.73989448281765</c:v>
                </c:pt>
                <c:pt idx="161">
                  <c:v>153.02672436286704</c:v>
                </c:pt>
                <c:pt idx="162">
                  <c:v>153.31322079201601</c:v>
                </c:pt>
                <c:pt idx="163">
                  <c:v>153.59938477166799</c:v>
                </c:pt>
                <c:pt idx="164">
                  <c:v>153.88521729894802</c:v>
                </c:pt>
                <c:pt idx="165">
                  <c:v>154.17071936672747</c:v>
                </c:pt>
                <c:pt idx="166">
                  <c:v>154.45589196364881</c:v>
                </c:pt>
                <c:pt idx="167">
                  <c:v>154.74073607415002</c:v>
                </c:pt>
                <c:pt idx="168">
                  <c:v>155.02525267848895</c:v>
                </c:pt>
                <c:pt idx="169">
                  <c:v>155.30944275276747</c:v>
                </c:pt>
                <c:pt idx="170">
                  <c:v>155.59330726895533</c:v>
                </c:pt>
                <c:pt idx="171">
                  <c:v>155.87684719491406</c:v>
                </c:pt>
                <c:pt idx="172">
                  <c:v>156.16006349442057</c:v>
                </c:pt>
                <c:pt idx="173">
                  <c:v>156.44295712719054</c:v>
                </c:pt>
                <c:pt idx="174">
                  <c:v>156.72552904890176</c:v>
                </c:pt>
                <c:pt idx="175">
                  <c:v>157.00778021121721</c:v>
                </c:pt>
                <c:pt idx="176">
                  <c:v>157.28971156180796</c:v>
                </c:pt>
                <c:pt idx="177">
                  <c:v>157.5713240443761</c:v>
                </c:pt>
                <c:pt idx="178">
                  <c:v>157.85261859867714</c:v>
                </c:pt>
                <c:pt idx="179">
                  <c:v>158.13359616054268</c:v>
                </c:pt>
                <c:pt idx="180">
                  <c:v>158.41425766190258</c:v>
                </c:pt>
                <c:pt idx="181">
                  <c:v>158.69460403080714</c:v>
                </c:pt>
                <c:pt idx="182">
                  <c:v>158.97463619144906</c:v>
                </c:pt>
                <c:pt idx="183">
                  <c:v>159.25435506418529</c:v>
                </c:pt>
                <c:pt idx="184">
                  <c:v>159.53376156555868</c:v>
                </c:pt>
                <c:pt idx="185">
                  <c:v>159.81285660831949</c:v>
                </c:pt>
                <c:pt idx="186">
                  <c:v>160.09164110144681</c:v>
                </c:pt>
                <c:pt idx="187">
                  <c:v>160.37011595016972</c:v>
                </c:pt>
                <c:pt idx="188">
                  <c:v>160.64828205598837</c:v>
                </c:pt>
                <c:pt idx="189">
                  <c:v>160.92614031669493</c:v>
                </c:pt>
                <c:pt idx="190">
                  <c:v>161.20369162639426</c:v>
                </c:pt>
                <c:pt idx="191">
                  <c:v>161.48093687552466</c:v>
                </c:pt>
                <c:pt idx="192">
                  <c:v>161.75787695087828</c:v>
                </c:pt>
                <c:pt idx="193">
                  <c:v>162.03451273562149</c:v>
                </c:pt>
                <c:pt idx="194">
                  <c:v>162.31084510931501</c:v>
                </c:pt>
                <c:pt idx="195">
                  <c:v>162.58687494793404</c:v>
                </c:pt>
                <c:pt idx="196">
                  <c:v>162.86260312388814</c:v>
                </c:pt>
                <c:pt idx="197">
                  <c:v>163.13803050604099</c:v>
                </c:pt>
                <c:pt idx="198">
                  <c:v>163.41315795973009</c:v>
                </c:pt>
                <c:pt idx="199">
                  <c:v>163.6879863467862</c:v>
                </c:pt>
                <c:pt idx="200">
                  <c:v>163.96251652555273</c:v>
                </c:pt>
                <c:pt idx="201">
                  <c:v>166.69148307121728</c:v>
                </c:pt>
                <c:pt idx="202">
                  <c:v>169.39117859101259</c:v>
                </c:pt>
                <c:pt idx="203">
                  <c:v>172.06242971446144</c:v>
                </c:pt>
                <c:pt idx="204">
                  <c:v>174.70603058892223</c:v>
                </c:pt>
                <c:pt idx="205">
                  <c:v>177.32274460420297</c:v>
                </c:pt>
                <c:pt idx="206">
                  <c:v>179.91330600375494</c:v>
                </c:pt>
                <c:pt idx="207">
                  <c:v>182.4784213913334</c:v>
                </c:pt>
                <c:pt idx="208">
                  <c:v>185.01877114120759</c:v>
                </c:pt>
                <c:pt idx="209">
                  <c:v>187.53501071927951</c:v>
                </c:pt>
                <c:pt idx="210">
                  <c:v>190.02777192182177</c:v>
                </c:pt>
                <c:pt idx="211">
                  <c:v>192.49766403796005</c:v>
                </c:pt>
                <c:pt idx="212">
                  <c:v>194.9452749414987</c:v>
                </c:pt>
                <c:pt idx="213">
                  <c:v>197.37117211721267</c:v>
                </c:pt>
                <c:pt idx="214">
                  <c:v>199.7759036262988</c:v>
                </c:pt>
                <c:pt idx="215">
                  <c:v>202.15999901529094</c:v>
                </c:pt>
                <c:pt idx="216">
                  <c:v>204.52397017239039</c:v>
                </c:pt>
                <c:pt idx="217">
                  <c:v>206.86831213484382</c:v>
                </c:pt>
                <c:pt idx="218">
                  <c:v>209.19350385071007</c:v>
                </c:pt>
                <c:pt idx="219">
                  <c:v>211.5000088980934</c:v>
                </c:pt>
                <c:pt idx="220">
                  <c:v>213.7882761646799</c:v>
                </c:pt>
                <c:pt idx="221">
                  <c:v>216.05874049019511</c:v>
                </c:pt>
                <c:pt idx="222">
                  <c:v>218.31182327420024</c:v>
                </c:pt>
                <c:pt idx="223">
                  <c:v>220.54793305146262</c:v>
                </c:pt>
                <c:pt idx="224">
                  <c:v>222.76746603696785</c:v>
                </c:pt>
                <c:pt idx="225">
                  <c:v>224.97080664248938</c:v>
                </c:pt>
                <c:pt idx="226">
                  <c:v>227.15832796649036</c:v>
                </c:pt>
                <c:pt idx="227">
                  <c:v>229.33039225900461</c:v>
                </c:pt>
                <c:pt idx="228">
                  <c:v>231.48735136302534</c:v>
                </c:pt>
                <c:pt idx="229">
                  <c:v>233.62954713382217</c:v>
                </c:pt>
                <c:pt idx="230">
                  <c:v>235.7573118375071</c:v>
                </c:pt>
                <c:pt idx="231">
                  <c:v>237.87096853007861</c:v>
                </c:pt>
                <c:pt idx="232">
                  <c:v>239.9708314180883</c:v>
                </c:pt>
                <c:pt idx="233">
                  <c:v>242.05720620199673</c:v>
                </c:pt>
                <c:pt idx="234">
                  <c:v>244.13039040321326</c:v>
                </c:pt>
                <c:pt idx="235">
                  <c:v>246.19067367574789</c:v>
                </c:pt>
                <c:pt idx="236">
                  <c:v>248.23833810334233</c:v>
                </c:pt>
                <c:pt idx="237">
                  <c:v>250.27365848288991</c:v>
                </c:pt>
                <c:pt idx="238">
                  <c:v>252.29690259490224</c:v>
                </c:pt>
                <c:pt idx="239">
                  <c:v>254.30833146173077</c:v>
                </c:pt>
                <c:pt idx="240">
                  <c:v>256.30819959420728</c:v>
                </c:pt>
                <c:pt idx="241">
                  <c:v>258.29675522732447</c:v>
                </c:pt>
                <c:pt idx="242">
                  <c:v>260.27424054553916</c:v>
                </c:pt>
                <c:pt idx="243">
                  <c:v>262.24089189824502</c:v>
                </c:pt>
                <c:pt idx="244">
                  <c:v>264.19694000592654</c:v>
                </c:pt>
                <c:pt idx="245">
                  <c:v>266.14261015747644</c:v>
                </c:pt>
                <c:pt idx="246">
                  <c:v>268.07812239912801</c:v>
                </c:pt>
                <c:pt idx="247">
                  <c:v>270.00369171542752</c:v>
                </c:pt>
                <c:pt idx="248">
                  <c:v>271.91952820264595</c:v>
                </c:pt>
                <c:pt idx="249">
                  <c:v>273.82583723500585</c:v>
                </c:pt>
                <c:pt idx="250">
                  <c:v>275.72281962407681</c:v>
                </c:pt>
                <c:pt idx="251">
                  <c:v>277.61067177167217</c:v>
                </c:pt>
                <c:pt idx="252">
                  <c:v>279.48958581656086</c:v>
                </c:pt>
                <c:pt idx="253">
                  <c:v>281.35974977528883</c:v>
                </c:pt>
                <c:pt idx="254">
                  <c:v>283.22134767738885</c:v>
                </c:pt>
                <c:pt idx="255">
                  <c:v>285.07455969524045</c:v>
                </c:pt>
                <c:pt idx="256">
                  <c:v>286.91956226882746</c:v>
                </c:pt>
                <c:pt idx="257">
                  <c:v>288.75652822562586</c:v>
                </c:pt>
                <c:pt idx="258">
                  <c:v>290.58562689584164</c:v>
                </c:pt>
                <c:pt idx="259">
                  <c:v>292.40702422320629</c:v>
                </c:pt>
                <c:pt idx="260">
                  <c:v>294.22088287152479</c:v>
                </c:pt>
                <c:pt idx="261">
                  <c:v>296.0273623271604</c:v>
                </c:pt>
                <c:pt idx="262">
                  <c:v>297.82661899762996</c:v>
                </c:pt>
                <c:pt idx="263">
                  <c:v>299.61880630647335</c:v>
                </c:pt>
                <c:pt idx="264">
                  <c:v>301.4040747845508</c:v>
                </c:pt>
                <c:pt idx="265">
                  <c:v>303.18257215791363</c:v>
                </c:pt>
                <c:pt idx="266">
                  <c:v>304.95444343238432</c:v>
                </c:pt>
                <c:pt idx="267">
                  <c:v>306.71983097497429</c:v>
                </c:pt>
                <c:pt idx="268">
                  <c:v>308.4788745922595</c:v>
                </c:pt>
                <c:pt idx="269">
                  <c:v>310.23171160582655</c:v>
                </c:pt>
                <c:pt idx="270">
                  <c:v>311.97847692489461</c:v>
                </c:pt>
                <c:pt idx="271">
                  <c:v>313.71930311621117</c:v>
                </c:pt>
                <c:pt idx="272">
                  <c:v>315.45432047131305</c:v>
                </c:pt>
                <c:pt idx="273">
                  <c:v>317.18365707123723</c:v>
                </c:pt>
                <c:pt idx="274">
                  <c:v>318.90743884875911</c:v>
                </c:pt>
                <c:pt idx="275">
                  <c:v>320.62578964822973</c:v>
                </c:pt>
                <c:pt idx="276">
                  <c:v>322.33883128307701</c:v>
                </c:pt>
                <c:pt idx="277">
                  <c:v>324.04668359102902</c:v>
                </c:pt>
                <c:pt idx="278">
                  <c:v>325.74946448711148</c:v>
                </c:pt>
                <c:pt idx="279">
                  <c:v>327.44729001446422</c:v>
                </c:pt>
                <c:pt idx="280">
                  <c:v>329.14027439301572</c:v>
                </c:pt>
                <c:pt idx="281">
                  <c:v>330.82853006604711</c:v>
                </c:pt>
                <c:pt idx="282">
                  <c:v>332.51216774466945</c:v>
                </c:pt>
                <c:pt idx="283">
                  <c:v>334.19129645023219</c:v>
                </c:pt>
                <c:pt idx="284">
                  <c:v>335.86602355467107</c:v>
                </c:pt>
                <c:pt idx="285">
                  <c:v>337.53645481879659</c:v>
                </c:pt>
                <c:pt idx="286">
                  <c:v>339.20269442851452</c:v>
                </c:pt>
                <c:pt idx="287">
                  <c:v>340.86484502896121</c:v>
                </c:pt>
                <c:pt idx="288">
                  <c:v>342.52300775652532</c:v>
                </c:pt>
                <c:pt idx="289">
                  <c:v>344.17728226871674</c:v>
                </c:pt>
                <c:pt idx="290">
                  <c:v>345.8277667718317</c:v>
                </c:pt>
                <c:pt idx="291">
                  <c:v>347.47455804634865</c:v>
                </c:pt>
                <c:pt idx="292">
                  <c:v>349.11775146997576</c:v>
                </c:pt>
                <c:pt idx="293">
                  <c:v>350.75744103825383</c:v>
                </c:pt>
                <c:pt idx="294">
                  <c:v>352.39371938260041</c:v>
                </c:pt>
                <c:pt idx="295">
                  <c:v>354.0266777856607</c:v>
                </c:pt>
                <c:pt idx="296">
                  <c:v>355.65640619380849</c:v>
                </c:pt>
                <c:pt idx="297">
                  <c:v>357.28299322661474</c:v>
                </c:pt>
                <c:pt idx="298">
                  <c:v>358.90652618307308</c:v>
                </c:pt>
                <c:pt idx="299">
                  <c:v>360.52709104434092</c:v>
                </c:pt>
                <c:pt idx="300">
                  <c:v>362.14477247271799</c:v>
                </c:pt>
                <c:pt idx="301">
                  <c:v>363.75965380654617</c:v>
                </c:pt>
                <c:pt idx="302">
                  <c:v>365.37181705066894</c:v>
                </c:pt>
                <c:pt idx="303">
                  <c:v>366.98134286204157</c:v>
                </c:pt>
                <c:pt idx="304">
                  <c:v>368.58831053002734</c:v>
                </c:pt>
                <c:pt idx="305">
                  <c:v>370.1927979508572</c:v>
                </c:pt>
                <c:pt idx="306">
                  <c:v>371.79488159566461</c:v>
                </c:pt>
                <c:pt idx="307">
                  <c:v>373.39463647143901</c:v>
                </c:pt>
                <c:pt idx="308">
                  <c:v>374.99213607416749</c:v>
                </c:pt>
                <c:pt idx="309">
                  <c:v>376.58745233335924</c:v>
                </c:pt>
                <c:pt idx="310">
                  <c:v>378.18065554707357</c:v>
                </c:pt>
                <c:pt idx="311">
                  <c:v>379.77181430650245</c:v>
                </c:pt>
                <c:pt idx="312">
                  <c:v>381.36099540910027</c:v>
                </c:pt>
                <c:pt idx="313">
                  <c:v>382.94826375921633</c:v>
                </c:pt>
                <c:pt idx="314">
                  <c:v>384.53368225517909</c:v>
                </c:pt>
                <c:pt idx="315">
                  <c:v>386.11731166182443</c:v>
                </c:pt>
                <c:pt idx="316">
                  <c:v>387.69921046757122</c:v>
                </c:pt>
                <c:pt idx="317">
                  <c:v>389.27943472535418</c:v>
                </c:pt>
                <c:pt idx="318">
                  <c:v>390.85803787705419</c:v>
                </c:pt>
                <c:pt idx="319">
                  <c:v>392.43507056155352</c:v>
                </c:pt>
                <c:pt idx="320">
                  <c:v>394.01058040721938</c:v>
                </c:pt>
                <c:pt idx="321">
                  <c:v>395.58461181050774</c:v>
                </c:pt>
                <c:pt idx="322">
                  <c:v>397.1572057034877</c:v>
                </c:pt>
                <c:pt idx="323">
                  <c:v>398.72839931439569</c:v>
                </c:pt>
                <c:pt idx="324">
                  <c:v>400.29822592677141</c:v>
                </c:pt>
                <c:pt idx="325">
                  <c:v>401.86671464419197</c:v>
                </c:pt>
                <c:pt idx="326">
                  <c:v>403.43389016892581</c:v>
                </c:pt>
                <c:pt idx="327">
                  <c:v>404.99977260375965</c:v>
                </c:pt>
                <c:pt idx="328">
                  <c:v>406.56437728656948</c:v>
                </c:pt>
                <c:pt idx="329">
                  <c:v>408.12771466670995</c:v>
                </c:pt>
                <c:pt idx="330">
                  <c:v>409.68979023088002</c:v>
                </c:pt>
                <c:pt idx="331">
                  <c:v>411.25060448382828</c:v>
                </c:pt>
                <c:pt idx="332">
                  <c:v>412.81015298629552</c:v>
                </c:pt>
                <c:pt idx="333">
                  <c:v>414.3684264493138</c:v>
                </c:pt>
                <c:pt idx="334">
                  <c:v>415.92541088080935</c:v>
                </c:pt>
                <c:pt idx="335">
                  <c:v>417.48108777779493</c:v>
                </c:pt>
                <c:pt idx="336">
                  <c:v>419.03543435557634</c:v>
                </c:pt>
                <c:pt idx="337">
                  <c:v>420.58842380445952</c:v>
                </c:pt>
                <c:pt idx="338">
                  <c:v>422.14002556439698</c:v>
                </c:pt>
                <c:pt idx="339">
                  <c:v>423.69020560868904</c:v>
                </c:pt>
                <c:pt idx="340">
                  <c:v>425.23892672902969</c:v>
                </c:pt>
                <c:pt idx="341">
                  <c:v>426.78614881561998</c:v>
                </c:pt>
                <c:pt idx="342">
                  <c:v>428.33182912756678</c:v>
                </c:pt>
                <c:pt idx="343">
                  <c:v>429.87592255018723</c:v>
                </c:pt>
                <c:pt idx="344">
                  <c:v>431.41838183706477</c:v>
                </c:pt>
                <c:pt idx="345">
                  <c:v>432.95915783570854</c:v>
                </c:pt>
                <c:pt idx="346">
                  <c:v>434.49819969645034</c:v>
                </c:pt>
                <c:pt idx="347">
                  <c:v>436.03545506478957</c:v>
                </c:pt>
                <c:pt idx="348">
                  <c:v>437.57087025779964</c:v>
                </c:pt>
                <c:pt idx="349">
                  <c:v>439.10439042546761</c:v>
                </c:pt>
                <c:pt idx="350">
                  <c:v>440.63595969798996</c:v>
                </c:pt>
                <c:pt idx="351">
                  <c:v>442.16552132011543</c:v>
                </c:pt>
                <c:pt idx="352">
                  <c:v>443.69301777363722</c:v>
                </c:pt>
                <c:pt idx="353">
                  <c:v>445.21839088910843</c:v>
                </c:pt>
                <c:pt idx="354">
                  <c:v>446.74158194780028</c:v>
                </c:pt>
                <c:pt idx="355">
                  <c:v>448.26253177485574</c:v>
                </c:pt>
                <c:pt idx="356">
                  <c:v>449.78118082451437</c:v>
                </c:pt>
                <c:pt idx="357">
                  <c:v>451.29746925820746</c:v>
                </c:pt>
                <c:pt idx="358">
                  <c:v>452.81133701624634</c:v>
                </c:pt>
                <c:pt idx="359">
                  <c:v>454.32272388375316</c:v>
                </c:pt>
                <c:pt idx="360">
                  <c:v>455.83156955141686</c:v>
                </c:pt>
                <c:pt idx="361">
                  <c:v>457.33781367159378</c:v>
                </c:pt>
                <c:pt idx="362">
                  <c:v>458.84139591021517</c:v>
                </c:pt>
                <c:pt idx="363">
                  <c:v>460.34225599491384</c:v>
                </c:pt>
                <c:pt idx="364">
                  <c:v>461.84033375973496</c:v>
                </c:pt>
                <c:pt idx="365">
                  <c:v>463.33556918675527</c:v>
                </c:pt>
                <c:pt idx="366">
                  <c:v>464.82790244489888</c:v>
                </c:pt>
                <c:pt idx="367">
                  <c:v>466.3172739262053</c:v>
                </c:pt>
                <c:pt idx="368">
                  <c:v>467.80362427977582</c:v>
                </c:pt>
                <c:pt idx="369">
                  <c:v>469.28689444360066</c:v>
                </c:pt>
                <c:pt idx="370">
                  <c:v>470.76702567444505</c:v>
                </c:pt>
                <c:pt idx="371">
                  <c:v>472.24395957595431</c:v>
                </c:pt>
                <c:pt idx="372">
                  <c:v>473.71763812511927</c:v>
                </c:pt>
                <c:pt idx="373">
                  <c:v>475.18800369722896</c:v>
                </c:pt>
                <c:pt idx="374">
                  <c:v>476.65499908942286</c:v>
                </c:pt>
                <c:pt idx="375">
                  <c:v>478.11856754294422</c:v>
                </c:pt>
                <c:pt idx="376">
                  <c:v>479.57865276418426</c:v>
                </c:pt>
                <c:pt idx="377">
                  <c:v>481.03519894459828</c:v>
                </c:pt>
                <c:pt idx="378">
                  <c:v>482.48815077956624</c:v>
                </c:pt>
                <c:pt idx="379">
                  <c:v>483.93745348626322</c:v>
                </c:pt>
                <c:pt idx="380">
                  <c:v>485.38305282059821</c:v>
                </c:pt>
                <c:pt idx="381">
                  <c:v>486.82489509327428</c:v>
                </c:pt>
                <c:pt idx="382">
                  <c:v>488.26292718501827</c:v>
                </c:pt>
                <c:pt idx="383">
                  <c:v>489.69709656102282</c:v>
                </c:pt>
                <c:pt idx="384">
                  <c:v>491.1273512846405</c:v>
                </c:pt>
                <c:pt idx="385">
                  <c:v>492.55364003036516</c:v>
                </c:pt>
                <c:pt idx="386">
                  <c:v>493.97591209613375</c:v>
                </c:pt>
                <c:pt idx="387">
                  <c:v>495.39411741497759</c:v>
                </c:pt>
                <c:pt idx="388">
                  <c:v>496.80820656605027</c:v>
                </c:pt>
                <c:pt idx="389">
                  <c:v>498.21813078505761</c:v>
                </c:pt>
                <c:pt idx="390">
                  <c:v>499.62384197411183</c:v>
                </c:pt>
                <c:pt idx="391">
                  <c:v>501.02529271103151</c:v>
                </c:pt>
                <c:pt idx="392">
                  <c:v>502.42243625810625</c:v>
                </c:pt>
                <c:pt idx="393">
                  <c:v>503.81522657034469</c:v>
                </c:pt>
                <c:pt idx="394">
                  <c:v>505.20361830322213</c:v>
                </c:pt>
                <c:pt idx="395">
                  <c:v>506.58756681994333</c:v>
                </c:pt>
                <c:pt idx="396">
                  <c:v>507.96702819823571</c:v>
                </c:pt>
                <c:pt idx="397">
                  <c:v>509.34195923668551</c:v>
                </c:pt>
                <c:pt idx="398">
                  <c:v>510.71231746063097</c:v>
                </c:pt>
                <c:pt idx="399">
                  <c:v>512.07806112762353</c:v>
                </c:pt>
                <c:pt idx="400">
                  <c:v>513.43914923246928</c:v>
                </c:pt>
                <c:pt idx="401">
                  <c:v>514.79554151186119</c:v>
                </c:pt>
                <c:pt idx="402">
                  <c:v>516.1471984486127</c:v>
                </c:pt>
                <c:pt idx="403">
                  <c:v>517.49408127550203</c:v>
                </c:pt>
                <c:pt idx="404">
                  <c:v>518.83615197873712</c:v>
                </c:pt>
                <c:pt idx="405">
                  <c:v>520.17337330105033</c:v>
                </c:pt>
                <c:pt idx="406">
                  <c:v>521.50570874443156</c:v>
                </c:pt>
                <c:pt idx="407">
                  <c:v>522.83312257250782</c:v>
                </c:pt>
                <c:pt idx="408">
                  <c:v>524.1555798125778</c:v>
                </c:pt>
                <c:pt idx="409">
                  <c:v>525.47304625730987</c:v>
                </c:pt>
                <c:pt idx="410">
                  <c:v>526.78548846610988</c:v>
                </c:pt>
                <c:pt idx="411">
                  <c:v>528.09287376616771</c:v>
                </c:pt>
                <c:pt idx="412">
                  <c:v>529.39517025318924</c:v>
                </c:pt>
                <c:pt idx="413">
                  <c:v>530.69234679182057</c:v>
                </c:pt>
                <c:pt idx="414">
                  <c:v>531.98437301577246</c:v>
                </c:pt>
                <c:pt idx="415">
                  <c:v>533.27121932765124</c:v>
                </c:pt>
                <c:pt idx="416">
                  <c:v>534.5528568985028</c:v>
                </c:pt>
                <c:pt idx="417">
                  <c:v>535.82925766707763</c:v>
                </c:pt>
                <c:pt idx="418">
                  <c:v>537.10039433882162</c:v>
                </c:pt>
                <c:pt idx="419">
                  <c:v>538.3662403846007</c:v>
                </c:pt>
                <c:pt idx="420">
                  <c:v>539.62677003916542</c:v>
                </c:pt>
                <c:pt idx="421">
                  <c:v>540.88195829936069</c:v>
                </c:pt>
                <c:pt idx="422">
                  <c:v>542.13178092208921</c:v>
                </c:pt>
                <c:pt idx="423">
                  <c:v>543.37621442203249</c:v>
                </c:pt>
                <c:pt idx="424">
                  <c:v>544.61523606913727</c:v>
                </c:pt>
                <c:pt idx="425">
                  <c:v>545.84882388587243</c:v>
                </c:pt>
                <c:pt idx="426">
                  <c:v>547.07695664426353</c:v>
                </c:pt>
                <c:pt idx="427">
                  <c:v>548.29961386270963</c:v>
                </c:pt>
                <c:pt idx="428">
                  <c:v>549.5167758025899</c:v>
                </c:pt>
                <c:pt idx="429">
                  <c:v>550.72842346466462</c:v>
                </c:pt>
                <c:pt idx="430">
                  <c:v>551.93453858527675</c:v>
                </c:pt>
                <c:pt idx="431">
                  <c:v>553.13510363236117</c:v>
                </c:pt>
                <c:pt idx="432">
                  <c:v>554.33010180126519</c:v>
                </c:pt>
                <c:pt idx="433">
                  <c:v>555.51951701038774</c:v>
                </c:pt>
                <c:pt idx="434">
                  <c:v>556.70333389664245</c:v>
                </c:pt>
                <c:pt idx="435">
                  <c:v>557.88153781075005</c:v>
                </c:pt>
                <c:pt idx="436">
                  <c:v>559.05411481236581</c:v>
                </c:pt>
                <c:pt idx="437">
                  <c:v>560.22105166504787</c:v>
                </c:pt>
                <c:pt idx="438">
                  <c:v>561.38233583107115</c:v>
                </c:pt>
                <c:pt idx="439">
                  <c:v>562.53795546609365</c:v>
                </c:pt>
                <c:pt idx="440">
                  <c:v>563.68789941367891</c:v>
                </c:pt>
                <c:pt idx="441">
                  <c:v>564.83215719968121</c:v>
                </c:pt>
                <c:pt idx="442">
                  <c:v>565.97071902649861</c:v>
                </c:pt>
                <c:pt idx="443">
                  <c:v>567.10357576719809</c:v>
                </c:pt>
                <c:pt idx="444">
                  <c:v>568.23071895951978</c:v>
                </c:pt>
                <c:pt idx="445">
                  <c:v>569.35214079976345</c:v>
                </c:pt>
                <c:pt idx="446">
                  <c:v>570.46783413656362</c:v>
                </c:pt>
                <c:pt idx="447">
                  <c:v>571.577792464558</c:v>
                </c:pt>
                <c:pt idx="448">
                  <c:v>572.68200991795413</c:v>
                </c:pt>
                <c:pt idx="449">
                  <c:v>573.78048126399915</c:v>
                </c:pt>
                <c:pt idx="450">
                  <c:v>574.87320189635716</c:v>
                </c:pt>
                <c:pt idx="451">
                  <c:v>575.9601678283999</c:v>
                </c:pt>
                <c:pt idx="452">
                  <c:v>577.0413756864142</c:v>
                </c:pt>
                <c:pt idx="453">
                  <c:v>578.11682270273218</c:v>
                </c:pt>
                <c:pt idx="454">
                  <c:v>579.18650670878731</c:v>
                </c:pt>
                <c:pt idx="455">
                  <c:v>580.25042612810216</c:v>
                </c:pt>
                <c:pt idx="456">
                  <c:v>581.30857996921145</c:v>
                </c:pt>
                <c:pt idx="457">
                  <c:v>582.36096781852473</c:v>
                </c:pt>
                <c:pt idx="458">
                  <c:v>583.40758983313413</c:v>
                </c:pt>
                <c:pt idx="459">
                  <c:v>584.44844673356931</c:v>
                </c:pt>
                <c:pt idx="460">
                  <c:v>585.48353979650608</c:v>
                </c:pt>
                <c:pt idx="461">
                  <c:v>586.5128708474308</c:v>
                </c:pt>
                <c:pt idx="462">
                  <c:v>587.53644225326605</c:v>
                </c:pt>
                <c:pt idx="463">
                  <c:v>588.55425691496021</c:v>
                </c:pt>
                <c:pt idx="464">
                  <c:v>589.56631826004593</c:v>
                </c:pt>
                <c:pt idx="465">
                  <c:v>590.57263023517055</c:v>
                </c:pt>
                <c:pt idx="466">
                  <c:v>591.57319729860251</c:v>
                </c:pt>
                <c:pt idx="467">
                  <c:v>592.5680244127168</c:v>
                </c:pt>
                <c:pt idx="468">
                  <c:v>593.55711703646409</c:v>
                </c:pt>
                <c:pt idx="469">
                  <c:v>594.54048111782549</c:v>
                </c:pt>
                <c:pt idx="470">
                  <c:v>595.51812308625813</c:v>
                </c:pt>
                <c:pt idx="471">
                  <c:v>596.49004984513306</c:v>
                </c:pt>
                <c:pt idx="472">
                  <c:v>597.45626876416986</c:v>
                </c:pt>
                <c:pt idx="473">
                  <c:v>598.41678767187113</c:v>
                </c:pt>
                <c:pt idx="474">
                  <c:v>599.37161484795888</c:v>
                </c:pt>
                <c:pt idx="475">
                  <c:v>600.3207590158172</c:v>
                </c:pt>
                <c:pt idx="476">
                  <c:v>601.26422933494291</c:v>
                </c:pt>
                <c:pt idx="477">
                  <c:v>602.2020353934081</c:v>
                </c:pt>
                <c:pt idx="478">
                  <c:v>603.13418720033633</c:v>
                </c:pt>
                <c:pt idx="479">
                  <c:v>604.06069517839626</c:v>
                </c:pt>
                <c:pt idx="480">
                  <c:v>604.98157015631386</c:v>
                </c:pt>
                <c:pt idx="481">
                  <c:v>605.89682336140743</c:v>
                </c:pt>
                <c:pt idx="482">
                  <c:v>606.80646641214662</c:v>
                </c:pt>
                <c:pt idx="483">
                  <c:v>607.71051131073807</c:v>
                </c:pt>
                <c:pt idx="484">
                  <c:v>608.60897043574084</c:v>
                </c:pt>
                <c:pt idx="485">
                  <c:v>609.50185653471272</c:v>
                </c:pt>
                <c:pt idx="486">
                  <c:v>610.3891827168901</c:v>
                </c:pt>
                <c:pt idx="487">
                  <c:v>611.27096244590348</c:v>
                </c:pt>
                <c:pt idx="488">
                  <c:v>612.14720953253095</c:v>
                </c:pt>
                <c:pt idx="489">
                  <c:v>613.01793812749065</c:v>
                </c:pt>
                <c:pt idx="490">
                  <c:v>613.88316271427539</c:v>
                </c:pt>
                <c:pt idx="491">
                  <c:v>614.74289810203015</c:v>
                </c:pt>
                <c:pt idx="492">
                  <c:v>615.59715941847435</c:v>
                </c:pt>
                <c:pt idx="493">
                  <c:v>616.44596210287159</c:v>
                </c:pt>
                <c:pt idx="494">
                  <c:v>617.28932189904685</c:v>
                </c:pt>
                <c:pt idx="495">
                  <c:v>618.12725484845407</c:v>
                </c:pt>
                <c:pt idx="496">
                  <c:v>618.95977728329501</c:v>
                </c:pt>
                <c:pt idx="497">
                  <c:v>619.78690581969045</c:v>
                </c:pt>
                <c:pt idx="498">
                  <c:v>620.60865735090567</c:v>
                </c:pt>
                <c:pt idx="499">
                  <c:v>621.42504904063173</c:v>
                </c:pt>
                <c:pt idx="500">
                  <c:v>622.23609831632234</c:v>
                </c:pt>
                <c:pt idx="501">
                  <c:v>623.04182286258958</c:v>
                </c:pt>
                <c:pt idx="502">
                  <c:v>623.84224061465761</c:v>
                </c:pt>
                <c:pt idx="503">
                  <c:v>624.63736975187658</c:v>
                </c:pt>
                <c:pt idx="504">
                  <c:v>625.4272286912975</c:v>
                </c:pt>
                <c:pt idx="505">
                  <c:v>626.21183608130877</c:v>
                </c:pt>
                <c:pt idx="506">
                  <c:v>626.99121079533575</c:v>
                </c:pt>
                <c:pt idx="507">
                  <c:v>627.76537192560306</c:v>
                </c:pt>
                <c:pt idx="508">
                  <c:v>628.53433877696204</c:v>
                </c:pt>
                <c:pt idx="509">
                  <c:v>629.29813086078275</c:v>
                </c:pt>
                <c:pt idx="510">
                  <c:v>630.05676788891162</c:v>
                </c:pt>
                <c:pt idx="511">
                  <c:v>630.81026976769556</c:v>
                </c:pt>
                <c:pt idx="512">
                  <c:v>631.55865659207279</c:v>
                </c:pt>
                <c:pt idx="513">
                  <c:v>632.30194863973134</c:v>
                </c:pt>
                <c:pt idx="514">
                  <c:v>633.04016636533493</c:v>
                </c:pt>
                <c:pt idx="515">
                  <c:v>633.77333039481755</c:v>
                </c:pt>
                <c:pt idx="516">
                  <c:v>634.50146151974661</c:v>
                </c:pt>
                <c:pt idx="517">
                  <c:v>635.22458069175514</c:v>
                </c:pt>
                <c:pt idx="518">
                  <c:v>635.94270901704328</c:v>
                </c:pt>
                <c:pt idx="519">
                  <c:v>636.65586775094926</c:v>
                </c:pt>
                <c:pt idx="520">
                  <c:v>637.36407829259042</c:v>
                </c:pt>
                <c:pt idx="521">
                  <c:v>638.06736217957427</c:v>
                </c:pt>
                <c:pt idx="522">
                  <c:v>638.76574108277941</c:v>
                </c:pt>
                <c:pt idx="523">
                  <c:v>639.45923680120723</c:v>
                </c:pt>
                <c:pt idx="524">
                  <c:v>640.14787125690316</c:v>
                </c:pt>
                <c:pt idx="525">
                  <c:v>640.83166648994927</c:v>
                </c:pt>
                <c:pt idx="526">
                  <c:v>641.51064465352658</c:v>
                </c:pt>
                <c:pt idx="527">
                  <c:v>642.18482800904803</c:v>
                </c:pt>
                <c:pt idx="528">
                  <c:v>642.85423892136157</c:v>
                </c:pt>
                <c:pt idx="529">
                  <c:v>643.51889985402397</c:v>
                </c:pt>
                <c:pt idx="530">
                  <c:v>644.17883336464422</c:v>
                </c:pt>
                <c:pt idx="531">
                  <c:v>644.83406210029716</c:v>
                </c:pt>
                <c:pt idx="532">
                  <c:v>645.48460879300694</c:v>
                </c:pt>
                <c:pt idx="533">
                  <c:v>646.13049625530016</c:v>
                </c:pt>
                <c:pt idx="534">
                  <c:v>646.77174737582823</c:v>
                </c:pt>
                <c:pt idx="535">
                  <c:v>647.40838511505922</c:v>
                </c:pt>
                <c:pt idx="536">
                  <c:v>648.04043250103803</c:v>
                </c:pt>
                <c:pt idx="537">
                  <c:v>648.66791262521588</c:v>
                </c:pt>
                <c:pt idx="538">
                  <c:v>649.2908486383476</c:v>
                </c:pt>
                <c:pt idx="539">
                  <c:v>649.9092637464571</c:v>
                </c:pt>
                <c:pt idx="540">
                  <c:v>650.52318120687016</c:v>
                </c:pt>
                <c:pt idx="541">
                  <c:v>651.13262432431497</c:v>
                </c:pt>
                <c:pt idx="542">
                  <c:v>651.73761644708907</c:v>
                </c:pt>
                <c:pt idx="543">
                  <c:v>652.33818096329264</c:v>
                </c:pt>
                <c:pt idx="544">
                  <c:v>652.93434129712853</c:v>
                </c:pt>
                <c:pt idx="545">
                  <c:v>653.52612090526691</c:v>
                </c:pt>
                <c:pt idx="546">
                  <c:v>654.1135432732757</c:v>
                </c:pt>
                <c:pt idx="547">
                  <c:v>654.69663191211532</c:v>
                </c:pt>
                <c:pt idx="548">
                  <c:v>655.27541035469778</c:v>
                </c:pt>
                <c:pt idx="549">
                  <c:v>655.84990215250912</c:v>
                </c:pt>
                <c:pt idx="550">
                  <c:v>656.42013087229566</c:v>
                </c:pt>
                <c:pt idx="551">
                  <c:v>656.9861200928118</c:v>
                </c:pt>
                <c:pt idx="552">
                  <c:v>657.5478934016312</c:v>
                </c:pt>
                <c:pt idx="553">
                  <c:v>658.10547439201832</c:v>
                </c:pt>
                <c:pt idx="554">
                  <c:v>658.65888665986165</c:v>
                </c:pt>
                <c:pt idx="555">
                  <c:v>659.20815380066745</c:v>
                </c:pt>
                <c:pt idx="556">
                  <c:v>659.75329940661254</c:v>
                </c:pt>
                <c:pt idx="557">
                  <c:v>660.29434706365748</c:v>
                </c:pt>
                <c:pt idx="558">
                  <c:v>660.83132034871755</c:v>
                </c:pt>
                <c:pt idx="559">
                  <c:v>661.36424282689211</c:v>
                </c:pt>
                <c:pt idx="560">
                  <c:v>661.89313804875178</c:v>
                </c:pt>
                <c:pt idx="561">
                  <c:v>662.41802954768184</c:v>
                </c:pt>
                <c:pt idx="562">
                  <c:v>662.93894083728253</c:v>
                </c:pt>
                <c:pt idx="563">
                  <c:v>663.45589540882486</c:v>
                </c:pt>
                <c:pt idx="564">
                  <c:v>663.96891672876097</c:v>
                </c:pt>
                <c:pt idx="565">
                  <c:v>664.47802823628956</c:v>
                </c:pt>
                <c:pt idx="566">
                  <c:v>664.98325334097478</c:v>
                </c:pt>
                <c:pt idx="567">
                  <c:v>665.48461542041821</c:v>
                </c:pt>
                <c:pt idx="568">
                  <c:v>665.9821378179837</c:v>
                </c:pt>
                <c:pt idx="569">
                  <c:v>666.47584384057348</c:v>
                </c:pt>
                <c:pt idx="570">
                  <c:v>666.96575675645624</c:v>
                </c:pt>
                <c:pt idx="571">
                  <c:v>667.45189979314512</c:v>
                </c:pt>
                <c:pt idx="572">
                  <c:v>667.93429613532624</c:v>
                </c:pt>
                <c:pt idx="573">
                  <c:v>668.41296892283594</c:v>
                </c:pt>
                <c:pt idx="574">
                  <c:v>668.88794124868741</c:v>
                </c:pt>
                <c:pt idx="575">
                  <c:v>669.35923615714466</c:v>
                </c:pt>
                <c:pt idx="576">
                  <c:v>669.82687664184425</c:v>
                </c:pt>
                <c:pt idx="577">
                  <c:v>670.29088564396386</c:v>
                </c:pt>
                <c:pt idx="578">
                  <c:v>670.75128605043653</c:v>
                </c:pt>
                <c:pt idx="579">
                  <c:v>671.20810069221091</c:v>
                </c:pt>
                <c:pt idx="580">
                  <c:v>671.66135234255569</c:v>
                </c:pt>
                <c:pt idx="581">
                  <c:v>672.11106371540893</c:v>
                </c:pt>
                <c:pt idx="582">
                  <c:v>672.55725746377038</c:v>
                </c:pt>
                <c:pt idx="583">
                  <c:v>672.99995617813693</c:v>
                </c:pt>
                <c:pt idx="584">
                  <c:v>673.43918238498031</c:v>
                </c:pt>
                <c:pt idx="585">
                  <c:v>673.87495854526674</c:v>
                </c:pt>
                <c:pt idx="586">
                  <c:v>674.30730705301698</c:v>
                </c:pt>
                <c:pt idx="587">
                  <c:v>674.73625023390741</c:v>
                </c:pt>
                <c:pt idx="588">
                  <c:v>675.1618103439107</c:v>
                </c:pt>
                <c:pt idx="589">
                  <c:v>675.58400956797539</c:v>
                </c:pt>
                <c:pt idx="590">
                  <c:v>676.00287001874437</c:v>
                </c:pt>
                <c:pt idx="591">
                  <c:v>676.41841373531133</c:v>
                </c:pt>
                <c:pt idx="592">
                  <c:v>676.83066268201446</c:v>
                </c:pt>
                <c:pt idx="593">
                  <c:v>677.23963874726667</c:v>
                </c:pt>
                <c:pt idx="594">
                  <c:v>677.64536374242232</c:v>
                </c:pt>
                <c:pt idx="595">
                  <c:v>677.64536374242232</c:v>
                </c:pt>
                <c:pt idx="596">
                  <c:v>677.64536374242232</c:v>
                </c:pt>
                <c:pt idx="597">
                  <c:v>677.64536374242232</c:v>
                </c:pt>
                <c:pt idx="598">
                  <c:v>677.64536374242232</c:v>
                </c:pt>
                <c:pt idx="599">
                  <c:v>677.64536374242232</c:v>
                </c:pt>
                <c:pt idx="600">
                  <c:v>677.64536374242232</c:v>
                </c:pt>
                <c:pt idx="601">
                  <c:v>677.64536374242232</c:v>
                </c:pt>
                <c:pt idx="602">
                  <c:v>677.64536374242232</c:v>
                </c:pt>
                <c:pt idx="603">
                  <c:v>677.64536374242232</c:v>
                </c:pt>
                <c:pt idx="604">
                  <c:v>677.64536374242232</c:v>
                </c:pt>
                <c:pt idx="605">
                  <c:v>677.64536374242232</c:v>
                </c:pt>
                <c:pt idx="606">
                  <c:v>677.64536374242232</c:v>
                </c:pt>
                <c:pt idx="607">
                  <c:v>677.64536374242232</c:v>
                </c:pt>
                <c:pt idx="608">
                  <c:v>677.64536374242232</c:v>
                </c:pt>
                <c:pt idx="609">
                  <c:v>677.64536374242232</c:v>
                </c:pt>
                <c:pt idx="610">
                  <c:v>677.64536374242232</c:v>
                </c:pt>
                <c:pt idx="611">
                  <c:v>677.64536374242232</c:v>
                </c:pt>
                <c:pt idx="612">
                  <c:v>677.64536374242232</c:v>
                </c:pt>
                <c:pt idx="613">
                  <c:v>677.64536374242232</c:v>
                </c:pt>
                <c:pt idx="614">
                  <c:v>677.64536374242232</c:v>
                </c:pt>
                <c:pt idx="615">
                  <c:v>677.64536374242232</c:v>
                </c:pt>
                <c:pt idx="616">
                  <c:v>677.64536374242232</c:v>
                </c:pt>
                <c:pt idx="617">
                  <c:v>677.64536374242232</c:v>
                </c:pt>
                <c:pt idx="618">
                  <c:v>677.64536374242232</c:v>
                </c:pt>
                <c:pt idx="619">
                  <c:v>677.64536374242232</c:v>
                </c:pt>
                <c:pt idx="620">
                  <c:v>677.64536374242232</c:v>
                </c:pt>
                <c:pt idx="621">
                  <c:v>677.64536374242232</c:v>
                </c:pt>
                <c:pt idx="622">
                  <c:v>677.64536374242232</c:v>
                </c:pt>
                <c:pt idx="623">
                  <c:v>677.64536374242232</c:v>
                </c:pt>
                <c:pt idx="624">
                  <c:v>677.64536374242232</c:v>
                </c:pt>
                <c:pt idx="625">
                  <c:v>677.64536374242232</c:v>
                </c:pt>
                <c:pt idx="626">
                  <c:v>677.64536374242232</c:v>
                </c:pt>
                <c:pt idx="627">
                  <c:v>677.64536374242232</c:v>
                </c:pt>
                <c:pt idx="628">
                  <c:v>677.64536374242232</c:v>
                </c:pt>
                <c:pt idx="629">
                  <c:v>677.64536374242232</c:v>
                </c:pt>
                <c:pt idx="630">
                  <c:v>677.64536374242232</c:v>
                </c:pt>
                <c:pt idx="631">
                  <c:v>677.64536374242232</c:v>
                </c:pt>
                <c:pt idx="632">
                  <c:v>677.64536374242232</c:v>
                </c:pt>
                <c:pt idx="633">
                  <c:v>677.64536374242232</c:v>
                </c:pt>
                <c:pt idx="634">
                  <c:v>677.64536374242232</c:v>
                </c:pt>
                <c:pt idx="635">
                  <c:v>677.64536374242232</c:v>
                </c:pt>
                <c:pt idx="636">
                  <c:v>677.64536374242232</c:v>
                </c:pt>
                <c:pt idx="637">
                  <c:v>677.64536374242232</c:v>
                </c:pt>
                <c:pt idx="638">
                  <c:v>677.64536374242232</c:v>
                </c:pt>
                <c:pt idx="639">
                  <c:v>677.64536374242232</c:v>
                </c:pt>
                <c:pt idx="640">
                  <c:v>677.64536374242232</c:v>
                </c:pt>
                <c:pt idx="641">
                  <c:v>677.64536374242232</c:v>
                </c:pt>
                <c:pt idx="642">
                  <c:v>677.64536374242232</c:v>
                </c:pt>
                <c:pt idx="643">
                  <c:v>677.64536374242232</c:v>
                </c:pt>
                <c:pt idx="644">
                  <c:v>677.64536374242232</c:v>
                </c:pt>
                <c:pt idx="645">
                  <c:v>677.64536374242232</c:v>
                </c:pt>
                <c:pt idx="646">
                  <c:v>677.64536374242232</c:v>
                </c:pt>
                <c:pt idx="647">
                  <c:v>677.64536374242232</c:v>
                </c:pt>
                <c:pt idx="648">
                  <c:v>677.64536374242232</c:v>
                </c:pt>
                <c:pt idx="649">
                  <c:v>677.64536374242232</c:v>
                </c:pt>
                <c:pt idx="650">
                  <c:v>677.64536374242232</c:v>
                </c:pt>
                <c:pt idx="651">
                  <c:v>677.64536374242232</c:v>
                </c:pt>
                <c:pt idx="652">
                  <c:v>677.64536374242232</c:v>
                </c:pt>
                <c:pt idx="653">
                  <c:v>677.64536374242232</c:v>
                </c:pt>
                <c:pt idx="654">
                  <c:v>677.64536374242232</c:v>
                </c:pt>
                <c:pt idx="655">
                  <c:v>677.64536374242232</c:v>
                </c:pt>
                <c:pt idx="656">
                  <c:v>677.64536374242232</c:v>
                </c:pt>
                <c:pt idx="657">
                  <c:v>677.64536374242232</c:v>
                </c:pt>
                <c:pt idx="658">
                  <c:v>677.64536374242232</c:v>
                </c:pt>
                <c:pt idx="659">
                  <c:v>677.64536374242232</c:v>
                </c:pt>
                <c:pt idx="660">
                  <c:v>677.64536374242232</c:v>
                </c:pt>
                <c:pt idx="661">
                  <c:v>677.64536374242232</c:v>
                </c:pt>
                <c:pt idx="662">
                  <c:v>677.64536374242232</c:v>
                </c:pt>
                <c:pt idx="663">
                  <c:v>677.64536374242232</c:v>
                </c:pt>
                <c:pt idx="664">
                  <c:v>677.64536374242232</c:v>
                </c:pt>
                <c:pt idx="665">
                  <c:v>677.64536374242232</c:v>
                </c:pt>
                <c:pt idx="666">
                  <c:v>677.64536374242232</c:v>
                </c:pt>
                <c:pt idx="667">
                  <c:v>677.64536374242232</c:v>
                </c:pt>
                <c:pt idx="668">
                  <c:v>677.64536374242232</c:v>
                </c:pt>
                <c:pt idx="669">
                  <c:v>677.64536374242232</c:v>
                </c:pt>
                <c:pt idx="670">
                  <c:v>677.64536374242232</c:v>
                </c:pt>
                <c:pt idx="671">
                  <c:v>677.64536374242232</c:v>
                </c:pt>
                <c:pt idx="672">
                  <c:v>677.64536374242232</c:v>
                </c:pt>
                <c:pt idx="673">
                  <c:v>677.64536374242232</c:v>
                </c:pt>
                <c:pt idx="674">
                  <c:v>677.64536374242232</c:v>
                </c:pt>
                <c:pt idx="675">
                  <c:v>677.64536374242232</c:v>
                </c:pt>
                <c:pt idx="676">
                  <c:v>677.64536374242232</c:v>
                </c:pt>
                <c:pt idx="677">
                  <c:v>677.64536374242232</c:v>
                </c:pt>
                <c:pt idx="678">
                  <c:v>677.64536374242232</c:v>
                </c:pt>
                <c:pt idx="679">
                  <c:v>677.64536374242232</c:v>
                </c:pt>
                <c:pt idx="680">
                  <c:v>677.64536374242232</c:v>
                </c:pt>
                <c:pt idx="681">
                  <c:v>677.64536374242232</c:v>
                </c:pt>
                <c:pt idx="682">
                  <c:v>677.64536374242232</c:v>
                </c:pt>
                <c:pt idx="683">
                  <c:v>677.64536374242232</c:v>
                </c:pt>
                <c:pt idx="684">
                  <c:v>677.64536374242232</c:v>
                </c:pt>
                <c:pt idx="685">
                  <c:v>677.64536374242232</c:v>
                </c:pt>
                <c:pt idx="686">
                  <c:v>677.64536374242232</c:v>
                </c:pt>
                <c:pt idx="687">
                  <c:v>677.64536374242232</c:v>
                </c:pt>
                <c:pt idx="688">
                  <c:v>677.64536374242232</c:v>
                </c:pt>
                <c:pt idx="689">
                  <c:v>677.64536374242232</c:v>
                </c:pt>
                <c:pt idx="690">
                  <c:v>677.64536374242232</c:v>
                </c:pt>
                <c:pt idx="691">
                  <c:v>677.64536374242232</c:v>
                </c:pt>
                <c:pt idx="692">
                  <c:v>677.64536374242232</c:v>
                </c:pt>
                <c:pt idx="693">
                  <c:v>677.64536374242232</c:v>
                </c:pt>
                <c:pt idx="694">
                  <c:v>677.64536374242232</c:v>
                </c:pt>
                <c:pt idx="695">
                  <c:v>677.64536374242232</c:v>
                </c:pt>
                <c:pt idx="696">
                  <c:v>677.64536374242232</c:v>
                </c:pt>
                <c:pt idx="697">
                  <c:v>677.64536374242232</c:v>
                </c:pt>
                <c:pt idx="698">
                  <c:v>677.64536374242232</c:v>
                </c:pt>
                <c:pt idx="699">
                  <c:v>677.64536374242232</c:v>
                </c:pt>
                <c:pt idx="700">
                  <c:v>677.64536374242232</c:v>
                </c:pt>
                <c:pt idx="701">
                  <c:v>677.64536374242232</c:v>
                </c:pt>
                <c:pt idx="702">
                  <c:v>677.64536374242232</c:v>
                </c:pt>
                <c:pt idx="703">
                  <c:v>677.64536374242232</c:v>
                </c:pt>
                <c:pt idx="704">
                  <c:v>677.64536374242232</c:v>
                </c:pt>
                <c:pt idx="705">
                  <c:v>677.64536374242232</c:v>
                </c:pt>
                <c:pt idx="706">
                  <c:v>677.64536374242232</c:v>
                </c:pt>
                <c:pt idx="707">
                  <c:v>677.64536374242232</c:v>
                </c:pt>
                <c:pt idx="708">
                  <c:v>677.64536374242232</c:v>
                </c:pt>
                <c:pt idx="709">
                  <c:v>677.64536374242232</c:v>
                </c:pt>
                <c:pt idx="710">
                  <c:v>677.64536374242232</c:v>
                </c:pt>
                <c:pt idx="711">
                  <c:v>677.64536374242232</c:v>
                </c:pt>
                <c:pt idx="712">
                  <c:v>677.64536374242232</c:v>
                </c:pt>
                <c:pt idx="713">
                  <c:v>677.64536374242232</c:v>
                </c:pt>
                <c:pt idx="714">
                  <c:v>677.64536374242232</c:v>
                </c:pt>
                <c:pt idx="715">
                  <c:v>677.64536374242232</c:v>
                </c:pt>
                <c:pt idx="716">
                  <c:v>677.64536374242232</c:v>
                </c:pt>
                <c:pt idx="717">
                  <c:v>677.64536374242232</c:v>
                </c:pt>
                <c:pt idx="718">
                  <c:v>677.64536374242232</c:v>
                </c:pt>
                <c:pt idx="719">
                  <c:v>677.64536374242232</c:v>
                </c:pt>
                <c:pt idx="720">
                  <c:v>677.64536374242232</c:v>
                </c:pt>
                <c:pt idx="721">
                  <c:v>677.64536374242232</c:v>
                </c:pt>
                <c:pt idx="722">
                  <c:v>677.64536374242232</c:v>
                </c:pt>
                <c:pt idx="723">
                  <c:v>677.64536374242232</c:v>
                </c:pt>
                <c:pt idx="724">
                  <c:v>677.64536374242232</c:v>
                </c:pt>
                <c:pt idx="725">
                  <c:v>677.64536374242232</c:v>
                </c:pt>
                <c:pt idx="726">
                  <c:v>677.64536374242232</c:v>
                </c:pt>
                <c:pt idx="727">
                  <c:v>677.64536374242232</c:v>
                </c:pt>
                <c:pt idx="728">
                  <c:v>677.64536374242232</c:v>
                </c:pt>
                <c:pt idx="729">
                  <c:v>677.64536374242232</c:v>
                </c:pt>
                <c:pt idx="730">
                  <c:v>677.64536374242232</c:v>
                </c:pt>
                <c:pt idx="731">
                  <c:v>677.64536374242232</c:v>
                </c:pt>
                <c:pt idx="732">
                  <c:v>677.64536374242232</c:v>
                </c:pt>
                <c:pt idx="733">
                  <c:v>677.64536374242232</c:v>
                </c:pt>
                <c:pt idx="734">
                  <c:v>677.64536374242232</c:v>
                </c:pt>
                <c:pt idx="735">
                  <c:v>677.64536374242232</c:v>
                </c:pt>
                <c:pt idx="736">
                  <c:v>677.64536374242232</c:v>
                </c:pt>
                <c:pt idx="737">
                  <c:v>677.64536374242232</c:v>
                </c:pt>
                <c:pt idx="738">
                  <c:v>677.64536374242232</c:v>
                </c:pt>
                <c:pt idx="739">
                  <c:v>677.64536374242232</c:v>
                </c:pt>
                <c:pt idx="740">
                  <c:v>677.64536374242232</c:v>
                </c:pt>
                <c:pt idx="741">
                  <c:v>677.64536374242232</c:v>
                </c:pt>
                <c:pt idx="742">
                  <c:v>677.64536374242232</c:v>
                </c:pt>
                <c:pt idx="743">
                  <c:v>677.64536374242232</c:v>
                </c:pt>
                <c:pt idx="744">
                  <c:v>677.64536374242232</c:v>
                </c:pt>
                <c:pt idx="745">
                  <c:v>677.64536374242232</c:v>
                </c:pt>
                <c:pt idx="746">
                  <c:v>677.64536374242232</c:v>
                </c:pt>
                <c:pt idx="747">
                  <c:v>677.64536374242232</c:v>
                </c:pt>
                <c:pt idx="748">
                  <c:v>677.64536374242232</c:v>
                </c:pt>
                <c:pt idx="749">
                  <c:v>677.64536374242232</c:v>
                </c:pt>
                <c:pt idx="750">
                  <c:v>677.64536374242232</c:v>
                </c:pt>
                <c:pt idx="751">
                  <c:v>677.64536374242232</c:v>
                </c:pt>
                <c:pt idx="752">
                  <c:v>677.64536374242232</c:v>
                </c:pt>
                <c:pt idx="753">
                  <c:v>677.64536374242232</c:v>
                </c:pt>
                <c:pt idx="754">
                  <c:v>677.64536374242232</c:v>
                </c:pt>
                <c:pt idx="755">
                  <c:v>677.64536374242232</c:v>
                </c:pt>
                <c:pt idx="756">
                  <c:v>677.64536374242232</c:v>
                </c:pt>
                <c:pt idx="757">
                  <c:v>677.64536374242232</c:v>
                </c:pt>
                <c:pt idx="758">
                  <c:v>677.64536374242232</c:v>
                </c:pt>
                <c:pt idx="759">
                  <c:v>677.64536374242232</c:v>
                </c:pt>
                <c:pt idx="760">
                  <c:v>677.64536374242232</c:v>
                </c:pt>
                <c:pt idx="761">
                  <c:v>677.64536374242232</c:v>
                </c:pt>
                <c:pt idx="762">
                  <c:v>677.64536374242232</c:v>
                </c:pt>
                <c:pt idx="763">
                  <c:v>677.64536374242232</c:v>
                </c:pt>
                <c:pt idx="764">
                  <c:v>677.64536374242232</c:v>
                </c:pt>
                <c:pt idx="765">
                  <c:v>677.64536374242232</c:v>
                </c:pt>
                <c:pt idx="766">
                  <c:v>677.64536374242232</c:v>
                </c:pt>
                <c:pt idx="767">
                  <c:v>677.64536374242232</c:v>
                </c:pt>
                <c:pt idx="768">
                  <c:v>677.64536374242232</c:v>
                </c:pt>
                <c:pt idx="769">
                  <c:v>677.64536374242232</c:v>
                </c:pt>
                <c:pt idx="770">
                  <c:v>677.64536374242232</c:v>
                </c:pt>
                <c:pt idx="771">
                  <c:v>677.64536374242232</c:v>
                </c:pt>
                <c:pt idx="772">
                  <c:v>677.64536374242232</c:v>
                </c:pt>
                <c:pt idx="773">
                  <c:v>677.64536374242232</c:v>
                </c:pt>
                <c:pt idx="774">
                  <c:v>677.64536374242232</c:v>
                </c:pt>
                <c:pt idx="775">
                  <c:v>677.64536374242232</c:v>
                </c:pt>
                <c:pt idx="776">
                  <c:v>677.64536374242232</c:v>
                </c:pt>
                <c:pt idx="777">
                  <c:v>677.64536374242232</c:v>
                </c:pt>
                <c:pt idx="778">
                  <c:v>677.64536374242232</c:v>
                </c:pt>
                <c:pt idx="779">
                  <c:v>677.64536374242232</c:v>
                </c:pt>
                <c:pt idx="780">
                  <c:v>677.64536374242232</c:v>
                </c:pt>
                <c:pt idx="781">
                  <c:v>677.64536374242232</c:v>
                </c:pt>
                <c:pt idx="782">
                  <c:v>677.64536374242232</c:v>
                </c:pt>
                <c:pt idx="783">
                  <c:v>677.64536374242232</c:v>
                </c:pt>
                <c:pt idx="784">
                  <c:v>677.64536374242232</c:v>
                </c:pt>
                <c:pt idx="785">
                  <c:v>677.64536374242232</c:v>
                </c:pt>
                <c:pt idx="786">
                  <c:v>677.64536374242232</c:v>
                </c:pt>
                <c:pt idx="787">
                  <c:v>677.64536374242232</c:v>
                </c:pt>
                <c:pt idx="788">
                  <c:v>677.64536374242232</c:v>
                </c:pt>
                <c:pt idx="789">
                  <c:v>677.64536374242232</c:v>
                </c:pt>
                <c:pt idx="790">
                  <c:v>677.64536374242232</c:v>
                </c:pt>
                <c:pt idx="791">
                  <c:v>677.64536374242232</c:v>
                </c:pt>
                <c:pt idx="792">
                  <c:v>677.64536374242232</c:v>
                </c:pt>
                <c:pt idx="793">
                  <c:v>677.64536374242232</c:v>
                </c:pt>
                <c:pt idx="794">
                  <c:v>677.64536374242232</c:v>
                </c:pt>
                <c:pt idx="795">
                  <c:v>677.64536374242232</c:v>
                </c:pt>
                <c:pt idx="796">
                  <c:v>677.64536374242232</c:v>
                </c:pt>
                <c:pt idx="797">
                  <c:v>677.64536374242232</c:v>
                </c:pt>
                <c:pt idx="798">
                  <c:v>677.64536374242232</c:v>
                </c:pt>
                <c:pt idx="799">
                  <c:v>677.64536374242232</c:v>
                </c:pt>
                <c:pt idx="800">
                  <c:v>677.64536374242232</c:v>
                </c:pt>
                <c:pt idx="801">
                  <c:v>677.64536374242232</c:v>
                </c:pt>
                <c:pt idx="802">
                  <c:v>677.64536374242232</c:v>
                </c:pt>
                <c:pt idx="803">
                  <c:v>677.64536374242232</c:v>
                </c:pt>
                <c:pt idx="804">
                  <c:v>677.64536374242232</c:v>
                </c:pt>
                <c:pt idx="805">
                  <c:v>677.64536374242232</c:v>
                </c:pt>
                <c:pt idx="806">
                  <c:v>677.64536374242232</c:v>
                </c:pt>
                <c:pt idx="807">
                  <c:v>677.64536374242232</c:v>
                </c:pt>
                <c:pt idx="808">
                  <c:v>677.64536374242232</c:v>
                </c:pt>
                <c:pt idx="809">
                  <c:v>677.64536374242232</c:v>
                </c:pt>
                <c:pt idx="810">
                  <c:v>677.64536374242232</c:v>
                </c:pt>
                <c:pt idx="811">
                  <c:v>677.64536374242232</c:v>
                </c:pt>
                <c:pt idx="812">
                  <c:v>677.64536374242232</c:v>
                </c:pt>
                <c:pt idx="813">
                  <c:v>677.64536374242232</c:v>
                </c:pt>
                <c:pt idx="814">
                  <c:v>677.64536374242232</c:v>
                </c:pt>
                <c:pt idx="815">
                  <c:v>677.64536374242232</c:v>
                </c:pt>
                <c:pt idx="816">
                  <c:v>677.64536374242232</c:v>
                </c:pt>
                <c:pt idx="817">
                  <c:v>677.64536374242232</c:v>
                </c:pt>
                <c:pt idx="818">
                  <c:v>677.64536374242232</c:v>
                </c:pt>
                <c:pt idx="819">
                  <c:v>677.64536374242232</c:v>
                </c:pt>
                <c:pt idx="820">
                  <c:v>677.64536374242232</c:v>
                </c:pt>
                <c:pt idx="821">
                  <c:v>677.64536374242232</c:v>
                </c:pt>
                <c:pt idx="822">
                  <c:v>677.64536374242232</c:v>
                </c:pt>
                <c:pt idx="823">
                  <c:v>677.64536374242232</c:v>
                </c:pt>
                <c:pt idx="824">
                  <c:v>677.64536374242232</c:v>
                </c:pt>
                <c:pt idx="825">
                  <c:v>677.64536374242232</c:v>
                </c:pt>
                <c:pt idx="826">
                  <c:v>677.64536374242232</c:v>
                </c:pt>
                <c:pt idx="827">
                  <c:v>677.64536374242232</c:v>
                </c:pt>
                <c:pt idx="828">
                  <c:v>677.64536374242232</c:v>
                </c:pt>
                <c:pt idx="829">
                  <c:v>677.64536374242232</c:v>
                </c:pt>
                <c:pt idx="830">
                  <c:v>677.64536374242232</c:v>
                </c:pt>
                <c:pt idx="831">
                  <c:v>677.64536374242232</c:v>
                </c:pt>
                <c:pt idx="832">
                  <c:v>677.64536374242232</c:v>
                </c:pt>
                <c:pt idx="833">
                  <c:v>677.64536374242232</c:v>
                </c:pt>
                <c:pt idx="834">
                  <c:v>677.64536374242232</c:v>
                </c:pt>
                <c:pt idx="835">
                  <c:v>677.64536374242232</c:v>
                </c:pt>
                <c:pt idx="836">
                  <c:v>677.64536374242232</c:v>
                </c:pt>
                <c:pt idx="837">
                  <c:v>677.64536374242232</c:v>
                </c:pt>
                <c:pt idx="838">
                  <c:v>677.64536374242232</c:v>
                </c:pt>
                <c:pt idx="839">
                  <c:v>677.64536374242232</c:v>
                </c:pt>
                <c:pt idx="840">
                  <c:v>677.64536374242232</c:v>
                </c:pt>
                <c:pt idx="841">
                  <c:v>677.64536374242232</c:v>
                </c:pt>
                <c:pt idx="842">
                  <c:v>677.64536374242232</c:v>
                </c:pt>
                <c:pt idx="843">
                  <c:v>677.64536374242232</c:v>
                </c:pt>
                <c:pt idx="844">
                  <c:v>677.64536374242232</c:v>
                </c:pt>
                <c:pt idx="845">
                  <c:v>677.64536374242232</c:v>
                </c:pt>
                <c:pt idx="846">
                  <c:v>677.64536374242232</c:v>
                </c:pt>
                <c:pt idx="847">
                  <c:v>677.64536374242232</c:v>
                </c:pt>
                <c:pt idx="848">
                  <c:v>677.64536374242232</c:v>
                </c:pt>
                <c:pt idx="849">
                  <c:v>677.64536374242232</c:v>
                </c:pt>
                <c:pt idx="850">
                  <c:v>677.64536374242232</c:v>
                </c:pt>
                <c:pt idx="851">
                  <c:v>677.64536374242232</c:v>
                </c:pt>
                <c:pt idx="852">
                  <c:v>677.64536374242232</c:v>
                </c:pt>
                <c:pt idx="853">
                  <c:v>677.64536374242232</c:v>
                </c:pt>
                <c:pt idx="854">
                  <c:v>677.64536374242232</c:v>
                </c:pt>
                <c:pt idx="855">
                  <c:v>677.64536374242232</c:v>
                </c:pt>
                <c:pt idx="856">
                  <c:v>677.64536374242232</c:v>
                </c:pt>
                <c:pt idx="857">
                  <c:v>677.64536374242232</c:v>
                </c:pt>
                <c:pt idx="858">
                  <c:v>677.64536374242232</c:v>
                </c:pt>
                <c:pt idx="859">
                  <c:v>677.64536374242232</c:v>
                </c:pt>
                <c:pt idx="860">
                  <c:v>677.64536374242232</c:v>
                </c:pt>
                <c:pt idx="861">
                  <c:v>677.64536374242232</c:v>
                </c:pt>
                <c:pt idx="862">
                  <c:v>677.64536374242232</c:v>
                </c:pt>
                <c:pt idx="863">
                  <c:v>677.64536374242232</c:v>
                </c:pt>
                <c:pt idx="864">
                  <c:v>677.64536374242232</c:v>
                </c:pt>
                <c:pt idx="865">
                  <c:v>677.64536374242232</c:v>
                </c:pt>
                <c:pt idx="866">
                  <c:v>677.64536374242232</c:v>
                </c:pt>
                <c:pt idx="867">
                  <c:v>677.64536374242232</c:v>
                </c:pt>
                <c:pt idx="868">
                  <c:v>677.64536374242232</c:v>
                </c:pt>
                <c:pt idx="869">
                  <c:v>677.64536374242232</c:v>
                </c:pt>
                <c:pt idx="870">
                  <c:v>677.64536374242232</c:v>
                </c:pt>
                <c:pt idx="871">
                  <c:v>677.64536374242232</c:v>
                </c:pt>
                <c:pt idx="872">
                  <c:v>677.64536374242232</c:v>
                </c:pt>
                <c:pt idx="873">
                  <c:v>677.64536374242232</c:v>
                </c:pt>
                <c:pt idx="874">
                  <c:v>677.64536374242232</c:v>
                </c:pt>
                <c:pt idx="875">
                  <c:v>677.64536374242232</c:v>
                </c:pt>
                <c:pt idx="876">
                  <c:v>677.64536374242232</c:v>
                </c:pt>
                <c:pt idx="877">
                  <c:v>677.64536374242232</c:v>
                </c:pt>
                <c:pt idx="878">
                  <c:v>677.64536374242232</c:v>
                </c:pt>
                <c:pt idx="879">
                  <c:v>677.64536374242232</c:v>
                </c:pt>
                <c:pt idx="880">
                  <c:v>677.64536374242232</c:v>
                </c:pt>
                <c:pt idx="881">
                  <c:v>677.64536374242232</c:v>
                </c:pt>
                <c:pt idx="882">
                  <c:v>677.64536374242232</c:v>
                </c:pt>
                <c:pt idx="883">
                  <c:v>677.64536374242232</c:v>
                </c:pt>
                <c:pt idx="884">
                  <c:v>677.64536374242232</c:v>
                </c:pt>
                <c:pt idx="885">
                  <c:v>677.64536374242232</c:v>
                </c:pt>
                <c:pt idx="886">
                  <c:v>677.64536374242232</c:v>
                </c:pt>
                <c:pt idx="887">
                  <c:v>677.64536374242232</c:v>
                </c:pt>
                <c:pt idx="888">
                  <c:v>677.64536374242232</c:v>
                </c:pt>
                <c:pt idx="889">
                  <c:v>677.64536374242232</c:v>
                </c:pt>
                <c:pt idx="890">
                  <c:v>677.64536374242232</c:v>
                </c:pt>
                <c:pt idx="891">
                  <c:v>677.64536374242232</c:v>
                </c:pt>
                <c:pt idx="892">
                  <c:v>677.64536374242232</c:v>
                </c:pt>
                <c:pt idx="893">
                  <c:v>677.64536374242232</c:v>
                </c:pt>
                <c:pt idx="894">
                  <c:v>677.64536374242232</c:v>
                </c:pt>
                <c:pt idx="895">
                  <c:v>677.64536374242232</c:v>
                </c:pt>
                <c:pt idx="896">
                  <c:v>677.64536374242232</c:v>
                </c:pt>
                <c:pt idx="897">
                  <c:v>677.64536374242232</c:v>
                </c:pt>
                <c:pt idx="898">
                  <c:v>677.64536374242232</c:v>
                </c:pt>
                <c:pt idx="899">
                  <c:v>677.64536374242232</c:v>
                </c:pt>
                <c:pt idx="900">
                  <c:v>677.64536374242232</c:v>
                </c:pt>
                <c:pt idx="901">
                  <c:v>677.64536374242232</c:v>
                </c:pt>
                <c:pt idx="902">
                  <c:v>677.64536374242232</c:v>
                </c:pt>
                <c:pt idx="903">
                  <c:v>677.64536374242232</c:v>
                </c:pt>
                <c:pt idx="904">
                  <c:v>677.64536374242232</c:v>
                </c:pt>
                <c:pt idx="905">
                  <c:v>677.64536374242232</c:v>
                </c:pt>
                <c:pt idx="906">
                  <c:v>677.64536374242232</c:v>
                </c:pt>
                <c:pt idx="907">
                  <c:v>677.64536374242232</c:v>
                </c:pt>
                <c:pt idx="908">
                  <c:v>677.64536374242232</c:v>
                </c:pt>
                <c:pt idx="909">
                  <c:v>677.64536374242232</c:v>
                </c:pt>
                <c:pt idx="910">
                  <c:v>677.64536374242232</c:v>
                </c:pt>
                <c:pt idx="911">
                  <c:v>677.64536374242232</c:v>
                </c:pt>
                <c:pt idx="912">
                  <c:v>677.64536374242232</c:v>
                </c:pt>
                <c:pt idx="913">
                  <c:v>677.64536374242232</c:v>
                </c:pt>
                <c:pt idx="914">
                  <c:v>677.64536374242232</c:v>
                </c:pt>
                <c:pt idx="915">
                  <c:v>677.64536374242232</c:v>
                </c:pt>
                <c:pt idx="916">
                  <c:v>677.64536374242232</c:v>
                </c:pt>
                <c:pt idx="917">
                  <c:v>677.64536374242232</c:v>
                </c:pt>
                <c:pt idx="918">
                  <c:v>677.64536374242232</c:v>
                </c:pt>
                <c:pt idx="919">
                  <c:v>677.64536374242232</c:v>
                </c:pt>
                <c:pt idx="920">
                  <c:v>677.64536374242232</c:v>
                </c:pt>
                <c:pt idx="921">
                  <c:v>677.64536374242232</c:v>
                </c:pt>
                <c:pt idx="922">
                  <c:v>677.64536374242232</c:v>
                </c:pt>
                <c:pt idx="923">
                  <c:v>677.64536374242232</c:v>
                </c:pt>
                <c:pt idx="924">
                  <c:v>677.64536374242232</c:v>
                </c:pt>
                <c:pt idx="925">
                  <c:v>677.64536374242232</c:v>
                </c:pt>
                <c:pt idx="926">
                  <c:v>677.64536374242232</c:v>
                </c:pt>
                <c:pt idx="927">
                  <c:v>677.64536374242232</c:v>
                </c:pt>
                <c:pt idx="928">
                  <c:v>677.64536374242232</c:v>
                </c:pt>
                <c:pt idx="929">
                  <c:v>677.64536374242232</c:v>
                </c:pt>
                <c:pt idx="930">
                  <c:v>677.64536374242232</c:v>
                </c:pt>
                <c:pt idx="931">
                  <c:v>677.64536374242232</c:v>
                </c:pt>
                <c:pt idx="932">
                  <c:v>677.64536374242232</c:v>
                </c:pt>
                <c:pt idx="933">
                  <c:v>677.64536374242232</c:v>
                </c:pt>
                <c:pt idx="934">
                  <c:v>677.64536374242232</c:v>
                </c:pt>
                <c:pt idx="935">
                  <c:v>677.64536374242232</c:v>
                </c:pt>
                <c:pt idx="936">
                  <c:v>677.64536374242232</c:v>
                </c:pt>
                <c:pt idx="937">
                  <c:v>677.64536374242232</c:v>
                </c:pt>
                <c:pt idx="938">
                  <c:v>677.64536374242232</c:v>
                </c:pt>
                <c:pt idx="939">
                  <c:v>677.64536374242232</c:v>
                </c:pt>
                <c:pt idx="940">
                  <c:v>677.64536374242232</c:v>
                </c:pt>
                <c:pt idx="941">
                  <c:v>677.64536374242232</c:v>
                </c:pt>
                <c:pt idx="942">
                  <c:v>677.64536374242232</c:v>
                </c:pt>
                <c:pt idx="943">
                  <c:v>677.64536374242232</c:v>
                </c:pt>
                <c:pt idx="944">
                  <c:v>677.64536374242232</c:v>
                </c:pt>
                <c:pt idx="945">
                  <c:v>677.64536374242232</c:v>
                </c:pt>
                <c:pt idx="946">
                  <c:v>677.64536374242232</c:v>
                </c:pt>
                <c:pt idx="947">
                  <c:v>677.64536374242232</c:v>
                </c:pt>
                <c:pt idx="948">
                  <c:v>677.64536374242232</c:v>
                </c:pt>
                <c:pt idx="949">
                  <c:v>677.64536374242232</c:v>
                </c:pt>
                <c:pt idx="950">
                  <c:v>677.64536374242232</c:v>
                </c:pt>
                <c:pt idx="951">
                  <c:v>677.64536374242232</c:v>
                </c:pt>
                <c:pt idx="952">
                  <c:v>677.64536374242232</c:v>
                </c:pt>
                <c:pt idx="953">
                  <c:v>677.64536374242232</c:v>
                </c:pt>
                <c:pt idx="954">
                  <c:v>677.64536374242232</c:v>
                </c:pt>
                <c:pt idx="955">
                  <c:v>677.64536374242232</c:v>
                </c:pt>
                <c:pt idx="956">
                  <c:v>677.64536374242232</c:v>
                </c:pt>
                <c:pt idx="957">
                  <c:v>677.64536374242232</c:v>
                </c:pt>
                <c:pt idx="958">
                  <c:v>677.64536374242232</c:v>
                </c:pt>
                <c:pt idx="959">
                  <c:v>677.64536374242232</c:v>
                </c:pt>
                <c:pt idx="960">
                  <c:v>677.64536374242232</c:v>
                </c:pt>
                <c:pt idx="961">
                  <c:v>677.64536374242232</c:v>
                </c:pt>
                <c:pt idx="962">
                  <c:v>677.64536374242232</c:v>
                </c:pt>
                <c:pt idx="963">
                  <c:v>677.64536374242232</c:v>
                </c:pt>
                <c:pt idx="964">
                  <c:v>677.64536374242232</c:v>
                </c:pt>
                <c:pt idx="965">
                  <c:v>677.64536374242232</c:v>
                </c:pt>
                <c:pt idx="966">
                  <c:v>677.64536374242232</c:v>
                </c:pt>
                <c:pt idx="967">
                  <c:v>677.64536374242232</c:v>
                </c:pt>
                <c:pt idx="968">
                  <c:v>677.64536374242232</c:v>
                </c:pt>
                <c:pt idx="969">
                  <c:v>677.64536374242232</c:v>
                </c:pt>
                <c:pt idx="970">
                  <c:v>677.64536374242232</c:v>
                </c:pt>
                <c:pt idx="971">
                  <c:v>677.64536374242232</c:v>
                </c:pt>
                <c:pt idx="972">
                  <c:v>677.64536374242232</c:v>
                </c:pt>
                <c:pt idx="973">
                  <c:v>677.64536374242232</c:v>
                </c:pt>
                <c:pt idx="974">
                  <c:v>677.64536374242232</c:v>
                </c:pt>
                <c:pt idx="975">
                  <c:v>677.64536374242232</c:v>
                </c:pt>
                <c:pt idx="976">
                  <c:v>677.64536374242232</c:v>
                </c:pt>
                <c:pt idx="977">
                  <c:v>677.64536374242232</c:v>
                </c:pt>
                <c:pt idx="978">
                  <c:v>677.64536374242232</c:v>
                </c:pt>
                <c:pt idx="979">
                  <c:v>677.64536374242232</c:v>
                </c:pt>
                <c:pt idx="980">
                  <c:v>677.64536374242232</c:v>
                </c:pt>
                <c:pt idx="981">
                  <c:v>677.64536374242232</c:v>
                </c:pt>
                <c:pt idx="982">
                  <c:v>677.64536374242232</c:v>
                </c:pt>
                <c:pt idx="983">
                  <c:v>677.64536374242232</c:v>
                </c:pt>
                <c:pt idx="984">
                  <c:v>677.64536374242232</c:v>
                </c:pt>
                <c:pt idx="985">
                  <c:v>677.64536374242232</c:v>
                </c:pt>
                <c:pt idx="986">
                  <c:v>677.64536374242232</c:v>
                </c:pt>
                <c:pt idx="987">
                  <c:v>677.64536374242232</c:v>
                </c:pt>
                <c:pt idx="988">
                  <c:v>677.64536374242232</c:v>
                </c:pt>
                <c:pt idx="989">
                  <c:v>677.64536374242232</c:v>
                </c:pt>
                <c:pt idx="990">
                  <c:v>677.64536374242232</c:v>
                </c:pt>
                <c:pt idx="991">
                  <c:v>677.64536374242232</c:v>
                </c:pt>
                <c:pt idx="992">
                  <c:v>677.64536374242232</c:v>
                </c:pt>
                <c:pt idx="993">
                  <c:v>677.64536374242232</c:v>
                </c:pt>
                <c:pt idx="994">
                  <c:v>677.64536374242232</c:v>
                </c:pt>
                <c:pt idx="995">
                  <c:v>677.64536374242232</c:v>
                </c:pt>
                <c:pt idx="996">
                  <c:v>677.64536374242232</c:v>
                </c:pt>
                <c:pt idx="997">
                  <c:v>677.64536374242232</c:v>
                </c:pt>
                <c:pt idx="998">
                  <c:v>677.64536374242232</c:v>
                </c:pt>
                <c:pt idx="999">
                  <c:v>677.64536374242232</c:v>
                </c:pt>
                <c:pt idx="1000">
                  <c:v>677.64536374242232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883.12</c:v>
                </c:pt>
                <c:pt idx="1">
                  <c:v>885.04722432312724</c:v>
                </c:pt>
                <c:pt idx="2">
                  <c:v>886.97705860169447</c:v>
                </c:pt>
                <c:pt idx="3">
                  <c:v>888.91357576788494</c:v>
                </c:pt>
                <c:pt idx="4">
                  <c:v>890.85751191203963</c:v>
                </c:pt>
                <c:pt idx="5">
                  <c:v>892.80815548327644</c:v>
                </c:pt>
                <c:pt idx="6">
                  <c:v>894.76523589599708</c:v>
                </c:pt>
                <c:pt idx="7">
                  <c:v>896.72870302692411</c:v>
                </c:pt>
                <c:pt idx="8">
                  <c:v>898.6985067595491</c:v>
                </c:pt>
                <c:pt idx="9">
                  <c:v>900.67459698553307</c:v>
                </c:pt>
                <c:pt idx="10">
                  <c:v>902.65692360609626</c:v>
                </c:pt>
                <c:pt idx="11">
                  <c:v>904.64543653339706</c:v>
                </c:pt>
                <c:pt idx="12">
                  <c:v>906.64008569189991</c:v>
                </c:pt>
                <c:pt idx="13">
                  <c:v>908.6408210197327</c:v>
                </c:pt>
                <c:pt idx="14">
                  <c:v>910.64759247003269</c:v>
                </c:pt>
                <c:pt idx="15">
                  <c:v>912.66035001228204</c:v>
                </c:pt>
                <c:pt idx="16">
                  <c:v>914.67904363363164</c:v>
                </c:pt>
                <c:pt idx="17">
                  <c:v>916.70362334021422</c:v>
                </c:pt>
                <c:pt idx="18">
                  <c:v>918.73403915844608</c:v>
                </c:pt>
                <c:pt idx="19">
                  <c:v>920.77024113631762</c:v>
                </c:pt>
                <c:pt idx="20">
                  <c:v>922.81217934467247</c:v>
                </c:pt>
                <c:pt idx="21">
                  <c:v>924.8598038784753</c:v>
                </c:pt>
                <c:pt idx="22">
                  <c:v>926.91306485806865</c:v>
                </c:pt>
                <c:pt idx="23">
                  <c:v>928.97191243041732</c:v>
                </c:pt>
                <c:pt idx="24">
                  <c:v>931.03629677034246</c:v>
                </c:pt>
                <c:pt idx="25">
                  <c:v>933.10616808174314</c:v>
                </c:pt>
                <c:pt idx="26">
                  <c:v>935.18147659880708</c:v>
                </c:pt>
                <c:pt idx="27">
                  <c:v>937.26217258720931</c:v>
                </c:pt>
                <c:pt idx="28">
                  <c:v>939.34820634529933</c:v>
                </c:pt>
                <c:pt idx="29">
                  <c:v>941.4395282052767</c:v>
                </c:pt>
                <c:pt idx="30">
                  <c:v>943.5360885343548</c:v>
                </c:pt>
                <c:pt idx="31">
                  <c:v>945.63783773591297</c:v>
                </c:pt>
                <c:pt idx="32">
                  <c:v>947.74472625063686</c:v>
                </c:pt>
                <c:pt idx="33">
                  <c:v>949.85670455764671</c:v>
                </c:pt>
                <c:pt idx="34">
                  <c:v>951.9737231756144</c:v>
                </c:pt>
                <c:pt idx="35">
                  <c:v>954.09573266386826</c:v>
                </c:pt>
                <c:pt idx="36">
                  <c:v>956.2226836234862</c:v>
                </c:pt>
                <c:pt idx="37">
                  <c:v>958.35452669837684</c:v>
                </c:pt>
                <c:pt idx="38">
                  <c:v>960.49121257634874</c:v>
                </c:pt>
                <c:pt idx="39">
                  <c:v>962.63269199016815</c:v>
                </c:pt>
                <c:pt idx="40">
                  <c:v>964.77891571860437</c:v>
                </c:pt>
                <c:pt idx="41">
                  <c:v>966.92983458746357</c:v>
                </c:pt>
                <c:pt idx="42">
                  <c:v>969.08539947061024</c:v>
                </c:pt>
                <c:pt idx="43">
                  <c:v>971.24556129097732</c:v>
                </c:pt>
                <c:pt idx="44">
                  <c:v>973.41027102156386</c:v>
                </c:pt>
                <c:pt idx="45">
                  <c:v>975.57947968642122</c:v>
                </c:pt>
                <c:pt idx="46">
                  <c:v>977.75313836162695</c:v>
                </c:pt>
                <c:pt idx="47">
                  <c:v>979.93119817624688</c:v>
                </c:pt>
                <c:pt idx="48">
                  <c:v>982.11361031328556</c:v>
                </c:pt>
                <c:pt idx="49">
                  <c:v>984.30032601062419</c:v>
                </c:pt>
                <c:pt idx="50">
                  <c:v>986.49129656194725</c:v>
                </c:pt>
                <c:pt idx="51">
                  <c:v>988.68647331765692</c:v>
                </c:pt>
                <c:pt idx="52">
                  <c:v>990.8858076857756</c:v>
                </c:pt>
                <c:pt idx="53">
                  <c:v>993.08925113283669</c:v>
                </c:pt>
                <c:pt idx="54">
                  <c:v>995.29675518476324</c:v>
                </c:pt>
                <c:pt idx="55">
                  <c:v>997.50827142773494</c:v>
                </c:pt>
                <c:pt idx="56">
                  <c:v>999.72375150904361</c:v>
                </c:pt>
                <c:pt idx="57">
                  <c:v>1001.943147137936</c:v>
                </c:pt>
                <c:pt idx="58">
                  <c:v>1004.1664100864454</c:v>
                </c:pt>
                <c:pt idx="59">
                  <c:v>1006.3934921902115</c:v>
                </c:pt>
                <c:pt idx="60">
                  <c:v>1008.6243453492887</c:v>
                </c:pt>
                <c:pt idx="61">
                  <c:v>1010.8589215289412</c:v>
                </c:pt>
                <c:pt idx="62">
                  <c:v>1013.0971727604286</c:v>
                </c:pt>
                <c:pt idx="63">
                  <c:v>1015.3390318025245</c:v>
                </c:pt>
                <c:pt idx="64">
                  <c:v>1017.5843928270252</c:v>
                </c:pt>
                <c:pt idx="65">
                  <c:v>1019.833130822696</c:v>
                </c:pt>
                <c:pt idx="66">
                  <c:v>1022.0851209765161</c:v>
                </c:pt>
                <c:pt idx="67">
                  <c:v>1024.3402209400624</c:v>
                </c:pt>
                <c:pt idx="68">
                  <c:v>1026.5982531205573</c:v>
                </c:pt>
                <c:pt idx="69">
                  <c:v>1028.8589909307138</c:v>
                </c:pt>
                <c:pt idx="70">
                  <c:v>1031.1221450639896</c:v>
                </c:pt>
                <c:pt idx="71">
                  <c:v>1033.3873951758574</c:v>
                </c:pt>
                <c:pt idx="72">
                  <c:v>1035.6544215218846</c:v>
                </c:pt>
                <c:pt idx="73">
                  <c:v>1037.9229049746293</c:v>
                </c:pt>
                <c:pt idx="74">
                  <c:v>1040.1925270400793</c:v>
                </c:pt>
                <c:pt idx="75">
                  <c:v>1042.4629698736403</c:v>
                </c:pt>
                <c:pt idx="76">
                  <c:v>1044.7339162956689</c:v>
                </c:pt>
                <c:pt idx="77">
                  <c:v>1047.0050498065548</c:v>
                </c:pt>
                <c:pt idx="78">
                  <c:v>1049.2760546013526</c:v>
                </c:pt>
                <c:pt idx="79">
                  <c:v>1051.5466155839638</c:v>
                </c:pt>
                <c:pt idx="80">
                  <c:v>1053.816418380871</c:v>
                </c:pt>
                <c:pt idx="81">
                  <c:v>1056.0851869221869</c:v>
                </c:pt>
                <c:pt idx="82">
                  <c:v>1058.3527209342972</c:v>
                </c:pt>
                <c:pt idx="83">
                  <c:v>1060.6188581959623</c:v>
                </c:pt>
                <c:pt idx="84">
                  <c:v>1062.8834368772511</c:v>
                </c:pt>
                <c:pt idx="85">
                  <c:v>1065.1462955418474</c:v>
                </c:pt>
                <c:pt idx="86">
                  <c:v>1067.407273149242</c:v>
                </c:pt>
                <c:pt idx="87">
                  <c:v>1069.6662090568143</c:v>
                </c:pt>
                <c:pt idx="88">
                  <c:v>1071.9229430218022</c:v>
                </c:pt>
                <c:pt idx="89">
                  <c:v>1074.1773270758865</c:v>
                </c:pt>
                <c:pt idx="90">
                  <c:v>1076.4292373693206</c:v>
                </c:pt>
                <c:pt idx="91">
                  <c:v>1078.6785622371956</c:v>
                </c:pt>
                <c:pt idx="92">
                  <c:v>1080.9251902953195</c:v>
                </c:pt>
                <c:pt idx="93">
                  <c:v>1083.169013409248</c:v>
                </c:pt>
                <c:pt idx="94">
                  <c:v>1085.409929655468</c:v>
                </c:pt>
                <c:pt idx="95">
                  <c:v>1087.6478403367792</c:v>
                </c:pt>
                <c:pt idx="96">
                  <c:v>1089.8826470053405</c:v>
                </c:pt>
                <c:pt idx="97">
                  <c:v>1092.1142633392501</c:v>
                </c:pt>
                <c:pt idx="98">
                  <c:v>1094.3426269871832</c:v>
                </c:pt>
                <c:pt idx="99">
                  <c:v>1096.5676876270061</c:v>
                </c:pt>
                <c:pt idx="100">
                  <c:v>1098.7893950561586</c:v>
                </c:pt>
                <c:pt idx="101">
                  <c:v>1101.0076991911692</c:v>
                </c:pt>
                <c:pt idx="102">
                  <c:v>1103.2225500671618</c:v>
                </c:pt>
                <c:pt idx="103">
                  <c:v>1105.4338978373573</c:v>
                </c:pt>
                <c:pt idx="104">
                  <c:v>1107.6416927725677</c:v>
                </c:pt>
                <c:pt idx="105">
                  <c:v>1109.8458852606839</c:v>
                </c:pt>
                <c:pt idx="106">
                  <c:v>1112.0464258061577</c:v>
                </c:pt>
                <c:pt idx="107">
                  <c:v>1114.2432650294772</c:v>
                </c:pt>
                <c:pt idx="108">
                  <c:v>1116.4363536666356</c:v>
                </c:pt>
                <c:pt idx="109">
                  <c:v>1118.6256574154115</c:v>
                </c:pt>
                <c:pt idx="110">
                  <c:v>1120.8111717407921</c:v>
                </c:pt>
                <c:pt idx="111">
                  <c:v>1122.9929069464865</c:v>
                </c:pt>
                <c:pt idx="112">
                  <c:v>1125.170873287718</c:v>
                </c:pt>
                <c:pt idx="113">
                  <c:v>1127.3450809715271</c:v>
                </c:pt>
                <c:pt idx="114">
                  <c:v>1129.5155401570737</c:v>
                </c:pt>
                <c:pt idx="115">
                  <c:v>1131.6822609559365</c:v>
                </c:pt>
                <c:pt idx="116">
                  <c:v>1133.8452534324097</c:v>
                </c:pt>
                <c:pt idx="117">
                  <c:v>1136.004527603797</c:v>
                </c:pt>
                <c:pt idx="118">
                  <c:v>1138.1600934407049</c:v>
                </c:pt>
                <c:pt idx="119">
                  <c:v>1140.3119608673319</c:v>
                </c:pt>
                <c:pt idx="120">
                  <c:v>1142.460139761756</c:v>
                </c:pt>
                <c:pt idx="121">
                  <c:v>1144.604639956221</c:v>
                </c:pt>
                <c:pt idx="122">
                  <c:v>1146.745471237419</c:v>
                </c:pt>
                <c:pt idx="123">
                  <c:v>1148.8826433467716</c:v>
                </c:pt>
                <c:pt idx="124">
                  <c:v>1151.016165980709</c:v>
                </c:pt>
                <c:pt idx="125">
                  <c:v>1153.1460487909465</c:v>
                </c:pt>
                <c:pt idx="126">
                  <c:v>1155.2723013847583</c:v>
                </c:pt>
                <c:pt idx="127">
                  <c:v>1157.3949333252515</c:v>
                </c:pt>
                <c:pt idx="128">
                  <c:v>1159.513954131635</c:v>
                </c:pt>
                <c:pt idx="129">
                  <c:v>1161.6293732794886</c:v>
                </c:pt>
                <c:pt idx="130">
                  <c:v>1163.7412002010285</c:v>
                </c:pt>
                <c:pt idx="131">
                  <c:v>1165.8494442853716</c:v>
                </c:pt>
                <c:pt idx="132">
                  <c:v>1167.954114878798</c:v>
                </c:pt>
                <c:pt idx="133">
                  <c:v>1170.0552212850107</c:v>
                </c:pt>
                <c:pt idx="134">
                  <c:v>1172.1527727653938</c:v>
                </c:pt>
                <c:pt idx="135">
                  <c:v>1174.2467785392687</c:v>
                </c:pt>
                <c:pt idx="136">
                  <c:v>1176.3372477841481</c:v>
                </c:pt>
                <c:pt idx="137">
                  <c:v>1178.4241896359883</c:v>
                </c:pt>
                <c:pt idx="138">
                  <c:v>1180.50761318944</c:v>
                </c:pt>
                <c:pt idx="139">
                  <c:v>1182.5875274980956</c:v>
                </c:pt>
                <c:pt idx="140">
                  <c:v>1184.6639415747372</c:v>
                </c:pt>
                <c:pt idx="141">
                  <c:v>1186.7368643915802</c:v>
                </c:pt>
                <c:pt idx="142">
                  <c:v>1188.8063048805163</c:v>
                </c:pt>
                <c:pt idx="143">
                  <c:v>1190.8722719333553</c:v>
                </c:pt>
                <c:pt idx="144">
                  <c:v>1192.9347744020629</c:v>
                </c:pt>
                <c:pt idx="145">
                  <c:v>1194.9938210989997</c:v>
                </c:pt>
                <c:pt idx="146">
                  <c:v>1197.0494207971553</c:v>
                </c:pt>
                <c:pt idx="147">
                  <c:v>1199.1015822303834</c:v>
                </c:pt>
                <c:pt idx="148">
                  <c:v>1201.1503140936331</c:v>
                </c:pt>
                <c:pt idx="149">
                  <c:v>1203.1956250431795</c:v>
                </c:pt>
                <c:pt idx="150">
                  <c:v>1205.2375236968523</c:v>
                </c:pt>
                <c:pt idx="151">
                  <c:v>1207.2760186342632</c:v>
                </c:pt>
                <c:pt idx="152">
                  <c:v>1209.3111183970304</c:v>
                </c:pt>
                <c:pt idx="153">
                  <c:v>1211.3428314890027</c:v>
                </c:pt>
                <c:pt idx="154">
                  <c:v>1213.3711663764814</c:v>
                </c:pt>
                <c:pt idx="155">
                  <c:v>1215.3961314884402</c:v>
                </c:pt>
                <c:pt idx="156">
                  <c:v>1217.4177352167449</c:v>
                </c:pt>
                <c:pt idx="157">
                  <c:v>1219.4359859163685</c:v>
                </c:pt>
                <c:pt idx="158">
                  <c:v>1221.4508919056091</c:v>
                </c:pt>
                <c:pt idx="159">
                  <c:v>1223.4624614663016</c:v>
                </c:pt>
                <c:pt idx="160">
                  <c:v>1225.4707028440314</c:v>
                </c:pt>
                <c:pt idx="161">
                  <c:v>1227.4756242483445</c:v>
                </c:pt>
                <c:pt idx="162">
                  <c:v>1229.4772338529569</c:v>
                </c:pt>
                <c:pt idx="163">
                  <c:v>1231.475539795962</c:v>
                </c:pt>
                <c:pt idx="164">
                  <c:v>1233.4705501800372</c:v>
                </c:pt>
                <c:pt idx="165">
                  <c:v>1235.4622730726483</c:v>
                </c:pt>
                <c:pt idx="166">
                  <c:v>1237.4507165062523</c:v>
                </c:pt>
                <c:pt idx="167">
                  <c:v>1239.4358884784997</c:v>
                </c:pt>
                <c:pt idx="168">
                  <c:v>1241.4177969524344</c:v>
                </c:pt>
                <c:pt idx="169">
                  <c:v>1243.3964498566927</c:v>
                </c:pt>
                <c:pt idx="170">
                  <c:v>1245.3718550857</c:v>
                </c:pt>
                <c:pt idx="171">
                  <c:v>1247.3440204998674</c:v>
                </c:pt>
                <c:pt idx="172">
                  <c:v>1249.3129539257861</c:v>
                </c:pt>
                <c:pt idx="173">
                  <c:v>1251.27866315642</c:v>
                </c:pt>
                <c:pt idx="174">
                  <c:v>1253.2411559512975</c:v>
                </c:pt>
                <c:pt idx="175">
                  <c:v>1255.2004400367025</c:v>
                </c:pt>
                <c:pt idx="176">
                  <c:v>1257.1565231058626</c:v>
                </c:pt>
                <c:pt idx="177">
                  <c:v>1259.1094128191369</c:v>
                </c:pt>
                <c:pt idx="178">
                  <c:v>1261.0591168042026</c:v>
                </c:pt>
                <c:pt idx="179">
                  <c:v>1263.0056426562394</c:v>
                </c:pt>
                <c:pt idx="180">
                  <c:v>1264.9489979381133</c:v>
                </c:pt>
                <c:pt idx="181">
                  <c:v>1266.8891901805591</c:v>
                </c:pt>
                <c:pt idx="182">
                  <c:v>1268.8262268823614</c:v>
                </c:pt>
                <c:pt idx="183">
                  <c:v>1270.760115510534</c:v>
                </c:pt>
                <c:pt idx="184">
                  <c:v>1272.6908635004984</c:v>
                </c:pt>
                <c:pt idx="185">
                  <c:v>1274.6184782562614</c:v>
                </c:pt>
                <c:pt idx="186">
                  <c:v>1276.5429671505906</c:v>
                </c:pt>
                <c:pt idx="187">
                  <c:v>1278.4643375251894</c:v>
                </c:pt>
                <c:pt idx="188">
                  <c:v>1280.3825966908701</c:v>
                </c:pt>
                <c:pt idx="189">
                  <c:v>1282.297751927726</c:v>
                </c:pt>
                <c:pt idx="190">
                  <c:v>1284.2098104853035</c:v>
                </c:pt>
                <c:pt idx="191">
                  <c:v>1286.1187795827707</c:v>
                </c:pt>
                <c:pt idx="192">
                  <c:v>1288.0246664090866</c:v>
                </c:pt>
                <c:pt idx="193">
                  <c:v>1289.9274781231684</c:v>
                </c:pt>
                <c:pt idx="194">
                  <c:v>1291.8272218540578</c:v>
                </c:pt>
                <c:pt idx="195">
                  <c:v>1293.7239047010867</c:v>
                </c:pt>
                <c:pt idx="196">
                  <c:v>1295.6175337340399</c:v>
                </c:pt>
                <c:pt idx="197">
                  <c:v>1297.5081159933188</c:v>
                </c:pt>
                <c:pt idx="198">
                  <c:v>1299.3956584901036</c:v>
                </c:pt>
                <c:pt idx="199">
                  <c:v>1301.2801682065126</c:v>
                </c:pt>
                <c:pt idx="200">
                  <c:v>1303.1616520957625</c:v>
                </c:pt>
                <c:pt idx="201">
                  <c:v>1321.810606818723</c:v>
                </c:pt>
                <c:pt idx="202">
                  <c:v>1340.1614272177399</c:v>
                </c:pt>
                <c:pt idx="203">
                  <c:v>1358.2207960033118</c:v>
                </c:pt>
                <c:pt idx="204">
                  <c:v>1375.9951268880332</c:v>
                </c:pt>
                <c:pt idx="205">
                  <c:v>1393.4905787635607</c:v>
                </c:pt>
                <c:pt idx="206">
                  <c:v>1410.7130689442679</c:v>
                </c:pt>
                <c:pt idx="207">
                  <c:v>1427.6682855506911</c:v>
                </c:pt>
                <c:pt idx="208">
                  <c:v>1444.3616990992514</c:v>
                </c:pt>
                <c:pt idx="209">
                  <c:v>1460.798573358793</c:v>
                </c:pt>
                <c:pt idx="210">
                  <c:v>1476.9839755291316</c:v>
                </c:pt>
                <c:pt idx="211">
                  <c:v>1492.9227857920046</c:v>
                </c:pt>
                <c:pt idx="212">
                  <c:v>1508.6197062804756</c:v>
                </c:pt>
                <c:pt idx="213">
                  <c:v>1524.0792695089358</c:v>
                </c:pt>
                <c:pt idx="214">
                  <c:v>1539.3058463023081</c:v>
                </c:pt>
                <c:pt idx="215">
                  <c:v>1554.3036532598612</c:v>
                </c:pt>
                <c:pt idx="216">
                  <c:v>1569.0767597861413</c:v>
                </c:pt>
                <c:pt idx="217">
                  <c:v>1583.6290947188966</c:v>
                </c:pt>
                <c:pt idx="218">
                  <c:v>1597.9644525814851</c:v>
                </c:pt>
                <c:pt idx="219">
                  <c:v>1612.0864994850797</c:v>
                </c:pt>
                <c:pt idx="220">
                  <c:v>1625.9987787040059</c:v>
                </c:pt>
                <c:pt idx="221">
                  <c:v>1639.7047159457502</c:v>
                </c:pt>
                <c:pt idx="222">
                  <c:v>1653.2076243355259</c:v>
                </c:pt>
                <c:pt idx="223">
                  <c:v>1666.5107091337838</c:v>
                </c:pt>
                <c:pt idx="224">
                  <c:v>1679.6170722036809</c:v>
                </c:pt>
                <c:pt idx="225">
                  <c:v>1692.5297162442623</c:v>
                </c:pt>
                <c:pt idx="226">
                  <c:v>1705.251548803961</c:v>
                </c:pt>
                <c:pt idx="227">
                  <c:v>1717.7853860879609</c:v>
                </c:pt>
                <c:pt idx="228">
                  <c:v>1730.1339565720009</c:v>
                </c:pt>
                <c:pt idx="229">
                  <c:v>1742.2999044343069</c:v>
                </c:pt>
                <c:pt idx="230">
                  <c:v>1754.285792816517</c:v>
                </c:pt>
                <c:pt idx="231">
                  <c:v>1766.0941069237124</c:v>
                </c:pt>
                <c:pt idx="232">
                  <c:v>1777.7272569729721</c:v>
                </c:pt>
                <c:pt idx="233">
                  <c:v>1789.1875809992273</c:v>
                </c:pt>
                <c:pt idx="234">
                  <c:v>1800.4773475266006</c:v>
                </c:pt>
                <c:pt idx="235">
                  <c:v>1811.5987581128704</c:v>
                </c:pt>
                <c:pt idx="236">
                  <c:v>1822.5539497741931</c:v>
                </c:pt>
                <c:pt idx="237">
                  <c:v>1833.3449972967521</c:v>
                </c:pt>
                <c:pt idx="238">
                  <c:v>1843.9739154415688</c:v>
                </c:pt>
                <c:pt idx="239">
                  <c:v>1854.442661048309</c:v>
                </c:pt>
                <c:pt idx="240">
                  <c:v>1864.7531350435495</c:v>
                </c:pt>
                <c:pt idx="241">
                  <c:v>1874.9071843586241</c:v>
                </c:pt>
                <c:pt idx="242">
                  <c:v>1884.9066037618463</c:v>
                </c:pt>
                <c:pt idx="243">
                  <c:v>1894.7531376096131</c:v>
                </c:pt>
                <c:pt idx="244">
                  <c:v>1904.4484815206142</c:v>
                </c:pt>
                <c:pt idx="245">
                  <c:v>1913.9942839771147</c:v>
                </c:pt>
                <c:pt idx="246">
                  <c:v>1923.3921478570421</c:v>
                </c:pt>
                <c:pt idx="247">
                  <c:v>1932.6436319003826</c:v>
                </c:pt>
                <c:pt idx="248">
                  <c:v>1941.7502521131855</c:v>
                </c:pt>
                <c:pt idx="249">
                  <c:v>1950.7134831122814</c:v>
                </c:pt>
                <c:pt idx="250">
                  <c:v>1959.5347594136358</c:v>
                </c:pt>
                <c:pt idx="251">
                  <c:v>1968.215476667094</c:v>
                </c:pt>
                <c:pt idx="252">
                  <c:v>1976.7569928401142</c:v>
                </c:pt>
                <c:pt idx="253">
                  <c:v>1985.1606293529376</c:v>
                </c:pt>
                <c:pt idx="254">
                  <c:v>1993.427672167506</c:v>
                </c:pt>
                <c:pt idx="255">
                  <c:v>2001.559372832309</c:v>
                </c:pt>
                <c:pt idx="256">
                  <c:v>2009.5569494852223</c:v>
                </c:pt>
                <c:pt idx="257">
                  <c:v>2017.4215878162811</c:v>
                </c:pt>
                <c:pt idx="258">
                  <c:v>2025.1544419922341</c:v>
                </c:pt>
                <c:pt idx="259">
                  <c:v>2032.756635544614</c:v>
                </c:pt>
                <c:pt idx="260">
                  <c:v>2040.2292622229759</c:v>
                </c:pt>
                <c:pt idx="261">
                  <c:v>2047.5733868148602</c:v>
                </c:pt>
                <c:pt idx="262">
                  <c:v>2054.7900459339589</c:v>
                </c:pt>
                <c:pt idx="263">
                  <c:v>2061.8802487778826</c:v>
                </c:pt>
                <c:pt idx="264">
                  <c:v>2068.8449778568552</c:v>
                </c:pt>
                <c:pt idx="265">
                  <c:v>2075.6851896945946</c:v>
                </c:pt>
                <c:pt idx="266">
                  <c:v>2082.4018155025728</c:v>
                </c:pt>
                <c:pt idx="267">
                  <c:v>2088.9957618287845</c:v>
                </c:pt>
                <c:pt idx="268">
                  <c:v>2095.4679111821029</c:v>
                </c:pt>
                <c:pt idx="269">
                  <c:v>2101.8191226332438</c:v>
                </c:pt>
                <c:pt idx="270">
                  <c:v>2108.0502323933056</c:v>
                </c:pt>
                <c:pt idx="271">
                  <c:v>2114.1620543708113</c:v>
                </c:pt>
                <c:pt idx="272">
                  <c:v>2120.1553807081273</c:v>
                </c:pt>
                <c:pt idx="273">
                  <c:v>2126.0309822980985</c:v>
                </c:pt>
                <c:pt idx="274">
                  <c:v>2131.7896092816891</c:v>
                </c:pt>
                <c:pt idx="275">
                  <c:v>2137.4319915273945</c:v>
                </c:pt>
                <c:pt idx="276">
                  <c:v>2142.9588390931394</c:v>
                </c:pt>
                <c:pt idx="277">
                  <c:v>2148.3708426713565</c:v>
                </c:pt>
                <c:pt idx="278">
                  <c:v>2153.668674017902</c:v>
                </c:pt>
                <c:pt idx="279">
                  <c:v>2158.8529863654367</c:v>
                </c:pt>
                <c:pt idx="280">
                  <c:v>2163.9244148218731</c:v>
                </c:pt>
                <c:pt idx="281">
                  <c:v>2168.883576754466</c:v>
                </c:pt>
                <c:pt idx="282">
                  <c:v>2173.7310721600943</c:v>
                </c:pt>
                <c:pt idx="283">
                  <c:v>2178.4674840222692</c:v>
                </c:pt>
                <c:pt idx="284">
                  <c:v>2183.0933786553715</c:v>
                </c:pt>
                <c:pt idx="285">
                  <c:v>2187.609306036612</c:v>
                </c:pt>
                <c:pt idx="286">
                  <c:v>2192.0158001261852</c:v>
                </c:pt>
                <c:pt idx="287">
                  <c:v>2196.3133791760752</c:v>
                </c:pt>
                <c:pt idx="288">
                  <c:v>2200.5025460279553</c:v>
                </c:pt>
                <c:pt idx="289">
                  <c:v>2204.583788400616</c:v>
                </c:pt>
                <c:pt idx="290">
                  <c:v>2208.5575791673405</c:v>
                </c:pt>
                <c:pt idx="291">
                  <c:v>2212.4243766236432</c:v>
                </c:pt>
                <c:pt idx="292">
                  <c:v>2216.1846247457788</c:v>
                </c:pt>
                <c:pt idx="293">
                  <c:v>2219.8387534404292</c:v>
                </c:pt>
                <c:pt idx="294">
                  <c:v>2223.3871787859739</c:v>
                </c:pt>
                <c:pt idx="295">
                  <c:v>2226.8303032657491</c:v>
                </c:pt>
                <c:pt idx="296">
                  <c:v>2230.1685159937169</c:v>
                </c:pt>
                <c:pt idx="297">
                  <c:v>2233.4021929329665</c:v>
                </c:pt>
                <c:pt idx="298">
                  <c:v>2236.5316971074885</c:v>
                </c:pt>
                <c:pt idx="299">
                  <c:v>2239.5573788076913</c:v>
                </c:pt>
                <c:pt idx="300">
                  <c:v>2242.4795757901447</c:v>
                </c:pt>
                <c:pt idx="301">
                  <c:v>2245.2986134720795</c:v>
                </c:pt>
                <c:pt idx="302">
                  <c:v>2248.0148051212163</c:v>
                </c:pt>
                <c:pt idx="303">
                  <c:v>2250.6284520415493</c:v>
                </c:pt>
                <c:pt idx="304">
                  <c:v>2253.1398437557777</c:v>
                </c:pt>
                <c:pt idx="305">
                  <c:v>2255.5492581851718</c:v>
                </c:pt>
                <c:pt idx="306">
                  <c:v>2257.856961827747</c:v>
                </c:pt>
                <c:pt idx="307">
                  <c:v>2260.063209935754</c:v>
                </c:pt>
                <c:pt idx="308">
                  <c:v>2262.1682466936386</c:v>
                </c:pt>
                <c:pt idx="309">
                  <c:v>2264.1723053977998</c:v>
                </c:pt>
                <c:pt idx="310">
                  <c:v>2266.0756086396891</c:v>
                </c:pt>
                <c:pt idx="311">
                  <c:v>2267.8783684940418</c:v>
                </c:pt>
                <c:pt idx="312">
                  <c:v>2269.580786714329</c:v>
                </c:pt>
                <c:pt idx="313">
                  <c:v>2271.183054937856</c:v>
                </c:pt>
                <c:pt idx="314">
                  <c:v>2272.6853549033249</c:v>
                </c:pt>
                <c:pt idx="315">
                  <c:v>2274.0878586841172</c:v>
                </c:pt>
                <c:pt idx="316">
                  <c:v>2275.390728941039</c:v>
                </c:pt>
                <c:pt idx="317">
                  <c:v>2276.5941191987786</c:v>
                </c:pt>
                <c:pt idx="318">
                  <c:v>2277.6981741508475</c:v>
                </c:pt>
                <c:pt idx="319">
                  <c:v>2278.7030299982544</c:v>
                </c:pt>
                <c:pt idx="320">
                  <c:v>2279.6088148275594</c:v>
                </c:pt>
                <c:pt idx="321">
                  <c:v>2280.4156490341652</c:v>
                </c:pt>
                <c:pt idx="322">
                  <c:v>2281.1236457966493</c:v>
                </c:pt>
                <c:pt idx="323">
                  <c:v>2281.7329116074857</c:v>
                </c:pt>
                <c:pt idx="324">
                  <c:v>2282.2435468645308</c:v>
                </c:pt>
                <c:pt idx="325">
                  <c:v>2282.6556465260455</c:v>
                </c:pt>
                <c:pt idx="326">
                  <c:v>2282.9693008297431</c:v>
                </c:pt>
                <c:pt idx="327">
                  <c:v>2283.1845960734186</c:v>
                </c:pt>
                <c:pt idx="328">
                  <c:v>2283.3016154512825</c:v>
                </c:pt>
                <c:pt idx="329">
                  <c:v>2283.3204399364904</c:v>
                </c:pt>
                <c:pt idx="330">
                  <c:v>2283.2411491969215</c:v>
                </c:pt>
                <c:pt idx="331">
                  <c:v>2283.0638225284806</c:v>
                </c:pt>
                <c:pt idx="332">
                  <c:v>2282.7885397884984</c:v>
                </c:pt>
                <c:pt idx="333">
                  <c:v>2282.4153823114448</c:v>
                </c:pt>
                <c:pt idx="334">
                  <c:v>2281.9444337902323</c:v>
                </c:pt>
                <c:pt idx="335">
                  <c:v>2281.3757811086734</c:v>
                </c:pt>
                <c:pt idx="336">
                  <c:v>2280.7095151138346</c:v>
                </c:pt>
                <c:pt idx="337">
                  <c:v>2279.9457313206358</c:v>
                </c:pt>
                <c:pt idx="338">
                  <c:v>2279.084530544631</c:v>
                </c:pt>
                <c:pt idx="339">
                  <c:v>2278.1260194621332</c:v>
                </c:pt>
                <c:pt idx="340">
                  <c:v>2277.0703110994659</c:v>
                </c:pt>
                <c:pt idx="341">
                  <c:v>2275.9175252550676</c:v>
                </c:pt>
                <c:pt idx="342">
                  <c:v>2274.6677888594472</c:v>
                </c:pt>
                <c:pt idx="343">
                  <c:v>2273.3212362786703</c:v>
                </c:pt>
                <c:pt idx="344">
                  <c:v>2271.8780095672873</c:v>
                </c:pt>
                <c:pt idx="345">
                  <c:v>2270.338258676501</c:v>
                </c:pt>
                <c:pt idx="346">
                  <c:v>2268.7021416230377</c:v>
                </c:pt>
                <c:pt idx="347">
                  <c:v>2266.9698246237276</c:v>
                </c:pt>
                <c:pt idx="348">
                  <c:v>2265.1414822002776</c:v>
                </c:pt>
                <c:pt idx="349">
                  <c:v>2263.2172972581839</c:v>
                </c:pt>
                <c:pt idx="350">
                  <c:v>2261.1974611432306</c:v>
                </c:pt>
                <c:pt idx="351">
                  <c:v>2259.0821736785319</c:v>
                </c:pt>
                <c:pt idx="352">
                  <c:v>2256.871643184671</c:v>
                </c:pt>
                <c:pt idx="353">
                  <c:v>2254.566086485097</c:v>
                </c:pt>
                <c:pt idx="354">
                  <c:v>2252.165728898628</c:v>
                </c:pt>
                <c:pt idx="355">
                  <c:v>2249.6708042206305</c:v>
                </c:pt>
                <c:pt idx="356">
                  <c:v>2247.081554694199</c:v>
                </c:pt>
                <c:pt idx="357">
                  <c:v>2244.3982309724734</c:v>
                </c:pt>
                <c:pt idx="358">
                  <c:v>2241.6210920730496</c:v>
                </c:pt>
                <c:pt idx="359">
                  <c:v>2238.7504053253087</c:v>
                </c:pt>
                <c:pt idx="360">
                  <c:v>2235.7864463113642</c:v>
                </c:pt>
                <c:pt idx="361">
                  <c:v>2232.7294988012286</c:v>
                </c:pt>
                <c:pt idx="362">
                  <c:v>2229.5798546827214</c:v>
                </c:pt>
                <c:pt idx="363">
                  <c:v>2226.3378138865673</c:v>
                </c:pt>
                <c:pt idx="364">
                  <c:v>2223.003684307077</c:v>
                </c:pt>
                <c:pt idx="365">
                  <c:v>2219.5777817187527</c:v>
                </c:pt>
                <c:pt idx="366">
                  <c:v>2216.0604296891224</c:v>
                </c:pt>
                <c:pt idx="367">
                  <c:v>2212.4519594880717</c:v>
                </c:pt>
                <c:pt idx="368">
                  <c:v>2208.7527099939125</c:v>
                </c:pt>
                <c:pt idx="369">
                  <c:v>2204.9630275964028</c:v>
                </c:pt>
                <c:pt idx="370">
                  <c:v>2201.0832660969149</c:v>
                </c:pt>
                <c:pt idx="371">
                  <c:v>2197.1137866059294</c:v>
                </c:pt>
                <c:pt idx="372">
                  <c:v>2193.054957438017</c:v>
                </c:pt>
                <c:pt idx="373">
                  <c:v>2188.907154004462</c:v>
                </c:pt>
                <c:pt idx="374">
                  <c:v>2184.6707587036653</c:v>
                </c:pt>
                <c:pt idx="375">
                  <c:v>2180.3461608094613</c:v>
                </c:pt>
                <c:pt idx="376">
                  <c:v>2175.9337563574682</c:v>
                </c:pt>
                <c:pt idx="377">
                  <c:v>2171.4339480295962</c:v>
                </c:pt>
                <c:pt idx="378">
                  <c:v>2166.847145036817</c:v>
                </c:pt>
                <c:pt idx="379">
                  <c:v>2162.173763000309</c:v>
                </c:pt>
                <c:pt idx="380">
                  <c:v>2157.4142238310751</c:v>
                </c:pt>
                <c:pt idx="381">
                  <c:v>2152.5689556081361</c:v>
                </c:pt>
                <c:pt idx="382">
                  <c:v>2147.6383924553911</c:v>
                </c:pt>
                <c:pt idx="383">
                  <c:v>2142.6229744172433</c:v>
                </c:pt>
                <c:pt idx="384">
                  <c:v>2137.5231473330741</c:v>
                </c:pt>
                <c:pt idx="385">
                  <c:v>2132.3393627106616</c:v>
                </c:pt>
                <c:pt idx="386">
                  <c:v>2127.0720775986201</c:v>
                </c:pt>
                <c:pt idx="387">
                  <c:v>2121.7217544579544</c:v>
                </c:pt>
                <c:pt idx="388">
                  <c:v>2116.2888610328005</c:v>
                </c:pt>
                <c:pt idx="389">
                  <c:v>2110.7738702204433</c:v>
                </c:pt>
                <c:pt idx="390">
                  <c:v>2105.1772599406827</c:v>
                </c:pt>
                <c:pt idx="391">
                  <c:v>2099.4995130046282</c:v>
                </c:pt>
                <c:pt idx="392">
                  <c:v>2093.7411169829998</c:v>
                </c:pt>
                <c:pt idx="393">
                  <c:v>2087.9025640740069</c:v>
                </c:pt>
                <c:pt idx="394">
                  <c:v>2081.9843509708812</c:v>
                </c:pt>
                <c:pt idx="395">
                  <c:v>2075.9869787291336</c:v>
                </c:pt>
                <c:pt idx="396">
                  <c:v>2069.9109526336083</c:v>
                </c:pt>
                <c:pt idx="397">
                  <c:v>2063.7567820654026</c:v>
                </c:pt>
                <c:pt idx="398">
                  <c:v>2057.5249803687207</c:v>
                </c:pt>
                <c:pt idx="399">
                  <c:v>2051.2160647177293</c:v>
                </c:pt>
                <c:pt idx="400">
                  <c:v>2044.830555983481</c:v>
                </c:pt>
                <c:pt idx="401">
                  <c:v>2038.3689786009711</c:v>
                </c:pt>
                <c:pt idx="402">
                  <c:v>2031.8318604363899</c:v>
                </c:pt>
                <c:pt idx="403">
                  <c:v>2025.2197326546345</c:v>
                </c:pt>
                <c:pt idx="404">
                  <c:v>2018.5331295871401</c:v>
                </c:pt>
                <c:pt idx="405">
                  <c:v>2011.7725886000919</c:v>
                </c:pt>
                <c:pt idx="406">
                  <c:v>2004.938649963075</c:v>
                </c:pt>
                <c:pt idx="407">
                  <c:v>1998.0318567182203</c:v>
                </c:pt>
                <c:pt idx="408">
                  <c:v>1991.0527545499037</c:v>
                </c:pt>
                <c:pt idx="409">
                  <c:v>1984.0018916550507</c:v>
                </c:pt>
                <c:pt idx="410">
                  <c:v>1976.8798186141025</c:v>
                </c:pt>
                <c:pt idx="411">
                  <c:v>1969.6870882626949</c:v>
                </c:pt>
                <c:pt idx="412">
                  <c:v>1962.4242555640994</c:v>
                </c:pt>
                <c:pt idx="413">
                  <c:v>1955.0918774824788</c:v>
                </c:pt>
                <c:pt idx="414">
                  <c:v>1947.6905128570031</c:v>
                </c:pt>
                <c:pt idx="415">
                  <c:v>1940.2207222768729</c:v>
                </c:pt>
                <c:pt idx="416">
                  <c:v>1932.6830679572975</c:v>
                </c:pt>
                <c:pt idx="417">
                  <c:v>1925.0781136164678</c:v>
                </c:pt>
                <c:pt idx="418">
                  <c:v>1917.4064243535722</c:v>
                </c:pt>
                <c:pt idx="419">
                  <c:v>1909.6685665278908</c:v>
                </c:pt>
                <c:pt idx="420">
                  <c:v>1901.865107639012</c:v>
                </c:pt>
                <c:pt idx="421">
                  <c:v>1893.9966162082085</c:v>
                </c:pt>
                <c:pt idx="422">
                  <c:v>1886.0636616610084</c:v>
                </c:pt>
                <c:pt idx="423">
                  <c:v>1878.0668142109998</c:v>
                </c:pt>
                <c:pt idx="424">
                  <c:v>1870.006644744901</c:v>
                </c:pt>
                <c:pt idx="425">
                  <c:v>1861.8837247089291</c:v>
                </c:pt>
                <c:pt idx="426">
                  <c:v>1853.6986259965004</c:v>
                </c:pt>
                <c:pt idx="427">
                  <c:v>1845.4519208372892</c:v>
                </c:pt>
                <c:pt idx="428">
                  <c:v>1837.1441816876786</c:v>
                </c:pt>
                <c:pt idx="429">
                  <c:v>1828.7759811226244</c:v>
                </c:pt>
                <c:pt idx="430">
                  <c:v>1820.3478917289642</c:v>
                </c:pt>
                <c:pt idx="431">
                  <c:v>1811.8604860001906</c:v>
                </c:pt>
                <c:pt idx="432">
                  <c:v>1803.3143362327164</c:v>
                </c:pt>
                <c:pt idx="433">
                  <c:v>1794.7100144236508</c:v>
                </c:pt>
                <c:pt idx="434">
                  <c:v>1786.0480921701073</c:v>
                </c:pt>
                <c:pt idx="435">
                  <c:v>1777.3291405700636</c:v>
                </c:pt>
                <c:pt idx="436">
                  <c:v>1768.5537301247903</c:v>
                </c:pt>
                <c:pt idx="437">
                  <c:v>1759.7224306428659</c:v>
                </c:pt>
                <c:pt idx="438">
                  <c:v>1750.8358111457926</c:v>
                </c:pt>
                <c:pt idx="439">
                  <c:v>1741.8944397752271</c:v>
                </c:pt>
                <c:pt idx="440">
                  <c:v>1732.8988837018392</c:v>
                </c:pt>
                <c:pt idx="441">
                  <c:v>1723.8497090358105</c:v>
                </c:pt>
                <c:pt idx="442">
                  <c:v>1714.7474807389824</c:v>
                </c:pt>
                <c:pt idx="443">
                  <c:v>1705.5927625386626</c:v>
                </c:pt>
                <c:pt idx="444">
                  <c:v>1696.3861168430997</c:v>
                </c:pt>
                <c:pt idx="445">
                  <c:v>1687.1281046586307</c:v>
                </c:pt>
                <c:pt idx="446">
                  <c:v>1677.8192855085083</c:v>
                </c:pt>
                <c:pt idx="447">
                  <c:v>1668.4602173534126</c:v>
                </c:pt>
                <c:pt idx="448">
                  <c:v>1659.0514565136505</c:v>
                </c:pt>
                <c:pt idx="449">
                  <c:v>1649.5935575930444</c:v>
                </c:pt>
                <c:pt idx="450">
                  <c:v>1640.0870734045138</c:v>
                </c:pt>
                <c:pt idx="451">
                  <c:v>1630.5325548973485</c:v>
                </c:pt>
                <c:pt idx="452">
                  <c:v>1620.9305510861725</c:v>
                </c:pt>
                <c:pt idx="453">
                  <c:v>1611.2816089815992</c:v>
                </c:pt>
                <c:pt idx="454">
                  <c:v>1601.586273522573</c:v>
                </c:pt>
                <c:pt idx="455">
                  <c:v>1591.8450875103958</c:v>
                </c:pt>
                <c:pt idx="456">
                  <c:v>1582.0585915444328</c:v>
                </c:pt>
                <c:pt idx="457">
                  <c:v>1572.2273239594931</c:v>
                </c:pt>
                <c:pt idx="458">
                  <c:v>1562.3518207648794</c:v>
                </c:pt>
                <c:pt idx="459">
                  <c:v>1552.4326155850997</c:v>
                </c:pt>
                <c:pt idx="460">
                  <c:v>1542.4702396022319</c:v>
                </c:pt>
                <c:pt idx="461">
                  <c:v>1532.4652214999371</c:v>
                </c:pt>
                <c:pt idx="462">
                  <c:v>1522.4180874091071</c:v>
                </c:pt>
                <c:pt idx="463">
                  <c:v>1512.3293608551403</c:v>
                </c:pt>
                <c:pt idx="464">
                  <c:v>1502.1995627068345</c:v>
                </c:pt>
                <c:pt idx="465">
                  <c:v>1492.0292111268845</c:v>
                </c:pt>
                <c:pt idx="466">
                  <c:v>1481.8188215239732</c:v>
                </c:pt>
                <c:pt idx="467">
                  <c:v>1471.5689065064444</c:v>
                </c:pt>
                <c:pt idx="468">
                  <c:v>1461.2799758375434</c:v>
                </c:pt>
                <c:pt idx="469">
                  <c:v>1450.9525363922128</c:v>
                </c:pt>
                <c:pt idx="470">
                  <c:v>1440.5870921154285</c:v>
                </c:pt>
                <c:pt idx="471">
                  <c:v>1430.184143982061</c:v>
                </c:pt>
                <c:pt idx="472">
                  <c:v>1419.7441899582482</c:v>
                </c:pt>
                <c:pt idx="473">
                  <c:v>1409.2677249642634</c:v>
                </c:pt>
                <c:pt idx="474">
                  <c:v>1398.7552408388624</c:v>
                </c:pt>
                <c:pt idx="475">
                  <c:v>1388.2072263050927</c:v>
                </c:pt>
                <c:pt idx="476">
                  <c:v>1377.6241669375488</c:v>
                </c:pt>
                <c:pt idx="477">
                  <c:v>1367.0065451310563</c:v>
                </c:pt>
                <c:pt idx="478">
                  <c:v>1356.3548400707675</c:v>
                </c:pt>
                <c:pt idx="479">
                  <c:v>1345.6695277036486</c:v>
                </c:pt>
                <c:pt idx="480">
                  <c:v>1334.9510807113427</c:v>
                </c:pt>
                <c:pt idx="481">
                  <c:v>1324.1999684843897</c:v>
                </c:pt>
                <c:pt idx="482">
                  <c:v>1313.4166570977823</c:v>
                </c:pt>
                <c:pt idx="483">
                  <c:v>1302.601609287841</c:v>
                </c:pt>
                <c:pt idx="484">
                  <c:v>1291.7552844303893</c:v>
                </c:pt>
                <c:pt idx="485">
                  <c:v>1280.8781385202074</c:v>
                </c:pt>
                <c:pt idx="486">
                  <c:v>1269.9706241517456</c:v>
                </c:pt>
                <c:pt idx="487">
                  <c:v>1259.0331905010801</c:v>
                </c:pt>
                <c:pt idx="488">
                  <c:v>1248.0662833090857</c:v>
                </c:pt>
                <c:pt idx="489">
                  <c:v>1237.0703448658123</c:v>
                </c:pt>
                <c:pt idx="490">
                  <c:v>1226.0458139960376</c:v>
                </c:pt>
                <c:pt idx="491">
                  <c:v>1214.9931260459819</c:v>
                </c:pt>
                <c:pt idx="492">
                  <c:v>1203.9127128711602</c:v>
                </c:pt>
                <c:pt idx="493">
                  <c:v>1192.8050028253547</c:v>
                </c:pt>
                <c:pt idx="494">
                  <c:v>1181.670420750683</c:v>
                </c:pt>
                <c:pt idx="495">
                  <c:v>1170.5093879687452</c:v>
                </c:pt>
                <c:pt idx="496">
                  <c:v>1159.322322272827</c:v>
                </c:pt>
                <c:pt idx="497">
                  <c:v>1148.1096379211397</c:v>
                </c:pt>
                <c:pt idx="498">
                  <c:v>1136.8717456310744</c:v>
                </c:pt>
                <c:pt idx="499">
                  <c:v>1125.6090525744523</c:v>
                </c:pt>
                <c:pt idx="500">
                  <c:v>1114.3219623737484</c:v>
                </c:pt>
                <c:pt idx="501">
                  <c:v>1103.0108750992697</c:v>
                </c:pt>
                <c:pt idx="502">
                  <c:v>1091.6761872672655</c:v>
                </c:pt>
                <c:pt idx="503">
                  <c:v>1080.3182918389521</c:v>
                </c:pt>
                <c:pt idx="504">
                  <c:v>1068.937578220429</c:v>
                </c:pt>
                <c:pt idx="505">
                  <c:v>1057.5344322634674</c:v>
                </c:pt>
                <c:pt idx="506">
                  <c:v>1046.1092362671509</c:v>
                </c:pt>
                <c:pt idx="507">
                  <c:v>1034.6623689803489</c:v>
                </c:pt>
                <c:pt idx="508">
                  <c:v>1023.1942056050018</c:v>
                </c:pt>
                <c:pt idx="509">
                  <c:v>1011.7051178001979</c:v>
                </c:pt>
                <c:pt idx="510">
                  <c:v>1000.195473687024</c:v>
                </c:pt>
                <c:pt idx="511">
                  <c:v>988.66563785416929</c:v>
                </c:pt>
                <c:pt idx="512">
                  <c:v>977.11597136426224</c:v>
                </c:pt>
                <c:pt idx="513">
                  <c:v>965.54683176092294</c:v>
                </c:pt>
                <c:pt idx="514">
                  <c:v>953.95857307651113</c:v>
                </c:pt>
                <c:pt idx="515">
                  <c:v>942.35154584055056</c:v>
                </c:pt>
                <c:pt idx="516">
                  <c:v>930.72609708881191</c:v>
                </c:pt>
                <c:pt idx="517">
                  <c:v>919.08257037303554</c:v>
                </c:pt>
                <c:pt idx="518">
                  <c:v>907.42130577127512</c:v>
                </c:pt>
                <c:pt idx="519">
                  <c:v>895.74263989884491</c:v>
                </c:pt>
                <c:pt idx="520">
                  <c:v>884.04690591985286</c:v>
                </c:pt>
                <c:pt idx="521">
                  <c:v>872.33443355930046</c:v>
                </c:pt>
                <c:pt idx="522">
                  <c:v>860.60554911573399</c:v>
                </c:pt>
                <c:pt idx="523">
                  <c:v>848.86057547442806</c:v>
                </c:pt>
                <c:pt idx="524">
                  <c:v>837.09983212108546</c:v>
                </c:pt>
                <c:pt idx="525">
                  <c:v>825.32363515603629</c:v>
                </c:pt>
                <c:pt idx="526">
                  <c:v>813.53229730891974</c:v>
                </c:pt>
                <c:pt idx="527">
                  <c:v>801.72612795383168</c:v>
                </c:pt>
                <c:pt idx="528">
                  <c:v>789.90543312492321</c:v>
                </c:pt>
                <c:pt idx="529">
                  <c:v>778.07051553243309</c:v>
                </c:pt>
                <c:pt idx="530">
                  <c:v>766.22167457913895</c:v>
                </c:pt>
                <c:pt idx="531">
                  <c:v>754.35920637721131</c:v>
                </c:pt>
                <c:pt idx="532">
                  <c:v>742.48340376545673</c:v>
                </c:pt>
                <c:pt idx="533">
                  <c:v>730.59455632693323</c:v>
                </c:pt>
                <c:pt idx="534">
                  <c:v>718.6929504069243</c:v>
                </c:pt>
                <c:pt idx="535">
                  <c:v>706.77886913125781</c:v>
                </c:pt>
                <c:pt idx="536">
                  <c:v>694.85259242495363</c:v>
                </c:pt>
                <c:pt idx="537">
                  <c:v>682.91439703118829</c:v>
                </c:pt>
                <c:pt idx="538">
                  <c:v>670.96455653056114</c:v>
                </c:pt>
                <c:pt idx="539">
                  <c:v>659.00334136064998</c:v>
                </c:pt>
                <c:pt idx="540">
                  <c:v>647.03101883584156</c:v>
                </c:pt>
                <c:pt idx="541">
                  <c:v>635.04785316742539</c:v>
                </c:pt>
                <c:pt idx="542">
                  <c:v>623.05410548393729</c:v>
                </c:pt>
                <c:pt idx="543">
                  <c:v>611.05003385174018</c:v>
                </c:pt>
                <c:pt idx="544">
                  <c:v>599.03589329583076</c:v>
                </c:pt>
                <c:pt idx="545">
                  <c:v>587.01193582085853</c:v>
                </c:pt>
                <c:pt idx="546">
                  <c:v>574.97841043234757</c:v>
                </c:pt>
                <c:pt idx="547">
                  <c:v>562.93556315810713</c:v>
                </c:pt>
                <c:pt idx="548">
                  <c:v>550.88363706982216</c:v>
                </c:pt>
                <c:pt idx="549">
                  <c:v>538.82287230481074</c:v>
                </c:pt>
                <c:pt idx="550">
                  <c:v>526.75350608793906</c:v>
                </c:pt>
                <c:pt idx="551">
                  <c:v>514.67577275368285</c:v>
                </c:pt>
                <c:pt idx="552">
                  <c:v>502.58990376832469</c:v>
                </c:pt>
                <c:pt idx="553">
                  <c:v>490.49612775227769</c:v>
                </c:pt>
                <c:pt idx="554">
                  <c:v>478.39467050252534</c:v>
                </c:pt>
                <c:pt idx="555">
                  <c:v>466.28575501516804</c:v>
                </c:pt>
                <c:pt idx="556">
                  <c:v>454.16960150806671</c:v>
                </c:pt>
                <c:pt idx="557">
                  <c:v>442.04642744357477</c:v>
                </c:pt>
                <c:pt idx="558">
                  <c:v>429.91644755134899</c:v>
                </c:pt>
                <c:pt idx="559">
                  <c:v>417.779873851231</c:v>
                </c:pt>
                <c:pt idx="560">
                  <c:v>405.63691567619048</c:v>
                </c:pt>
                <c:pt idx="561">
                  <c:v>393.4877796953221</c:v>
                </c:pt>
                <c:pt idx="562">
                  <c:v>381.33266993688812</c:v>
                </c:pt>
                <c:pt idx="563">
                  <c:v>369.17178781139825</c:v>
                </c:pt>
                <c:pt idx="564">
                  <c:v>357.00533213472005</c:v>
                </c:pt>
                <c:pt idx="565">
                  <c:v>344.83349915121153</c:v>
                </c:pt>
                <c:pt idx="566">
                  <c:v>332.65648255686909</c:v>
                </c:pt>
                <c:pt idx="567">
                  <c:v>320.47447352248378</c:v>
                </c:pt>
                <c:pt idx="568">
                  <c:v>308.28766071679888</c:v>
                </c:pt>
                <c:pt idx="569">
                  <c:v>296.09623032966226</c:v>
                </c:pt>
                <c:pt idx="570">
                  <c:v>283.90036609516687</c:v>
                </c:pt>
                <c:pt idx="571">
                  <c:v>271.70024931477332</c:v>
                </c:pt>
                <c:pt idx="572">
                  <c:v>259.49605888040804</c:v>
                </c:pt>
                <c:pt idx="573">
                  <c:v>247.28797129753173</c:v>
                </c:pt>
                <c:pt idx="574">
                  <c:v>235.07616070817167</c:v>
                </c:pt>
                <c:pt idx="575">
                  <c:v>222.86079891391287</c:v>
                </c:pt>
                <c:pt idx="576">
                  <c:v>210.64205539884233</c:v>
                </c:pt>
                <c:pt idx="577">
                  <c:v>198.42009735244136</c:v>
                </c:pt>
                <c:pt idx="578">
                  <c:v>186.19508969242079</c:v>
                </c:pt>
                <c:pt idx="579">
                  <c:v>173.96719508749439</c:v>
                </c:pt>
                <c:pt idx="580">
                  <c:v>161.73657398008547</c:v>
                </c:pt>
                <c:pt idx="581">
                  <c:v>149.50338460896245</c:v>
                </c:pt>
                <c:pt idx="582">
                  <c:v>137.26778303179861</c:v>
                </c:pt>
                <c:pt idx="583">
                  <c:v>125.02992314765213</c:v>
                </c:pt>
                <c:pt idx="584">
                  <c:v>112.78995671936202</c:v>
                </c:pt>
                <c:pt idx="585">
                  <c:v>100.54803339585624</c:v>
                </c:pt>
                <c:pt idx="586">
                  <c:v>88.304300734367885</c:v>
                </c:pt>
                <c:pt idx="587">
                  <c:v>76.05890422255618</c:v>
                </c:pt>
                <c:pt idx="588">
                  <c:v>63.811987300528294</c:v>
                </c:pt>
                <c:pt idx="589">
                  <c:v>51.563691382758996</c:v>
                </c:pt>
                <c:pt idx="590">
                  <c:v>39.314155879904597</c:v>
                </c:pt>
                <c:pt idx="591">
                  <c:v>27.06351822050819</c:v>
                </c:pt>
                <c:pt idx="592">
                  <c:v>14.811913872593156</c:v>
                </c:pt>
                <c:pt idx="593">
                  <c:v>2.5594763651420589</c:v>
                </c:pt>
                <c:pt idx="594">
                  <c:v>-9.6936626905418191</c:v>
                </c:pt>
                <c:pt idx="595">
                  <c:v>-9.7059161479608953</c:v>
                </c:pt>
                <c:pt idx="596">
                  <c:v>-9.7181696058873559</c:v>
                </c:pt>
                <c:pt idx="597">
                  <c:v>-9.730423064321073</c:v>
                </c:pt>
                <c:pt idx="598">
                  <c:v>-9.7426765232619204</c:v>
                </c:pt>
                <c:pt idx="599">
                  <c:v>-9.754929982709772</c:v>
                </c:pt>
                <c:pt idx="600">
                  <c:v>-9.7671834426644999</c:v>
                </c:pt>
                <c:pt idx="601">
                  <c:v>-9.779436903125978</c:v>
                </c:pt>
                <c:pt idx="602">
                  <c:v>-9.7916903640940802</c:v>
                </c:pt>
                <c:pt idx="603">
                  <c:v>-9.8039438255686786</c:v>
                </c:pt>
                <c:pt idx="604">
                  <c:v>-9.8161972875496453</c:v>
                </c:pt>
                <c:pt idx="605">
                  <c:v>-9.8284507500368559</c:v>
                </c:pt>
                <c:pt idx="606">
                  <c:v>-9.8407042130301825</c:v>
                </c:pt>
                <c:pt idx="607">
                  <c:v>-9.8529576765294973</c:v>
                </c:pt>
                <c:pt idx="608">
                  <c:v>-9.8652111405346741</c:v>
                </c:pt>
                <c:pt idx="609">
                  <c:v>-9.8774646050455868</c:v>
                </c:pt>
                <c:pt idx="610">
                  <c:v>-9.8897180700621075</c:v>
                </c:pt>
                <c:pt idx="611">
                  <c:v>-9.90197153558411</c:v>
                </c:pt>
                <c:pt idx="612">
                  <c:v>-9.9142250016114684</c:v>
                </c:pt>
                <c:pt idx="613">
                  <c:v>-9.9264784681440545</c:v>
                </c:pt>
                <c:pt idx="614">
                  <c:v>-9.9387319351817425</c:v>
                </c:pt>
                <c:pt idx="615">
                  <c:v>-9.950985402724406</c:v>
                </c:pt>
                <c:pt idx="616">
                  <c:v>-9.9632388707719173</c:v>
                </c:pt>
                <c:pt idx="617">
                  <c:v>-9.9754923393241501</c:v>
                </c:pt>
                <c:pt idx="618">
                  <c:v>-9.9877458083809767</c:v>
                </c:pt>
                <c:pt idx="619">
                  <c:v>-9.9999992779422708</c:v>
                </c:pt>
                <c:pt idx="620">
                  <c:v>-10.012252748007906</c:v>
                </c:pt>
                <c:pt idx="621">
                  <c:v>-10.024506218577756</c:v>
                </c:pt>
                <c:pt idx="622">
                  <c:v>-10.036759689651692</c:v>
                </c:pt>
                <c:pt idx="623">
                  <c:v>-10.04901316122959</c:v>
                </c:pt>
                <c:pt idx="624">
                  <c:v>-10.061266633311321</c:v>
                </c:pt>
                <c:pt idx="625">
                  <c:v>-10.07352010589676</c:v>
                </c:pt>
                <c:pt idx="626">
                  <c:v>-10.085773578985778</c:v>
                </c:pt>
                <c:pt idx="627">
                  <c:v>-10.098027052578249</c:v>
                </c:pt>
                <c:pt idx="628">
                  <c:v>-10.110280526674048</c:v>
                </c:pt>
                <c:pt idx="629">
                  <c:v>-10.122534001273046</c:v>
                </c:pt>
                <c:pt idx="630">
                  <c:v>-10.134787476375116</c:v>
                </c:pt>
                <c:pt idx="631">
                  <c:v>-10.147040951980134</c:v>
                </c:pt>
                <c:pt idx="632">
                  <c:v>-10.159294428087971</c:v>
                </c:pt>
                <c:pt idx="633">
                  <c:v>-10.171547904698501</c:v>
                </c:pt>
                <c:pt idx="634">
                  <c:v>-10.183801381811598</c:v>
                </c:pt>
                <c:pt idx="635">
                  <c:v>-10.196054859427134</c:v>
                </c:pt>
                <c:pt idx="636">
                  <c:v>-10.208308337544983</c:v>
                </c:pt>
                <c:pt idx="637">
                  <c:v>-10.220561816165018</c:v>
                </c:pt>
                <c:pt idx="638">
                  <c:v>-10.232815295287113</c:v>
                </c:pt>
                <c:pt idx="639">
                  <c:v>-10.24506877491114</c:v>
                </c:pt>
                <c:pt idx="640">
                  <c:v>-10.257322255036971</c:v>
                </c:pt>
                <c:pt idx="641">
                  <c:v>-10.269575735664482</c:v>
                </c:pt>
                <c:pt idx="642">
                  <c:v>-10.281829216793545</c:v>
                </c:pt>
                <c:pt idx="643">
                  <c:v>-10.294082698424035</c:v>
                </c:pt>
                <c:pt idx="644">
                  <c:v>-10.306336180555823</c:v>
                </c:pt>
                <c:pt idx="645">
                  <c:v>-10.318589663188783</c:v>
                </c:pt>
                <c:pt idx="646">
                  <c:v>-10.330843146322788</c:v>
                </c:pt>
                <c:pt idx="647">
                  <c:v>-10.343096629957712</c:v>
                </c:pt>
                <c:pt idx="648">
                  <c:v>-10.355350114093428</c:v>
                </c:pt>
                <c:pt idx="649">
                  <c:v>-10.367603598729808</c:v>
                </c:pt>
                <c:pt idx="650">
                  <c:v>-10.379857083866726</c:v>
                </c:pt>
                <c:pt idx="651">
                  <c:v>-10.392110569504057</c:v>
                </c:pt>
                <c:pt idx="652">
                  <c:v>-10.404364055641674</c:v>
                </c:pt>
                <c:pt idx="653">
                  <c:v>-10.416617542279448</c:v>
                </c:pt>
                <c:pt idx="654">
                  <c:v>-10.428871029417254</c:v>
                </c:pt>
                <c:pt idx="655">
                  <c:v>-10.441124517054964</c:v>
                </c:pt>
                <c:pt idx="656">
                  <c:v>-10.453378005192453</c:v>
                </c:pt>
                <c:pt idx="657">
                  <c:v>-10.465631493829594</c:v>
                </c:pt>
                <c:pt idx="658">
                  <c:v>-10.477884982966259</c:v>
                </c:pt>
                <c:pt idx="659">
                  <c:v>-10.490138472602322</c:v>
                </c:pt>
                <c:pt idx="660">
                  <c:v>-10.502391962737656</c:v>
                </c:pt>
                <c:pt idx="661">
                  <c:v>-10.514645453372134</c:v>
                </c:pt>
                <c:pt idx="662">
                  <c:v>-10.526898944505632</c:v>
                </c:pt>
                <c:pt idx="663">
                  <c:v>-10.53915243613802</c:v>
                </c:pt>
                <c:pt idx="664">
                  <c:v>-10.551405928269173</c:v>
                </c:pt>
                <c:pt idx="665">
                  <c:v>-10.563659420898963</c:v>
                </c:pt>
                <c:pt idx="666">
                  <c:v>-10.575912914027265</c:v>
                </c:pt>
                <c:pt idx="667">
                  <c:v>-10.588166407653951</c:v>
                </c:pt>
                <c:pt idx="668">
                  <c:v>-10.600419901778896</c:v>
                </c:pt>
                <c:pt idx="669">
                  <c:v>-10.61267339640197</c:v>
                </c:pt>
                <c:pt idx="670">
                  <c:v>-10.624926891523049</c:v>
                </c:pt>
                <c:pt idx="671">
                  <c:v>-10.637180387142006</c:v>
                </c:pt>
                <c:pt idx="672">
                  <c:v>-10.649433883258714</c:v>
                </c:pt>
                <c:pt idx="673">
                  <c:v>-10.661687379873047</c:v>
                </c:pt>
                <c:pt idx="674">
                  <c:v>-10.673940876984878</c:v>
                </c:pt>
                <c:pt idx="675">
                  <c:v>-10.686194374594079</c:v>
                </c:pt>
                <c:pt idx="676">
                  <c:v>-10.698447872700525</c:v>
                </c:pt>
                <c:pt idx="677">
                  <c:v>-10.710701371304088</c:v>
                </c:pt>
                <c:pt idx="678">
                  <c:v>-10.722954870404642</c:v>
                </c:pt>
                <c:pt idx="679">
                  <c:v>-10.735208370002061</c:v>
                </c:pt>
                <c:pt idx="680">
                  <c:v>-10.747461870096217</c:v>
                </c:pt>
                <c:pt idx="681">
                  <c:v>-10.759715370686985</c:v>
                </c:pt>
                <c:pt idx="682">
                  <c:v>-10.771968871774236</c:v>
                </c:pt>
                <c:pt idx="683">
                  <c:v>-10.784222373357846</c:v>
                </c:pt>
                <c:pt idx="684">
                  <c:v>-10.796475875437686</c:v>
                </c:pt>
                <c:pt idx="685">
                  <c:v>-10.808729378013631</c:v>
                </c:pt>
                <c:pt idx="686">
                  <c:v>-10.820982881085554</c:v>
                </c:pt>
                <c:pt idx="687">
                  <c:v>-10.833236384653327</c:v>
                </c:pt>
                <c:pt idx="688">
                  <c:v>-10.845489888716825</c:v>
                </c:pt>
                <c:pt idx="689">
                  <c:v>-10.857743393275921</c:v>
                </c:pt>
                <c:pt idx="690">
                  <c:v>-10.869996898330488</c:v>
                </c:pt>
                <c:pt idx="691">
                  <c:v>-10.882250403880398</c:v>
                </c:pt>
                <c:pt idx="692">
                  <c:v>-10.894503909925527</c:v>
                </c:pt>
                <c:pt idx="693">
                  <c:v>-10.906757416465748</c:v>
                </c:pt>
                <c:pt idx="694">
                  <c:v>-10.919010923500933</c:v>
                </c:pt>
                <c:pt idx="695">
                  <c:v>-10.931264431030955</c:v>
                </c:pt>
                <c:pt idx="696">
                  <c:v>-10.94351793905569</c:v>
                </c:pt>
                <c:pt idx="697">
                  <c:v>-10.955771447575009</c:v>
                </c:pt>
                <c:pt idx="698">
                  <c:v>-10.968024956588785</c:v>
                </c:pt>
                <c:pt idx="699">
                  <c:v>-10.980278466096893</c:v>
                </c:pt>
                <c:pt idx="700">
                  <c:v>-10.992531976099206</c:v>
                </c:pt>
                <c:pt idx="701">
                  <c:v>-11.004785486595598</c:v>
                </c:pt>
                <c:pt idx="702">
                  <c:v>-11.01703899758594</c:v>
                </c:pt>
                <c:pt idx="703">
                  <c:v>-11.029292509070107</c:v>
                </c:pt>
                <c:pt idx="704">
                  <c:v>-11.041546021047973</c:v>
                </c:pt>
                <c:pt idx="705">
                  <c:v>-11.05379953351941</c:v>
                </c:pt>
                <c:pt idx="706">
                  <c:v>-11.066053046484292</c:v>
                </c:pt>
                <c:pt idx="707">
                  <c:v>-11.078306559942492</c:v>
                </c:pt>
                <c:pt idx="708">
                  <c:v>-11.090560073893885</c:v>
                </c:pt>
                <c:pt idx="709">
                  <c:v>-11.102813588338343</c:v>
                </c:pt>
                <c:pt idx="710">
                  <c:v>-11.115067103275738</c:v>
                </c:pt>
                <c:pt idx="711">
                  <c:v>-11.127320618705946</c:v>
                </c:pt>
                <c:pt idx="712">
                  <c:v>-11.139574134628839</c:v>
                </c:pt>
                <c:pt idx="713">
                  <c:v>-11.151827651044291</c:v>
                </c:pt>
                <c:pt idx="714">
                  <c:v>-11.164081167952176</c:v>
                </c:pt>
                <c:pt idx="715">
                  <c:v>-11.176334685352366</c:v>
                </c:pt>
                <c:pt idx="716">
                  <c:v>-11.188588203244734</c:v>
                </c:pt>
                <c:pt idx="717">
                  <c:v>-11.200841721629155</c:v>
                </c:pt>
                <c:pt idx="718">
                  <c:v>-11.213095240505501</c:v>
                </c:pt>
                <c:pt idx="719">
                  <c:v>-11.225348759873647</c:v>
                </c:pt>
                <c:pt idx="720">
                  <c:v>-11.237602279733466</c:v>
                </c:pt>
                <c:pt idx="721">
                  <c:v>-11.249855800084831</c:v>
                </c:pt>
                <c:pt idx="722">
                  <c:v>-11.262109320927614</c:v>
                </c:pt>
                <c:pt idx="723">
                  <c:v>-11.27436284226169</c:v>
                </c:pt>
                <c:pt idx="724">
                  <c:v>-11.286616364086932</c:v>
                </c:pt>
                <c:pt idx="725">
                  <c:v>-11.298869886403214</c:v>
                </c:pt>
                <c:pt idx="726">
                  <c:v>-11.31112340921041</c:v>
                </c:pt>
                <c:pt idx="727">
                  <c:v>-11.323376932508392</c:v>
                </c:pt>
                <c:pt idx="728">
                  <c:v>-11.335630456297034</c:v>
                </c:pt>
                <c:pt idx="729">
                  <c:v>-11.347883980576208</c:v>
                </c:pt>
                <c:pt idx="730">
                  <c:v>-11.36013750534579</c:v>
                </c:pt>
                <c:pt idx="731">
                  <c:v>-11.372391030605652</c:v>
                </c:pt>
                <c:pt idx="732">
                  <c:v>-11.384644556355667</c:v>
                </c:pt>
                <c:pt idx="733">
                  <c:v>-11.39689808259571</c:v>
                </c:pt>
                <c:pt idx="734">
                  <c:v>-11.409151609325653</c:v>
                </c:pt>
                <c:pt idx="735">
                  <c:v>-11.421405136545369</c:v>
                </c:pt>
                <c:pt idx="736">
                  <c:v>-11.433658664254732</c:v>
                </c:pt>
                <c:pt idx="737">
                  <c:v>-11.445912192453617</c:v>
                </c:pt>
                <c:pt idx="738">
                  <c:v>-11.458165721141896</c:v>
                </c:pt>
                <c:pt idx="739">
                  <c:v>-11.470419250319443</c:v>
                </c:pt>
                <c:pt idx="740">
                  <c:v>-11.48267277998613</c:v>
                </c:pt>
                <c:pt idx="741">
                  <c:v>-11.494926310141832</c:v>
                </c:pt>
                <c:pt idx="742">
                  <c:v>-11.507179840786423</c:v>
                </c:pt>
                <c:pt idx="743">
                  <c:v>-11.519433371919774</c:v>
                </c:pt>
                <c:pt idx="744">
                  <c:v>-11.531686903541761</c:v>
                </c:pt>
                <c:pt idx="745">
                  <c:v>-11.543940435652257</c:v>
                </c:pt>
                <c:pt idx="746">
                  <c:v>-11.556193968251133</c:v>
                </c:pt>
                <c:pt idx="747">
                  <c:v>-11.568447501338264</c:v>
                </c:pt>
                <c:pt idx="748">
                  <c:v>-11.580701034913524</c:v>
                </c:pt>
                <c:pt idx="749">
                  <c:v>-11.592954568976786</c:v>
                </c:pt>
                <c:pt idx="750">
                  <c:v>-11.605208103527925</c:v>
                </c:pt>
                <c:pt idx="751">
                  <c:v>-11.617461638566812</c:v>
                </c:pt>
                <c:pt idx="752">
                  <c:v>-11.629715174093322</c:v>
                </c:pt>
                <c:pt idx="753">
                  <c:v>-11.641968710107328</c:v>
                </c:pt>
                <c:pt idx="754">
                  <c:v>-11.654222246608704</c:v>
                </c:pt>
                <c:pt idx="755">
                  <c:v>-11.666475783597322</c:v>
                </c:pt>
                <c:pt idx="756">
                  <c:v>-11.678729321073057</c:v>
                </c:pt>
                <c:pt idx="757">
                  <c:v>-11.690982859035781</c:v>
                </c:pt>
                <c:pt idx="758">
                  <c:v>-11.703236397485369</c:v>
                </c:pt>
                <c:pt idx="759">
                  <c:v>-11.715489936421694</c:v>
                </c:pt>
                <c:pt idx="760">
                  <c:v>-11.72774347584463</c:v>
                </c:pt>
                <c:pt idx="761">
                  <c:v>-11.739997015754049</c:v>
                </c:pt>
                <c:pt idx="762">
                  <c:v>-11.752250556149827</c:v>
                </c:pt>
                <c:pt idx="763">
                  <c:v>-11.764504097031834</c:v>
                </c:pt>
                <c:pt idx="764">
                  <c:v>-11.776757638399946</c:v>
                </c:pt>
                <c:pt idx="765">
                  <c:v>-11.789011180254036</c:v>
                </c:pt>
                <c:pt idx="766">
                  <c:v>-11.801264722593977</c:v>
                </c:pt>
                <c:pt idx="767">
                  <c:v>-11.813518265419644</c:v>
                </c:pt>
                <c:pt idx="768">
                  <c:v>-11.825771808730908</c:v>
                </c:pt>
                <c:pt idx="769">
                  <c:v>-11.838025352527643</c:v>
                </c:pt>
                <c:pt idx="770">
                  <c:v>-11.850278896809723</c:v>
                </c:pt>
                <c:pt idx="771">
                  <c:v>-11.862532441577022</c:v>
                </c:pt>
                <c:pt idx="772">
                  <c:v>-11.874785986829414</c:v>
                </c:pt>
                <c:pt idx="773">
                  <c:v>-11.887039532566771</c:v>
                </c:pt>
                <c:pt idx="774">
                  <c:v>-11.899293078788968</c:v>
                </c:pt>
                <c:pt idx="775">
                  <c:v>-11.911546625495879</c:v>
                </c:pt>
                <c:pt idx="776">
                  <c:v>-11.923800172687375</c:v>
                </c:pt>
                <c:pt idx="777">
                  <c:v>-11.936053720363331</c:v>
                </c:pt>
                <c:pt idx="778">
                  <c:v>-11.948307268523621</c:v>
                </c:pt>
                <c:pt idx="779">
                  <c:v>-11.960560817168117</c:v>
                </c:pt>
                <c:pt idx="780">
                  <c:v>-11.972814366296694</c:v>
                </c:pt>
                <c:pt idx="781">
                  <c:v>-11.985067915909225</c:v>
                </c:pt>
                <c:pt idx="782">
                  <c:v>-11.997321466005582</c:v>
                </c:pt>
                <c:pt idx="783">
                  <c:v>-12.009575016585641</c:v>
                </c:pt>
                <c:pt idx="784">
                  <c:v>-12.021828567649274</c:v>
                </c:pt>
                <c:pt idx="785">
                  <c:v>-12.034082119196356</c:v>
                </c:pt>
                <c:pt idx="786">
                  <c:v>-12.046335671226759</c:v>
                </c:pt>
                <c:pt idx="787">
                  <c:v>-12.058589223740356</c:v>
                </c:pt>
                <c:pt idx="788">
                  <c:v>-12.070842776737022</c:v>
                </c:pt>
                <c:pt idx="789">
                  <c:v>-12.08309633021663</c:v>
                </c:pt>
                <c:pt idx="790">
                  <c:v>-12.095349884179054</c:v>
                </c:pt>
                <c:pt idx="791">
                  <c:v>-12.107603438624167</c:v>
                </c:pt>
                <c:pt idx="792">
                  <c:v>-12.119856993551844</c:v>
                </c:pt>
                <c:pt idx="793">
                  <c:v>-12.132110548961956</c:v>
                </c:pt>
                <c:pt idx="794">
                  <c:v>-12.144364104854377</c:v>
                </c:pt>
                <c:pt idx="795">
                  <c:v>-12.156617661228982</c:v>
                </c:pt>
                <c:pt idx="796">
                  <c:v>-12.168871218085643</c:v>
                </c:pt>
                <c:pt idx="797">
                  <c:v>-12.181124775424236</c:v>
                </c:pt>
                <c:pt idx="798">
                  <c:v>-12.193378333244633</c:v>
                </c:pt>
                <c:pt idx="799">
                  <c:v>-12.205631891546707</c:v>
                </c:pt>
                <c:pt idx="800">
                  <c:v>-12.217885450330332</c:v>
                </c:pt>
                <c:pt idx="801">
                  <c:v>-12.230139009595382</c:v>
                </c:pt>
                <c:pt idx="802">
                  <c:v>-12.24239256934173</c:v>
                </c:pt>
                <c:pt idx="803">
                  <c:v>-12.254646129569251</c:v>
                </c:pt>
                <c:pt idx="804">
                  <c:v>-12.266899690277816</c:v>
                </c:pt>
                <c:pt idx="805">
                  <c:v>-12.279153251467299</c:v>
                </c:pt>
                <c:pt idx="806">
                  <c:v>-12.291406813137575</c:v>
                </c:pt>
                <c:pt idx="807">
                  <c:v>-12.303660375288517</c:v>
                </c:pt>
                <c:pt idx="808">
                  <c:v>-12.31591393792</c:v>
                </c:pt>
                <c:pt idx="809">
                  <c:v>-12.328167501031896</c:v>
                </c:pt>
                <c:pt idx="810">
                  <c:v>-12.340421064624078</c:v>
                </c:pt>
                <c:pt idx="811">
                  <c:v>-12.35267462869642</c:v>
                </c:pt>
                <c:pt idx="812">
                  <c:v>-12.364928193248796</c:v>
                </c:pt>
                <c:pt idx="813">
                  <c:v>-12.377181758281079</c:v>
                </c:pt>
                <c:pt idx="814">
                  <c:v>-12.389435323793144</c:v>
                </c:pt>
                <c:pt idx="815">
                  <c:v>-12.401688889784865</c:v>
                </c:pt>
                <c:pt idx="816">
                  <c:v>-12.413942456256112</c:v>
                </c:pt>
                <c:pt idx="817">
                  <c:v>-12.426196023206762</c:v>
                </c:pt>
                <c:pt idx="818">
                  <c:v>-12.438449590636687</c:v>
                </c:pt>
                <c:pt idx="819">
                  <c:v>-12.45070315854576</c:v>
                </c:pt>
                <c:pt idx="820">
                  <c:v>-12.462956726933857</c:v>
                </c:pt>
                <c:pt idx="821">
                  <c:v>-12.475210295800849</c:v>
                </c:pt>
                <c:pt idx="822">
                  <c:v>-12.487463865146612</c:v>
                </c:pt>
                <c:pt idx="823">
                  <c:v>-12.499717434971018</c:v>
                </c:pt>
                <c:pt idx="824">
                  <c:v>-12.51197100527394</c:v>
                </c:pt>
                <c:pt idx="825">
                  <c:v>-12.524224576055254</c:v>
                </c:pt>
                <c:pt idx="826">
                  <c:v>-12.536478147314831</c:v>
                </c:pt>
                <c:pt idx="827">
                  <c:v>-12.548731719052547</c:v>
                </c:pt>
                <c:pt idx="828">
                  <c:v>-12.560985291268274</c:v>
                </c:pt>
                <c:pt idx="829">
                  <c:v>-12.573238863961885</c:v>
                </c:pt>
                <c:pt idx="830">
                  <c:v>-12.585492437133256</c:v>
                </c:pt>
                <c:pt idx="831">
                  <c:v>-12.597746010782259</c:v>
                </c:pt>
                <c:pt idx="832">
                  <c:v>-12.609999584908767</c:v>
                </c:pt>
                <c:pt idx="833">
                  <c:v>-12.622253159512654</c:v>
                </c:pt>
                <c:pt idx="834">
                  <c:v>-12.634506734593796</c:v>
                </c:pt>
                <c:pt idx="835">
                  <c:v>-12.646760310152063</c:v>
                </c:pt>
                <c:pt idx="836">
                  <c:v>-12.65901388618733</c:v>
                </c:pt>
                <c:pt idx="837">
                  <c:v>-12.671267462699472</c:v>
                </c:pt>
                <c:pt idx="838">
                  <c:v>-12.683521039688362</c:v>
                </c:pt>
                <c:pt idx="839">
                  <c:v>-12.695774617153871</c:v>
                </c:pt>
                <c:pt idx="840">
                  <c:v>-12.708028195095876</c:v>
                </c:pt>
                <c:pt idx="841">
                  <c:v>-12.72028177351425</c:v>
                </c:pt>
                <c:pt idx="842">
                  <c:v>-12.732535352408865</c:v>
                </c:pt>
                <c:pt idx="843">
                  <c:v>-12.744788931779597</c:v>
                </c:pt>
                <c:pt idx="844">
                  <c:v>-12.757042511626318</c:v>
                </c:pt>
                <c:pt idx="845">
                  <c:v>-12.769296091948902</c:v>
                </c:pt>
                <c:pt idx="846">
                  <c:v>-12.781549672747223</c:v>
                </c:pt>
                <c:pt idx="847">
                  <c:v>-12.793803254021153</c:v>
                </c:pt>
                <c:pt idx="848">
                  <c:v>-12.806056835770567</c:v>
                </c:pt>
                <c:pt idx="849">
                  <c:v>-12.818310417995338</c:v>
                </c:pt>
                <c:pt idx="850">
                  <c:v>-12.830564000695341</c:v>
                </c:pt>
                <c:pt idx="851">
                  <c:v>-12.842817583870449</c:v>
                </c:pt>
                <c:pt idx="852">
                  <c:v>-12.855071167520535</c:v>
                </c:pt>
                <c:pt idx="853">
                  <c:v>-12.867324751645473</c:v>
                </c:pt>
                <c:pt idx="854">
                  <c:v>-12.879578336245137</c:v>
                </c:pt>
                <c:pt idx="855">
                  <c:v>-12.891831921319401</c:v>
                </c:pt>
                <c:pt idx="856">
                  <c:v>-12.904085506868137</c:v>
                </c:pt>
                <c:pt idx="857">
                  <c:v>-12.916339092891221</c:v>
                </c:pt>
                <c:pt idx="858">
                  <c:v>-12.928592679388524</c:v>
                </c:pt>
                <c:pt idx="859">
                  <c:v>-12.940846266359921</c:v>
                </c:pt>
                <c:pt idx="860">
                  <c:v>-12.953099853805286</c:v>
                </c:pt>
                <c:pt idx="861">
                  <c:v>-12.965353441724492</c:v>
                </c:pt>
                <c:pt idx="862">
                  <c:v>-12.977607030117413</c:v>
                </c:pt>
                <c:pt idx="863">
                  <c:v>-12.989860618983924</c:v>
                </c:pt>
                <c:pt idx="864">
                  <c:v>-13.002114208323897</c:v>
                </c:pt>
                <c:pt idx="865">
                  <c:v>-13.014367798137206</c:v>
                </c:pt>
                <c:pt idx="866">
                  <c:v>-13.026621388423726</c:v>
                </c:pt>
                <c:pt idx="867">
                  <c:v>-13.038874979183328</c:v>
                </c:pt>
                <c:pt idx="868">
                  <c:v>-13.051128570415887</c:v>
                </c:pt>
                <c:pt idx="869">
                  <c:v>-13.063382162121277</c:v>
                </c:pt>
                <c:pt idx="870">
                  <c:v>-13.075635754299372</c:v>
                </c:pt>
                <c:pt idx="871">
                  <c:v>-13.087889346950044</c:v>
                </c:pt>
                <c:pt idx="872">
                  <c:v>-13.100142940073169</c:v>
                </c:pt>
                <c:pt idx="873">
                  <c:v>-13.112396533668619</c:v>
                </c:pt>
                <c:pt idx="874">
                  <c:v>-13.124650127736269</c:v>
                </c:pt>
                <c:pt idx="875">
                  <c:v>-13.13690372227599</c:v>
                </c:pt>
                <c:pt idx="876">
                  <c:v>-13.14915731728766</c:v>
                </c:pt>
                <c:pt idx="877">
                  <c:v>-13.161410912771149</c:v>
                </c:pt>
                <c:pt idx="878">
                  <c:v>-13.173664508726333</c:v>
                </c:pt>
                <c:pt idx="879">
                  <c:v>-13.185918105153084</c:v>
                </c:pt>
                <c:pt idx="880">
                  <c:v>-13.198171702051276</c:v>
                </c:pt>
                <c:pt idx="881">
                  <c:v>-13.210425299420784</c:v>
                </c:pt>
                <c:pt idx="882">
                  <c:v>-13.222678897261479</c:v>
                </c:pt>
                <c:pt idx="883">
                  <c:v>-13.234932495573238</c:v>
                </c:pt>
                <c:pt idx="884">
                  <c:v>-13.247186094355932</c:v>
                </c:pt>
                <c:pt idx="885">
                  <c:v>-13.259439693609437</c:v>
                </c:pt>
                <c:pt idx="886">
                  <c:v>-13.271693293333625</c:v>
                </c:pt>
                <c:pt idx="887">
                  <c:v>-13.28394689352837</c:v>
                </c:pt>
                <c:pt idx="888">
                  <c:v>-13.296200494193547</c:v>
                </c:pt>
                <c:pt idx="889">
                  <c:v>-13.308454095329029</c:v>
                </c:pt>
                <c:pt idx="890">
                  <c:v>-13.32070769693469</c:v>
                </c:pt>
                <c:pt idx="891">
                  <c:v>-13.332961299010401</c:v>
                </c:pt>
                <c:pt idx="892">
                  <c:v>-13.345214901556039</c:v>
                </c:pt>
                <c:pt idx="893">
                  <c:v>-13.357468504571477</c:v>
                </c:pt>
                <c:pt idx="894">
                  <c:v>-13.369722108056589</c:v>
                </c:pt>
                <c:pt idx="895">
                  <c:v>-13.381975712011247</c:v>
                </c:pt>
                <c:pt idx="896">
                  <c:v>-13.394229316435327</c:v>
                </c:pt>
                <c:pt idx="897">
                  <c:v>-13.406482921328701</c:v>
                </c:pt>
                <c:pt idx="898">
                  <c:v>-13.418736526691243</c:v>
                </c:pt>
                <c:pt idx="899">
                  <c:v>-13.430990132522826</c:v>
                </c:pt>
                <c:pt idx="900">
                  <c:v>-13.443243738823327</c:v>
                </c:pt>
                <c:pt idx="901">
                  <c:v>-13.455497345592617</c:v>
                </c:pt>
                <c:pt idx="902">
                  <c:v>-13.467750952830571</c:v>
                </c:pt>
                <c:pt idx="903">
                  <c:v>-13.48000456053706</c:v>
                </c:pt>
                <c:pt idx="904">
                  <c:v>-13.49225816871196</c:v>
                </c:pt>
                <c:pt idx="905">
                  <c:v>-13.504511777355145</c:v>
                </c:pt>
                <c:pt idx="906">
                  <c:v>-13.516765386466489</c:v>
                </c:pt>
                <c:pt idx="907">
                  <c:v>-13.529018996045863</c:v>
                </c:pt>
                <c:pt idx="908">
                  <c:v>-13.541272606093145</c:v>
                </c:pt>
                <c:pt idx="909">
                  <c:v>-13.553526216608205</c:v>
                </c:pt>
                <c:pt idx="910">
                  <c:v>-13.565779827590919</c:v>
                </c:pt>
                <c:pt idx="911">
                  <c:v>-13.57803343904116</c:v>
                </c:pt>
                <c:pt idx="912">
                  <c:v>-13.590287050958802</c:v>
                </c:pt>
                <c:pt idx="913">
                  <c:v>-13.602540663343717</c:v>
                </c:pt>
                <c:pt idx="914">
                  <c:v>-13.614794276195783</c:v>
                </c:pt>
                <c:pt idx="915">
                  <c:v>-13.62704788951487</c:v>
                </c:pt>
                <c:pt idx="916">
                  <c:v>-13.639301503300853</c:v>
                </c:pt>
                <c:pt idx="917">
                  <c:v>-13.651555117553606</c:v>
                </c:pt>
                <c:pt idx="918">
                  <c:v>-13.663808732273001</c:v>
                </c:pt>
                <c:pt idx="919">
                  <c:v>-13.676062347458913</c:v>
                </c:pt>
                <c:pt idx="920">
                  <c:v>-13.688315963111217</c:v>
                </c:pt>
                <c:pt idx="921">
                  <c:v>-13.700569579229786</c:v>
                </c:pt>
                <c:pt idx="922">
                  <c:v>-13.712823195814492</c:v>
                </c:pt>
                <c:pt idx="923">
                  <c:v>-13.725076812865211</c:v>
                </c:pt>
                <c:pt idx="924">
                  <c:v>-13.737330430381816</c:v>
                </c:pt>
                <c:pt idx="925">
                  <c:v>-13.749584048364181</c:v>
                </c:pt>
                <c:pt idx="926">
                  <c:v>-13.761837666812179</c:v>
                </c:pt>
                <c:pt idx="927">
                  <c:v>-13.774091285725685</c:v>
                </c:pt>
                <c:pt idx="928">
                  <c:v>-13.786344905104572</c:v>
                </c:pt>
                <c:pt idx="929">
                  <c:v>-13.798598524948714</c:v>
                </c:pt>
                <c:pt idx="930">
                  <c:v>-13.810852145257986</c:v>
                </c:pt>
                <c:pt idx="931">
                  <c:v>-13.82310576603226</c:v>
                </c:pt>
                <c:pt idx="932">
                  <c:v>-13.83535938727141</c:v>
                </c:pt>
                <c:pt idx="933">
                  <c:v>-13.84761300897531</c:v>
                </c:pt>
                <c:pt idx="934">
                  <c:v>-13.859866631143834</c:v>
                </c:pt>
                <c:pt idx="935">
                  <c:v>-13.872120253776856</c:v>
                </c:pt>
                <c:pt idx="936">
                  <c:v>-13.88437387687425</c:v>
                </c:pt>
                <c:pt idx="937">
                  <c:v>-13.896627500435889</c:v>
                </c:pt>
                <c:pt idx="938">
                  <c:v>-13.908881124461647</c:v>
                </c:pt>
                <c:pt idx="939">
                  <c:v>-13.921134748951397</c:v>
                </c:pt>
                <c:pt idx="940">
                  <c:v>-13.933388373905014</c:v>
                </c:pt>
                <c:pt idx="941">
                  <c:v>-13.945641999322373</c:v>
                </c:pt>
                <c:pt idx="942">
                  <c:v>-13.957895625203346</c:v>
                </c:pt>
                <c:pt idx="943">
                  <c:v>-13.970149251547806</c:v>
                </c:pt>
                <c:pt idx="944">
                  <c:v>-13.982402878355629</c:v>
                </c:pt>
                <c:pt idx="945">
                  <c:v>-13.994656505626688</c:v>
                </c:pt>
                <c:pt idx="946">
                  <c:v>-14.006910133360856</c:v>
                </c:pt>
                <c:pt idx="947">
                  <c:v>-14.019163761558008</c:v>
                </c:pt>
                <c:pt idx="948">
                  <c:v>-14.031417390218017</c:v>
                </c:pt>
                <c:pt idx="949">
                  <c:v>-14.043671019340758</c:v>
                </c:pt>
                <c:pt idx="950">
                  <c:v>-14.055924648926103</c:v>
                </c:pt>
                <c:pt idx="951">
                  <c:v>-14.068178278973928</c:v>
                </c:pt>
                <c:pt idx="952">
                  <c:v>-14.080431909484105</c:v>
                </c:pt>
                <c:pt idx="953">
                  <c:v>-14.092685540456509</c:v>
                </c:pt>
                <c:pt idx="954">
                  <c:v>-14.104939171891013</c:v>
                </c:pt>
                <c:pt idx="955">
                  <c:v>-14.117192803787491</c:v>
                </c:pt>
                <c:pt idx="956">
                  <c:v>-14.129446436145818</c:v>
                </c:pt>
                <c:pt idx="957">
                  <c:v>-14.141700068965866</c:v>
                </c:pt>
                <c:pt idx="958">
                  <c:v>-14.153953702247509</c:v>
                </c:pt>
                <c:pt idx="959">
                  <c:v>-14.166207335990622</c:v>
                </c:pt>
                <c:pt idx="960">
                  <c:v>-14.178460970195079</c:v>
                </c:pt>
                <c:pt idx="961">
                  <c:v>-14.190714604860753</c:v>
                </c:pt>
                <c:pt idx="962">
                  <c:v>-14.202968239987518</c:v>
                </c:pt>
                <c:pt idx="963">
                  <c:v>-14.215221875575248</c:v>
                </c:pt>
                <c:pt idx="964">
                  <c:v>-14.227475511623817</c:v>
                </c:pt>
                <c:pt idx="965">
                  <c:v>-14.239729148133099</c:v>
                </c:pt>
                <c:pt idx="966">
                  <c:v>-14.251982785102967</c:v>
                </c:pt>
                <c:pt idx="967">
                  <c:v>-14.264236422533296</c:v>
                </c:pt>
                <c:pt idx="968">
                  <c:v>-14.276490060423958</c:v>
                </c:pt>
                <c:pt idx="969">
                  <c:v>-14.288743698774828</c:v>
                </c:pt>
                <c:pt idx="970">
                  <c:v>-14.30099733758578</c:v>
                </c:pt>
                <c:pt idx="971">
                  <c:v>-14.31325097685669</c:v>
                </c:pt>
                <c:pt idx="972">
                  <c:v>-14.325504616587429</c:v>
                </c:pt>
                <c:pt idx="973">
                  <c:v>-14.337758256777871</c:v>
                </c:pt>
                <c:pt idx="974">
                  <c:v>-14.350011897427891</c:v>
                </c:pt>
                <c:pt idx="975">
                  <c:v>-14.362265538537361</c:v>
                </c:pt>
                <c:pt idx="976">
                  <c:v>-14.374519180106157</c:v>
                </c:pt>
                <c:pt idx="977">
                  <c:v>-14.386772822134152</c:v>
                </c:pt>
                <c:pt idx="978">
                  <c:v>-14.399026464621219</c:v>
                </c:pt>
                <c:pt idx="979">
                  <c:v>-14.411280107567233</c:v>
                </c:pt>
                <c:pt idx="980">
                  <c:v>-14.423533750972068</c:v>
                </c:pt>
                <c:pt idx="981">
                  <c:v>-14.435787394835598</c:v>
                </c:pt>
                <c:pt idx="982">
                  <c:v>-14.448041039157697</c:v>
                </c:pt>
                <c:pt idx="983">
                  <c:v>-14.460294683938239</c:v>
                </c:pt>
                <c:pt idx="984">
                  <c:v>-14.472548329177096</c:v>
                </c:pt>
                <c:pt idx="985">
                  <c:v>-14.484801974874143</c:v>
                </c:pt>
                <c:pt idx="986">
                  <c:v>-14.497055621029254</c:v>
                </c:pt>
                <c:pt idx="987">
                  <c:v>-14.509309267642303</c:v>
                </c:pt>
                <c:pt idx="988">
                  <c:v>-14.521562914713165</c:v>
                </c:pt>
                <c:pt idx="989">
                  <c:v>-14.533816562241713</c:v>
                </c:pt>
                <c:pt idx="990">
                  <c:v>-14.546070210227819</c:v>
                </c:pt>
                <c:pt idx="991">
                  <c:v>-14.558323858671359</c:v>
                </c:pt>
                <c:pt idx="992">
                  <c:v>-14.570577507572207</c:v>
                </c:pt>
                <c:pt idx="993">
                  <c:v>-14.582831156930236</c:v>
                </c:pt>
                <c:pt idx="994">
                  <c:v>-14.595084806745321</c:v>
                </c:pt>
                <c:pt idx="995">
                  <c:v>-14.607338457017335</c:v>
                </c:pt>
                <c:pt idx="996">
                  <c:v>-14.619592107746151</c:v>
                </c:pt>
                <c:pt idx="997">
                  <c:v>-14.631845758931645</c:v>
                </c:pt>
                <c:pt idx="998">
                  <c:v>-14.644099410573689</c:v>
                </c:pt>
                <c:pt idx="999">
                  <c:v>-14.65635306267216</c:v>
                </c:pt>
                <c:pt idx="1000">
                  <c:v>-14.668606715226929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02-4CA2-BA56-E0E46E48A268}"/>
            </c:ext>
          </c:extLst>
        </c:ser>
        <c:ser>
          <c:idx val="4"/>
          <c:order val="3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Trajecto!$B$140:$B$146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Trajecto!$C$138:$C$144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2-4CA2-BA56-E0E46E48A268}"/>
            </c:ext>
          </c:extLst>
        </c:ser>
        <c:ser>
          <c:idx val="5"/>
          <c:order val="4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105.52</c:v>
                </c:pt>
                <c:pt idx="1">
                  <c:v>105.77618482600093</c:v>
                </c:pt>
                <c:pt idx="2">
                  <c:v>106.03284709276828</c:v>
                </c:pt>
                <c:pt idx="3">
                  <c:v>106.29052867418451</c:v>
                </c:pt>
                <c:pt idx="4">
                  <c:v>106.54932797775811</c:v>
                </c:pt>
                <c:pt idx="5">
                  <c:v>106.80915084513762</c:v>
                </c:pt>
                <c:pt idx="6">
                  <c:v>107.06996175689233</c:v>
                </c:pt>
                <c:pt idx="7">
                  <c:v>107.33175452859925</c:v>
                </c:pt>
                <c:pt idx="8">
                  <c:v>107.59452296869966</c:v>
                </c:pt>
                <c:pt idx="9">
                  <c:v>107.85826087873517</c:v>
                </c:pt>
                <c:pt idx="10">
                  <c:v>108.12296205358183</c:v>
                </c:pt>
                <c:pt idx="11">
                  <c:v>108.38862028168248</c:v>
                </c:pt>
                <c:pt idx="12">
                  <c:v>108.65522934527701</c:v>
                </c:pt>
                <c:pt idx="13">
                  <c:v>108.92278302063087</c:v>
                </c:pt>
                <c:pt idx="14">
                  <c:v>109.1912750782616</c:v>
                </c:pt>
                <c:pt idx="15">
                  <c:v>109.46069928316341</c:v>
                </c:pt>
                <c:pt idx="16">
                  <c:v>109.73104939502997</c:v>
                </c:pt>
                <c:pt idx="17">
                  <c:v>110.00231916847522</c:v>
                </c:pt>
                <c:pt idx="18">
                  <c:v>110.27450235325232</c:v>
                </c:pt>
                <c:pt idx="19">
                  <c:v>110.54759269447058</c:v>
                </c:pt>
                <c:pt idx="20">
                  <c:v>110.82158393281074</c:v>
                </c:pt>
                <c:pt idx="21">
                  <c:v>111.09646980473804</c:v>
                </c:pt>
                <c:pt idx="22">
                  <c:v>111.37224404271363</c:v>
                </c:pt>
                <c:pt idx="23">
                  <c:v>111.64890037540397</c:v>
                </c:pt>
                <c:pt idx="24">
                  <c:v>111.92643252788835</c:v>
                </c:pt>
                <c:pt idx="25">
                  <c:v>112.20483422186453</c:v>
                </c:pt>
                <c:pt idx="26">
                  <c:v>112.48409917585245</c:v>
                </c:pt>
                <c:pt idx="27">
                  <c:v>112.76422110539608</c:v>
                </c:pt>
                <c:pt idx="28">
                  <c:v>113.04519372326335</c:v>
                </c:pt>
                <c:pt idx="29">
                  <c:v>113.32701073964424</c:v>
                </c:pt>
                <c:pt idx="30">
                  <c:v>113.60966586234687</c:v>
                </c:pt>
                <c:pt idx="31">
                  <c:v>113.89315279699181</c:v>
                </c:pt>
                <c:pt idx="32">
                  <c:v>114.17746524720447</c:v>
                </c:pt>
                <c:pt idx="33">
                  <c:v>114.4625969148055</c:v>
                </c:pt>
                <c:pt idx="34">
                  <c:v>114.74854149999952</c:v>
                </c:pt>
                <c:pt idx="35">
                  <c:v>115.03529270156174</c:v>
                </c:pt>
                <c:pt idx="36">
                  <c:v>115.32284421702285</c:v>
                </c:pt>
                <c:pt idx="37">
                  <c:v>115.61118974285192</c:v>
                </c:pt>
                <c:pt idx="38">
                  <c:v>115.90032297463756</c:v>
                </c:pt>
                <c:pt idx="39">
                  <c:v>116.19023760726702</c:v>
                </c:pt>
                <c:pt idx="40">
                  <c:v>116.4809273351036</c:v>
                </c:pt>
                <c:pt idx="41">
                  <c:v>116.77238585216206</c:v>
                </c:pt>
                <c:pt idx="42">
                  <c:v>117.0646068522822</c:v>
                </c:pt>
                <c:pt idx="43">
                  <c:v>117.35758402930057</c:v>
                </c:pt>
                <c:pt idx="44">
                  <c:v>117.65131107722038</c:v>
                </c:pt>
                <c:pt idx="45">
                  <c:v>117.94578169037943</c:v>
                </c:pt>
                <c:pt idx="46">
                  <c:v>118.24098956361627</c:v>
                </c:pt>
                <c:pt idx="47">
                  <c:v>118.53692839243442</c:v>
                </c:pt>
                <c:pt idx="48">
                  <c:v>118.83359187316489</c:v>
                </c:pt>
                <c:pt idx="49">
                  <c:v>119.13097370312667</c:v>
                </c:pt>
                <c:pt idx="50">
                  <c:v>119.4290675807855</c:v>
                </c:pt>
                <c:pt idx="51">
                  <c:v>119.72786720591073</c:v>
                </c:pt>
                <c:pt idx="52">
                  <c:v>120.02736627973039</c:v>
                </c:pt>
                <c:pt idx="53">
                  <c:v>120.32755850508438</c:v>
                </c:pt>
                <c:pt idx="54">
                  <c:v>120.62843758657586</c:v>
                </c:pt>
                <c:pt idx="55">
                  <c:v>120.92999723072079</c:v>
                </c:pt>
                <c:pt idx="56">
                  <c:v>121.23223114609566</c:v>
                </c:pt>
                <c:pt idx="57">
                  <c:v>121.53513304348341</c:v>
                </c:pt>
                <c:pt idx="58">
                  <c:v>121.83869663601753</c:v>
                </c:pt>
                <c:pt idx="59">
                  <c:v>122.1429156393243</c:v>
                </c:pt>
                <c:pt idx="60">
                  <c:v>122.44778377166331</c:v>
                </c:pt>
                <c:pt idx="61">
                  <c:v>122.75329475406613</c:v>
                </c:pt>
                <c:pt idx="62">
                  <c:v>123.05944231047319</c:v>
                </c:pt>
                <c:pt idx="63">
                  <c:v>123.36621752207093</c:v>
                </c:pt>
                <c:pt idx="64">
                  <c:v>123.67360618144421</c:v>
                </c:pt>
                <c:pt idx="65">
                  <c:v>123.98159144265</c:v>
                </c:pt>
                <c:pt idx="66">
                  <c:v>124.29015647167509</c:v>
                </c:pt>
                <c:pt idx="67">
                  <c:v>124.59928201614211</c:v>
                </c:pt>
                <c:pt idx="68">
                  <c:v>124.90894397522767</c:v>
                </c:pt>
                <c:pt idx="69">
                  <c:v>125.21911150732882</c:v>
                </c:pt>
                <c:pt idx="70">
                  <c:v>125.52974513877702</c:v>
                </c:pt>
                <c:pt idx="71">
                  <c:v>125.84080110211627</c:v>
                </c:pt>
                <c:pt idx="72">
                  <c:v>126.15223567411029</c:v>
                </c:pt>
                <c:pt idx="73">
                  <c:v>126.46400517821905</c:v>
                </c:pt>
                <c:pt idx="74">
                  <c:v>126.77606598700605</c:v>
                </c:pt>
                <c:pt idx="75">
                  <c:v>127.08837452447619</c:v>
                </c:pt>
                <c:pt idx="76">
                  <c:v>127.40088726834463</c:v>
                </c:pt>
                <c:pt idx="77">
                  <c:v>127.71356075223642</c:v>
                </c:pt>
                <c:pt idx="78">
                  <c:v>128.02635156781727</c:v>
                </c:pt>
                <c:pt idx="79">
                  <c:v>128.3392163668556</c:v>
                </c:pt>
                <c:pt idx="80">
                  <c:v>128.65211186321582</c:v>
                </c:pt>
                <c:pt idx="81">
                  <c:v>128.96500001467101</c:v>
                </c:pt>
                <c:pt idx="82">
                  <c:v>129.27785319923512</c:v>
                </c:pt>
                <c:pt idx="83">
                  <c:v>129.59064902001057</c:v>
                </c:pt>
                <c:pt idx="84">
                  <c:v>129.9033651147183</c:v>
                </c:pt>
                <c:pt idx="85">
                  <c:v>130.21597915605273</c:v>
                </c:pt>
                <c:pt idx="86">
                  <c:v>130.52846885201885</c:v>
                </c:pt>
                <c:pt idx="87">
                  <c:v>130.84081194625185</c:v>
                </c:pt>
                <c:pt idx="88">
                  <c:v>131.15298621831914</c:v>
                </c:pt>
                <c:pt idx="89">
                  <c:v>131.4649711267175</c:v>
                </c:pt>
                <c:pt idx="90">
                  <c:v>131.77674944979864</c:v>
                </c:pt>
                <c:pt idx="91">
                  <c:v>132.08830563749493</c:v>
                </c:pt>
                <c:pt idx="92">
                  <c:v>132.3996241649931</c:v>
                </c:pt>
                <c:pt idx="93">
                  <c:v>132.71068994426017</c:v>
                </c:pt>
                <c:pt idx="94">
                  <c:v>133.02148873501972</c:v>
                </c:pt>
                <c:pt idx="95">
                  <c:v>133.3320067318086</c:v>
                </c:pt>
                <c:pt idx="96">
                  <c:v>133.64223015155389</c:v>
                </c:pt>
                <c:pt idx="97">
                  <c:v>133.95214688258278</c:v>
                </c:pt>
                <c:pt idx="98">
                  <c:v>134.26174813137135</c:v>
                </c:pt>
                <c:pt idx="99">
                  <c:v>134.57102676744753</c:v>
                </c:pt>
                <c:pt idx="100">
                  <c:v>134.87997567052739</c:v>
                </c:pt>
                <c:pt idx="101">
                  <c:v>135.18858773044735</c:v>
                </c:pt>
                <c:pt idx="102">
                  <c:v>135.49685584709542</c:v>
                </c:pt>
                <c:pt idx="103">
                  <c:v>135.80477293034065</c:v>
                </c:pt>
                <c:pt idx="104">
                  <c:v>136.11233189996153</c:v>
                </c:pt>
                <c:pt idx="105">
                  <c:v>136.41952568557301</c:v>
                </c:pt>
                <c:pt idx="106">
                  <c:v>136.72634722655204</c:v>
                </c:pt>
                <c:pt idx="107">
                  <c:v>137.03278947196199</c:v>
                </c:pt>
                <c:pt idx="108">
                  <c:v>137.33884538047562</c:v>
                </c:pt>
                <c:pt idx="109">
                  <c:v>137.64450999270449</c:v>
                </c:pt>
                <c:pt idx="110">
                  <c:v>137.9497825006118</c:v>
                </c:pt>
                <c:pt idx="111">
                  <c:v>138.25466416741696</c:v>
                </c:pt>
                <c:pt idx="112">
                  <c:v>138.55915625047399</c:v>
                </c:pt>
                <c:pt idx="113">
                  <c:v>138.8632600013085</c:v>
                </c:pt>
                <c:pt idx="114">
                  <c:v>139.16697666565426</c:v>
                </c:pt>
                <c:pt idx="115">
                  <c:v>139.47030748348959</c:v>
                </c:pt>
                <c:pt idx="116">
                  <c:v>139.77325368907333</c:v>
                </c:pt>
                <c:pt idx="117">
                  <c:v>140.07581651098064</c:v>
                </c:pt>
                <c:pt idx="118">
                  <c:v>140.37799717213852</c:v>
                </c:pt>
                <c:pt idx="119">
                  <c:v>140.67979688986088</c:v>
                </c:pt>
                <c:pt idx="120">
                  <c:v>140.98121687588363</c:v>
                </c:pt>
                <c:pt idx="121">
                  <c:v>141.28225833639922</c:v>
                </c:pt>
                <c:pt idx="122">
                  <c:v>141.58292247209107</c:v>
                </c:pt>
                <c:pt idx="123">
                  <c:v>141.88321047816765</c:v>
                </c:pt>
                <c:pt idx="124">
                  <c:v>142.18312354439641</c:v>
                </c:pt>
                <c:pt idx="125">
                  <c:v>142.48266285513728</c:v>
                </c:pt>
                <c:pt idx="126">
                  <c:v>142.78182958937606</c:v>
                </c:pt>
                <c:pt idx="127">
                  <c:v>143.08062492075746</c:v>
                </c:pt>
                <c:pt idx="128">
                  <c:v>143.37905001761794</c:v>
                </c:pt>
                <c:pt idx="129">
                  <c:v>143.67710604301828</c:v>
                </c:pt>
                <c:pt idx="130">
                  <c:v>143.97479415477588</c:v>
                </c:pt>
                <c:pt idx="131">
                  <c:v>144.2721155054968</c:v>
                </c:pt>
                <c:pt idx="132">
                  <c:v>144.56907124260761</c:v>
                </c:pt>
                <c:pt idx="133">
                  <c:v>144.865662508387</c:v>
                </c:pt>
                <c:pt idx="134">
                  <c:v>145.16189043999705</c:v>
                </c:pt>
                <c:pt idx="135">
                  <c:v>145.45775616951437</c:v>
                </c:pt>
                <c:pt idx="136">
                  <c:v>145.75326082396097</c:v>
                </c:pt>
                <c:pt idx="137">
                  <c:v>146.04840552533483</c:v>
                </c:pt>
                <c:pt idx="138">
                  <c:v>146.34319139064036</c:v>
                </c:pt>
                <c:pt idx="139">
                  <c:v>146.63761953191852</c:v>
                </c:pt>
                <c:pt idx="140">
                  <c:v>146.93169105627678</c:v>
                </c:pt>
                <c:pt idx="141">
                  <c:v>147.22540706591877</c:v>
                </c:pt>
                <c:pt idx="142">
                  <c:v>147.51876865817388</c:v>
                </c:pt>
                <c:pt idx="143">
                  <c:v>147.81177692552637</c:v>
                </c:pt>
                <c:pt idx="144">
                  <c:v>148.10443295564457</c:v>
                </c:pt>
                <c:pt idx="145">
                  <c:v>148.39673783140958</c:v>
                </c:pt>
                <c:pt idx="146">
                  <c:v>148.68869263094393</c:v>
                </c:pt>
                <c:pt idx="147">
                  <c:v>148.98029842764001</c:v>
                </c:pt>
                <c:pt idx="148">
                  <c:v>149.27155629018816</c:v>
                </c:pt>
                <c:pt idx="149">
                  <c:v>149.5624672826047</c:v>
                </c:pt>
                <c:pt idx="150">
                  <c:v>149.85303246425968</c:v>
                </c:pt>
                <c:pt idx="151">
                  <c:v>150.14325288990449</c:v>
                </c:pt>
                <c:pt idx="152">
                  <c:v>150.43312960969911</c:v>
                </c:pt>
                <c:pt idx="153">
                  <c:v>150.72266366923932</c:v>
                </c:pt>
                <c:pt idx="154">
                  <c:v>151.01185610958368</c:v>
                </c:pt>
                <c:pt idx="155">
                  <c:v>151.30070796728015</c:v>
                </c:pt>
                <c:pt idx="156">
                  <c:v>151.5892202743928</c:v>
                </c:pt>
                <c:pt idx="157">
                  <c:v>151.87739405852804</c:v>
                </c:pt>
                <c:pt idx="158">
                  <c:v>152.16523034286089</c:v>
                </c:pt>
                <c:pt idx="159">
                  <c:v>152.45273014616083</c:v>
                </c:pt>
                <c:pt idx="160">
                  <c:v>152.73989448281765</c:v>
                </c:pt>
                <c:pt idx="161">
                  <c:v>153.02672436286704</c:v>
                </c:pt>
                <c:pt idx="162">
                  <c:v>153.31322079201601</c:v>
                </c:pt>
                <c:pt idx="163">
                  <c:v>153.59938477166799</c:v>
                </c:pt>
                <c:pt idx="164">
                  <c:v>153.88521729894802</c:v>
                </c:pt>
                <c:pt idx="165">
                  <c:v>154.17071936672747</c:v>
                </c:pt>
                <c:pt idx="166">
                  <c:v>154.45589196364881</c:v>
                </c:pt>
                <c:pt idx="167">
                  <c:v>154.74073607415002</c:v>
                </c:pt>
                <c:pt idx="168">
                  <c:v>155.02525267848895</c:v>
                </c:pt>
                <c:pt idx="169">
                  <c:v>155.30944275276747</c:v>
                </c:pt>
                <c:pt idx="170">
                  <c:v>155.59330726895533</c:v>
                </c:pt>
                <c:pt idx="171">
                  <c:v>155.87684719491406</c:v>
                </c:pt>
                <c:pt idx="172">
                  <c:v>156.16006349442057</c:v>
                </c:pt>
                <c:pt idx="173">
                  <c:v>156.44295712719054</c:v>
                </c:pt>
                <c:pt idx="174">
                  <c:v>156.72552904890176</c:v>
                </c:pt>
                <c:pt idx="175">
                  <c:v>157.00778021121721</c:v>
                </c:pt>
                <c:pt idx="176">
                  <c:v>157.28971156180796</c:v>
                </c:pt>
                <c:pt idx="177">
                  <c:v>157.5713240443761</c:v>
                </c:pt>
                <c:pt idx="178">
                  <c:v>157.85261859867714</c:v>
                </c:pt>
                <c:pt idx="179">
                  <c:v>158.13359616054268</c:v>
                </c:pt>
                <c:pt idx="180">
                  <c:v>158.41425766190258</c:v>
                </c:pt>
                <c:pt idx="181">
                  <c:v>158.69460403080714</c:v>
                </c:pt>
                <c:pt idx="182">
                  <c:v>158.97463619144906</c:v>
                </c:pt>
                <c:pt idx="183">
                  <c:v>159.25435506418529</c:v>
                </c:pt>
                <c:pt idx="184">
                  <c:v>159.53376156555868</c:v>
                </c:pt>
                <c:pt idx="185">
                  <c:v>159.81285660831949</c:v>
                </c:pt>
                <c:pt idx="186">
                  <c:v>160.09164110144681</c:v>
                </c:pt>
                <c:pt idx="187">
                  <c:v>160.37011595016972</c:v>
                </c:pt>
                <c:pt idx="188">
                  <c:v>160.64828205598837</c:v>
                </c:pt>
                <c:pt idx="189">
                  <c:v>160.92614031669493</c:v>
                </c:pt>
                <c:pt idx="190">
                  <c:v>161.20369162639426</c:v>
                </c:pt>
                <c:pt idx="191">
                  <c:v>161.48093687552466</c:v>
                </c:pt>
                <c:pt idx="192">
                  <c:v>161.75787695087828</c:v>
                </c:pt>
                <c:pt idx="193">
                  <c:v>162.03451273562149</c:v>
                </c:pt>
                <c:pt idx="194">
                  <c:v>162.31084510931501</c:v>
                </c:pt>
                <c:pt idx="195">
                  <c:v>162.58687494793404</c:v>
                </c:pt>
                <c:pt idx="196">
                  <c:v>162.86260312388814</c:v>
                </c:pt>
                <c:pt idx="197">
                  <c:v>163.13803050604099</c:v>
                </c:pt>
                <c:pt idx="198">
                  <c:v>163.41315795973009</c:v>
                </c:pt>
                <c:pt idx="199">
                  <c:v>163.6879863467862</c:v>
                </c:pt>
                <c:pt idx="200">
                  <c:v>163.96251652555273</c:v>
                </c:pt>
                <c:pt idx="201">
                  <c:v>166.69148307121728</c:v>
                </c:pt>
                <c:pt idx="202">
                  <c:v>169.39117859101259</c:v>
                </c:pt>
                <c:pt idx="203">
                  <c:v>172.06242971446144</c:v>
                </c:pt>
                <c:pt idx="204">
                  <c:v>174.70603058892223</c:v>
                </c:pt>
                <c:pt idx="205">
                  <c:v>177.32274460420297</c:v>
                </c:pt>
                <c:pt idx="206">
                  <c:v>179.91330600375494</c:v>
                </c:pt>
                <c:pt idx="207">
                  <c:v>182.4784213913334</c:v>
                </c:pt>
                <c:pt idx="208">
                  <c:v>185.01877114120759</c:v>
                </c:pt>
                <c:pt idx="209">
                  <c:v>187.53501071927951</c:v>
                </c:pt>
                <c:pt idx="210">
                  <c:v>190.02777192182177</c:v>
                </c:pt>
                <c:pt idx="211">
                  <c:v>192.49766403796005</c:v>
                </c:pt>
                <c:pt idx="212">
                  <c:v>194.9452749414987</c:v>
                </c:pt>
                <c:pt idx="213">
                  <c:v>197.37117211721267</c:v>
                </c:pt>
                <c:pt idx="214">
                  <c:v>199.7759036262988</c:v>
                </c:pt>
                <c:pt idx="215">
                  <c:v>202.15999901529094</c:v>
                </c:pt>
                <c:pt idx="216">
                  <c:v>204.52397017239039</c:v>
                </c:pt>
                <c:pt idx="217">
                  <c:v>206.86831213484382</c:v>
                </c:pt>
                <c:pt idx="218">
                  <c:v>209.19350385071007</c:v>
                </c:pt>
                <c:pt idx="219">
                  <c:v>211.5000088980934</c:v>
                </c:pt>
                <c:pt idx="220">
                  <c:v>213.7882761646799</c:v>
                </c:pt>
                <c:pt idx="221">
                  <c:v>216.05874049019511</c:v>
                </c:pt>
                <c:pt idx="222">
                  <c:v>218.31182327420024</c:v>
                </c:pt>
                <c:pt idx="223">
                  <c:v>220.54793305146262</c:v>
                </c:pt>
                <c:pt idx="224">
                  <c:v>222.76746603696785</c:v>
                </c:pt>
                <c:pt idx="225">
                  <c:v>224.97080664248938</c:v>
                </c:pt>
                <c:pt idx="226">
                  <c:v>227.15832796649036</c:v>
                </c:pt>
                <c:pt idx="227">
                  <c:v>229.33039225900461</c:v>
                </c:pt>
                <c:pt idx="228">
                  <c:v>231.48735136302534</c:v>
                </c:pt>
                <c:pt idx="229">
                  <c:v>233.62954713382217</c:v>
                </c:pt>
                <c:pt idx="230">
                  <c:v>235.7573118375071</c:v>
                </c:pt>
                <c:pt idx="231">
                  <c:v>237.87096853007861</c:v>
                </c:pt>
                <c:pt idx="232">
                  <c:v>239.9708314180883</c:v>
                </c:pt>
                <c:pt idx="233">
                  <c:v>242.05720620199673</c:v>
                </c:pt>
                <c:pt idx="234">
                  <c:v>244.13039040321326</c:v>
                </c:pt>
                <c:pt idx="235">
                  <c:v>246.19067367574789</c:v>
                </c:pt>
                <c:pt idx="236">
                  <c:v>248.23833810334233</c:v>
                </c:pt>
                <c:pt idx="237">
                  <c:v>250.27365848288991</c:v>
                </c:pt>
                <c:pt idx="238">
                  <c:v>252.29690259490224</c:v>
                </c:pt>
                <c:pt idx="239">
                  <c:v>254.30833146173077</c:v>
                </c:pt>
                <c:pt idx="240">
                  <c:v>256.30819959420728</c:v>
                </c:pt>
                <c:pt idx="241">
                  <c:v>258.29675522732447</c:v>
                </c:pt>
                <c:pt idx="242">
                  <c:v>260.27424054553916</c:v>
                </c:pt>
                <c:pt idx="243">
                  <c:v>262.24089189824502</c:v>
                </c:pt>
                <c:pt idx="244">
                  <c:v>264.19694000592654</c:v>
                </c:pt>
                <c:pt idx="245">
                  <c:v>266.14261015747644</c:v>
                </c:pt>
                <c:pt idx="246">
                  <c:v>268.07812239912801</c:v>
                </c:pt>
                <c:pt idx="247">
                  <c:v>270.00369171542752</c:v>
                </c:pt>
                <c:pt idx="248">
                  <c:v>271.91952820264595</c:v>
                </c:pt>
                <c:pt idx="249">
                  <c:v>273.82583723500585</c:v>
                </c:pt>
                <c:pt idx="250">
                  <c:v>275.72281962407681</c:v>
                </c:pt>
                <c:pt idx="251">
                  <c:v>277.61067177167217</c:v>
                </c:pt>
                <c:pt idx="252">
                  <c:v>279.48958581656086</c:v>
                </c:pt>
                <c:pt idx="253">
                  <c:v>281.35974977528883</c:v>
                </c:pt>
                <c:pt idx="254">
                  <c:v>283.22134767738885</c:v>
                </c:pt>
                <c:pt idx="255">
                  <c:v>285.07455969524045</c:v>
                </c:pt>
                <c:pt idx="256">
                  <c:v>286.91956226882746</c:v>
                </c:pt>
                <c:pt idx="257">
                  <c:v>288.75652822562586</c:v>
                </c:pt>
                <c:pt idx="258">
                  <c:v>290.58562689584164</c:v>
                </c:pt>
                <c:pt idx="259">
                  <c:v>292.40702422320629</c:v>
                </c:pt>
                <c:pt idx="260">
                  <c:v>294.22088287152479</c:v>
                </c:pt>
                <c:pt idx="261">
                  <c:v>296.0273623271604</c:v>
                </c:pt>
                <c:pt idx="262">
                  <c:v>297.82661899762996</c:v>
                </c:pt>
                <c:pt idx="263">
                  <c:v>299.61880630647335</c:v>
                </c:pt>
                <c:pt idx="264">
                  <c:v>301.4040747845508</c:v>
                </c:pt>
                <c:pt idx="265">
                  <c:v>303.18257215791363</c:v>
                </c:pt>
                <c:pt idx="266">
                  <c:v>304.95444343238432</c:v>
                </c:pt>
                <c:pt idx="267">
                  <c:v>306.71983097497429</c:v>
                </c:pt>
                <c:pt idx="268">
                  <c:v>308.4788745922595</c:v>
                </c:pt>
                <c:pt idx="269">
                  <c:v>310.23171160582655</c:v>
                </c:pt>
                <c:pt idx="270">
                  <c:v>311.97847692489461</c:v>
                </c:pt>
                <c:pt idx="271">
                  <c:v>313.71930311621117</c:v>
                </c:pt>
                <c:pt idx="272">
                  <c:v>315.45432047131305</c:v>
                </c:pt>
                <c:pt idx="273">
                  <c:v>317.18365707123723</c:v>
                </c:pt>
                <c:pt idx="274">
                  <c:v>318.90743884875911</c:v>
                </c:pt>
                <c:pt idx="275">
                  <c:v>320.62578964822973</c:v>
                </c:pt>
                <c:pt idx="276">
                  <c:v>322.33883128307701</c:v>
                </c:pt>
                <c:pt idx="277">
                  <c:v>324.04668359102902</c:v>
                </c:pt>
                <c:pt idx="278">
                  <c:v>325.74946448711148</c:v>
                </c:pt>
                <c:pt idx="279">
                  <c:v>327.44729001446422</c:v>
                </c:pt>
                <c:pt idx="280">
                  <c:v>329.14027439301572</c:v>
                </c:pt>
                <c:pt idx="281">
                  <c:v>330.82853006604711</c:v>
                </c:pt>
                <c:pt idx="282">
                  <c:v>332.51216774466945</c:v>
                </c:pt>
                <c:pt idx="283">
                  <c:v>334.19129645023219</c:v>
                </c:pt>
                <c:pt idx="284">
                  <c:v>335.86602355467107</c:v>
                </c:pt>
                <c:pt idx="285">
                  <c:v>337.53645481879659</c:v>
                </c:pt>
                <c:pt idx="286">
                  <c:v>339.20269442851452</c:v>
                </c:pt>
                <c:pt idx="287">
                  <c:v>340.86484502896121</c:v>
                </c:pt>
                <c:pt idx="288">
                  <c:v>342.52300775652532</c:v>
                </c:pt>
                <c:pt idx="289">
                  <c:v>344.17728226871674</c:v>
                </c:pt>
                <c:pt idx="290">
                  <c:v>345.8277667718317</c:v>
                </c:pt>
                <c:pt idx="291">
                  <c:v>347.47455804634865</c:v>
                </c:pt>
                <c:pt idx="292">
                  <c:v>349.11775146997576</c:v>
                </c:pt>
                <c:pt idx="293">
                  <c:v>350.75744103825383</c:v>
                </c:pt>
                <c:pt idx="294">
                  <c:v>352.39371938260041</c:v>
                </c:pt>
                <c:pt idx="295">
                  <c:v>354.0266777856607</c:v>
                </c:pt>
                <c:pt idx="296">
                  <c:v>355.65640619380849</c:v>
                </c:pt>
                <c:pt idx="297">
                  <c:v>357.28299322661474</c:v>
                </c:pt>
                <c:pt idx="298">
                  <c:v>358.90652618307308</c:v>
                </c:pt>
                <c:pt idx="299">
                  <c:v>360.52709104434092</c:v>
                </c:pt>
                <c:pt idx="300">
                  <c:v>362.14477247271799</c:v>
                </c:pt>
                <c:pt idx="301">
                  <c:v>363.75965380654617</c:v>
                </c:pt>
                <c:pt idx="302">
                  <c:v>365.37181705066894</c:v>
                </c:pt>
                <c:pt idx="303">
                  <c:v>366.98134286204157</c:v>
                </c:pt>
                <c:pt idx="304">
                  <c:v>368.58831053002734</c:v>
                </c:pt>
                <c:pt idx="305">
                  <c:v>370.1927979508572</c:v>
                </c:pt>
                <c:pt idx="306">
                  <c:v>371.79488159566461</c:v>
                </c:pt>
                <c:pt idx="307">
                  <c:v>373.39463647143901</c:v>
                </c:pt>
                <c:pt idx="308">
                  <c:v>374.99213607416749</c:v>
                </c:pt>
                <c:pt idx="309">
                  <c:v>376.58745233335924</c:v>
                </c:pt>
                <c:pt idx="310">
                  <c:v>378.18065554707357</c:v>
                </c:pt>
                <c:pt idx="311">
                  <c:v>379.77181430650245</c:v>
                </c:pt>
                <c:pt idx="312">
                  <c:v>381.36099540910027</c:v>
                </c:pt>
                <c:pt idx="313">
                  <c:v>382.94826375921633</c:v>
                </c:pt>
                <c:pt idx="314">
                  <c:v>384.53368225517909</c:v>
                </c:pt>
                <c:pt idx="315">
                  <c:v>386.11731166182443</c:v>
                </c:pt>
                <c:pt idx="316">
                  <c:v>387.69921046757122</c:v>
                </c:pt>
                <c:pt idx="317">
                  <c:v>389.27943472535418</c:v>
                </c:pt>
                <c:pt idx="318">
                  <c:v>390.85803787705419</c:v>
                </c:pt>
                <c:pt idx="319">
                  <c:v>392.43507056155352</c:v>
                </c:pt>
                <c:pt idx="320">
                  <c:v>394.01058040721938</c:v>
                </c:pt>
                <c:pt idx="321">
                  <c:v>395.58461181050774</c:v>
                </c:pt>
                <c:pt idx="322">
                  <c:v>397.1572057034877</c:v>
                </c:pt>
                <c:pt idx="323">
                  <c:v>398.72839931439569</c:v>
                </c:pt>
                <c:pt idx="324">
                  <c:v>400.29822592677141</c:v>
                </c:pt>
                <c:pt idx="325">
                  <c:v>401.86671464419197</c:v>
                </c:pt>
                <c:pt idx="326">
                  <c:v>403.43389016892581</c:v>
                </c:pt>
                <c:pt idx="327">
                  <c:v>404.99977260375965</c:v>
                </c:pt>
                <c:pt idx="328">
                  <c:v>406.56437728656948</c:v>
                </c:pt>
                <c:pt idx="329">
                  <c:v>408.12771466670995</c:v>
                </c:pt>
                <c:pt idx="330">
                  <c:v>409.68979023088002</c:v>
                </c:pt>
                <c:pt idx="331">
                  <c:v>411.25060448382828</c:v>
                </c:pt>
                <c:pt idx="332">
                  <c:v>412.81015298629552</c:v>
                </c:pt>
                <c:pt idx="333">
                  <c:v>414.3684264493138</c:v>
                </c:pt>
                <c:pt idx="334">
                  <c:v>415.92541088080935</c:v>
                </c:pt>
                <c:pt idx="335">
                  <c:v>417.48108777779493</c:v>
                </c:pt>
                <c:pt idx="336">
                  <c:v>419.03543435557634</c:v>
                </c:pt>
                <c:pt idx="337">
                  <c:v>420.58842380445952</c:v>
                </c:pt>
                <c:pt idx="338">
                  <c:v>422.14002556439698</c:v>
                </c:pt>
                <c:pt idx="339">
                  <c:v>423.69020560868904</c:v>
                </c:pt>
                <c:pt idx="340">
                  <c:v>425.23892672902969</c:v>
                </c:pt>
                <c:pt idx="341">
                  <c:v>426.78614881561998</c:v>
                </c:pt>
                <c:pt idx="342">
                  <c:v>428.33182912756678</c:v>
                </c:pt>
                <c:pt idx="343">
                  <c:v>429.87592255018723</c:v>
                </c:pt>
                <c:pt idx="344">
                  <c:v>431.41838183706477</c:v>
                </c:pt>
                <c:pt idx="345">
                  <c:v>432.95915783570854</c:v>
                </c:pt>
                <c:pt idx="346">
                  <c:v>434.49819969645034</c:v>
                </c:pt>
                <c:pt idx="347">
                  <c:v>436.03545506478957</c:v>
                </c:pt>
                <c:pt idx="348">
                  <c:v>437.57087025779964</c:v>
                </c:pt>
                <c:pt idx="349">
                  <c:v>439.10439042546761</c:v>
                </c:pt>
                <c:pt idx="350">
                  <c:v>440.63595969798996</c:v>
                </c:pt>
                <c:pt idx="351">
                  <c:v>442.16552132011543</c:v>
                </c:pt>
                <c:pt idx="352">
                  <c:v>443.69301777363722</c:v>
                </c:pt>
                <c:pt idx="353">
                  <c:v>445.21839088910843</c:v>
                </c:pt>
                <c:pt idx="354">
                  <c:v>446.74158194780028</c:v>
                </c:pt>
                <c:pt idx="355">
                  <c:v>448.26253177485574</c:v>
                </c:pt>
                <c:pt idx="356">
                  <c:v>449.78118082451437</c:v>
                </c:pt>
                <c:pt idx="357">
                  <c:v>451.29746925820746</c:v>
                </c:pt>
                <c:pt idx="358">
                  <c:v>452.81133701624634</c:v>
                </c:pt>
                <c:pt idx="359">
                  <c:v>454.32272388375316</c:v>
                </c:pt>
                <c:pt idx="360">
                  <c:v>455.83156955141686</c:v>
                </c:pt>
                <c:pt idx="361">
                  <c:v>457.33781367159378</c:v>
                </c:pt>
                <c:pt idx="362">
                  <c:v>458.84139591021517</c:v>
                </c:pt>
                <c:pt idx="363">
                  <c:v>460.34225599491384</c:v>
                </c:pt>
                <c:pt idx="364">
                  <c:v>461.84033375973496</c:v>
                </c:pt>
                <c:pt idx="365">
                  <c:v>463.33556918675527</c:v>
                </c:pt>
                <c:pt idx="366">
                  <c:v>464.82790244489888</c:v>
                </c:pt>
                <c:pt idx="367">
                  <c:v>466.3172739262053</c:v>
                </c:pt>
                <c:pt idx="368">
                  <c:v>467.80362427977582</c:v>
                </c:pt>
                <c:pt idx="369">
                  <c:v>469.28689444360066</c:v>
                </c:pt>
                <c:pt idx="370">
                  <c:v>470.76702567444505</c:v>
                </c:pt>
                <c:pt idx="371">
                  <c:v>472.24395957595431</c:v>
                </c:pt>
                <c:pt idx="372">
                  <c:v>473.71763812511927</c:v>
                </c:pt>
                <c:pt idx="373">
                  <c:v>475.18800369722896</c:v>
                </c:pt>
                <c:pt idx="374">
                  <c:v>476.65499908942286</c:v>
                </c:pt>
                <c:pt idx="375">
                  <c:v>478.11856754294422</c:v>
                </c:pt>
                <c:pt idx="376">
                  <c:v>479.57865276418426</c:v>
                </c:pt>
                <c:pt idx="377">
                  <c:v>481.03519894459828</c:v>
                </c:pt>
                <c:pt idx="378">
                  <c:v>482.48815077956624</c:v>
                </c:pt>
                <c:pt idx="379">
                  <c:v>483.93745348626322</c:v>
                </c:pt>
                <c:pt idx="380">
                  <c:v>485.38305282059821</c:v>
                </c:pt>
                <c:pt idx="381">
                  <c:v>486.82489509327428</c:v>
                </c:pt>
                <c:pt idx="382">
                  <c:v>488.26292718501827</c:v>
                </c:pt>
                <c:pt idx="383">
                  <c:v>489.69709656102282</c:v>
                </c:pt>
                <c:pt idx="384">
                  <c:v>491.1273512846405</c:v>
                </c:pt>
                <c:pt idx="385">
                  <c:v>492.55364003036516</c:v>
                </c:pt>
                <c:pt idx="386">
                  <c:v>493.97591209613375</c:v>
                </c:pt>
                <c:pt idx="387">
                  <c:v>495.39411741497759</c:v>
                </c:pt>
                <c:pt idx="388">
                  <c:v>496.80820656605027</c:v>
                </c:pt>
                <c:pt idx="389">
                  <c:v>498.21813078505761</c:v>
                </c:pt>
                <c:pt idx="390">
                  <c:v>499.62384197411183</c:v>
                </c:pt>
                <c:pt idx="391">
                  <c:v>501.02529271103151</c:v>
                </c:pt>
                <c:pt idx="392">
                  <c:v>502.42243625810625</c:v>
                </c:pt>
                <c:pt idx="393">
                  <c:v>503.81522657034469</c:v>
                </c:pt>
                <c:pt idx="394">
                  <c:v>505.20361830322213</c:v>
                </c:pt>
                <c:pt idx="395">
                  <c:v>506.58756681994333</c:v>
                </c:pt>
                <c:pt idx="396">
                  <c:v>507.96702819823571</c:v>
                </c:pt>
                <c:pt idx="397">
                  <c:v>509.34195923668551</c:v>
                </c:pt>
                <c:pt idx="398">
                  <c:v>510.71231746063097</c:v>
                </c:pt>
                <c:pt idx="399">
                  <c:v>512.07806112762353</c:v>
                </c:pt>
                <c:pt idx="400">
                  <c:v>513.43914923246928</c:v>
                </c:pt>
                <c:pt idx="401">
                  <c:v>514.79554151186119</c:v>
                </c:pt>
                <c:pt idx="402">
                  <c:v>516.1471984486127</c:v>
                </c:pt>
                <c:pt idx="403">
                  <c:v>517.49408127550203</c:v>
                </c:pt>
                <c:pt idx="404">
                  <c:v>518.83615197873712</c:v>
                </c:pt>
                <c:pt idx="405">
                  <c:v>520.17337330105033</c:v>
                </c:pt>
                <c:pt idx="406">
                  <c:v>521.50570874443156</c:v>
                </c:pt>
                <c:pt idx="407">
                  <c:v>522.83312257250782</c:v>
                </c:pt>
                <c:pt idx="408">
                  <c:v>524.1555798125778</c:v>
                </c:pt>
                <c:pt idx="409">
                  <c:v>525.47304625730987</c:v>
                </c:pt>
                <c:pt idx="410">
                  <c:v>526.78548846610988</c:v>
                </c:pt>
                <c:pt idx="411">
                  <c:v>528.09287376616771</c:v>
                </c:pt>
                <c:pt idx="412">
                  <c:v>529.39517025318924</c:v>
                </c:pt>
                <c:pt idx="413">
                  <c:v>530.69234679182057</c:v>
                </c:pt>
                <c:pt idx="414">
                  <c:v>531.98437301577246</c:v>
                </c:pt>
                <c:pt idx="415">
                  <c:v>533.27121932765124</c:v>
                </c:pt>
                <c:pt idx="416">
                  <c:v>534.5528568985028</c:v>
                </c:pt>
                <c:pt idx="417">
                  <c:v>535.82925766707763</c:v>
                </c:pt>
                <c:pt idx="418">
                  <c:v>537.10039433882162</c:v>
                </c:pt>
                <c:pt idx="419">
                  <c:v>538.3662403846007</c:v>
                </c:pt>
                <c:pt idx="420">
                  <c:v>539.62677003916542</c:v>
                </c:pt>
                <c:pt idx="421">
                  <c:v>540.88195829936069</c:v>
                </c:pt>
                <c:pt idx="422">
                  <c:v>542.13178092208921</c:v>
                </c:pt>
                <c:pt idx="423">
                  <c:v>543.37621442203249</c:v>
                </c:pt>
                <c:pt idx="424">
                  <c:v>544.61523606913727</c:v>
                </c:pt>
                <c:pt idx="425">
                  <c:v>545.84882388587243</c:v>
                </c:pt>
                <c:pt idx="426">
                  <c:v>547.07695664426353</c:v>
                </c:pt>
                <c:pt idx="427">
                  <c:v>548.29961386270963</c:v>
                </c:pt>
                <c:pt idx="428">
                  <c:v>549.5167758025899</c:v>
                </c:pt>
                <c:pt idx="429">
                  <c:v>550.72842346466462</c:v>
                </c:pt>
                <c:pt idx="430">
                  <c:v>551.93453858527675</c:v>
                </c:pt>
                <c:pt idx="431">
                  <c:v>553.13510363236117</c:v>
                </c:pt>
                <c:pt idx="432">
                  <c:v>554.33010180126519</c:v>
                </c:pt>
                <c:pt idx="433">
                  <c:v>555.51951701038774</c:v>
                </c:pt>
                <c:pt idx="434">
                  <c:v>556.70333389664245</c:v>
                </c:pt>
                <c:pt idx="435">
                  <c:v>557.88153781075005</c:v>
                </c:pt>
                <c:pt idx="436">
                  <c:v>559.05411481236581</c:v>
                </c:pt>
                <c:pt idx="437">
                  <c:v>560.22105166504787</c:v>
                </c:pt>
                <c:pt idx="438">
                  <c:v>561.38233583107115</c:v>
                </c:pt>
                <c:pt idx="439">
                  <c:v>562.53795546609365</c:v>
                </c:pt>
                <c:pt idx="440">
                  <c:v>563.68789941367891</c:v>
                </c:pt>
                <c:pt idx="441">
                  <c:v>564.83215719968121</c:v>
                </c:pt>
                <c:pt idx="442">
                  <c:v>565.97071902649861</c:v>
                </c:pt>
                <c:pt idx="443">
                  <c:v>567.10357576719809</c:v>
                </c:pt>
                <c:pt idx="444">
                  <c:v>568.23071895951978</c:v>
                </c:pt>
                <c:pt idx="445">
                  <c:v>569.35214079976345</c:v>
                </c:pt>
                <c:pt idx="446">
                  <c:v>570.46783413656362</c:v>
                </c:pt>
                <c:pt idx="447">
                  <c:v>571.577792464558</c:v>
                </c:pt>
                <c:pt idx="448">
                  <c:v>572.68200991795413</c:v>
                </c:pt>
                <c:pt idx="449">
                  <c:v>573.78048126399915</c:v>
                </c:pt>
                <c:pt idx="450">
                  <c:v>574.87320189635716</c:v>
                </c:pt>
                <c:pt idx="451">
                  <c:v>575.9601678283999</c:v>
                </c:pt>
                <c:pt idx="452">
                  <c:v>577.0413756864142</c:v>
                </c:pt>
                <c:pt idx="453">
                  <c:v>578.11682270273218</c:v>
                </c:pt>
                <c:pt idx="454">
                  <c:v>579.18650670878731</c:v>
                </c:pt>
                <c:pt idx="455">
                  <c:v>580.25042612810216</c:v>
                </c:pt>
                <c:pt idx="456">
                  <c:v>581.30857996921145</c:v>
                </c:pt>
                <c:pt idx="457">
                  <c:v>582.36096781852473</c:v>
                </c:pt>
                <c:pt idx="458">
                  <c:v>583.40758983313413</c:v>
                </c:pt>
                <c:pt idx="459">
                  <c:v>584.44844673356931</c:v>
                </c:pt>
                <c:pt idx="460">
                  <c:v>585.48353979650608</c:v>
                </c:pt>
                <c:pt idx="461">
                  <c:v>586.5128708474308</c:v>
                </c:pt>
                <c:pt idx="462">
                  <c:v>587.53644225326605</c:v>
                </c:pt>
                <c:pt idx="463">
                  <c:v>588.55425691496021</c:v>
                </c:pt>
                <c:pt idx="464">
                  <c:v>589.56631826004593</c:v>
                </c:pt>
                <c:pt idx="465">
                  <c:v>590.57263023517055</c:v>
                </c:pt>
                <c:pt idx="466">
                  <c:v>591.57319729860251</c:v>
                </c:pt>
                <c:pt idx="467">
                  <c:v>592.5680244127168</c:v>
                </c:pt>
                <c:pt idx="468">
                  <c:v>593.55711703646409</c:v>
                </c:pt>
                <c:pt idx="469">
                  <c:v>594.54048111782549</c:v>
                </c:pt>
                <c:pt idx="470">
                  <c:v>595.51812308625813</c:v>
                </c:pt>
                <c:pt idx="471">
                  <c:v>596.49004984513306</c:v>
                </c:pt>
                <c:pt idx="472">
                  <c:v>597.45626876416986</c:v>
                </c:pt>
                <c:pt idx="473">
                  <c:v>598.41678767187113</c:v>
                </c:pt>
                <c:pt idx="474">
                  <c:v>599.37161484795888</c:v>
                </c:pt>
                <c:pt idx="475">
                  <c:v>600.3207590158172</c:v>
                </c:pt>
                <c:pt idx="476">
                  <c:v>601.26422933494291</c:v>
                </c:pt>
                <c:pt idx="477">
                  <c:v>602.2020353934081</c:v>
                </c:pt>
                <c:pt idx="478">
                  <c:v>603.13418720033633</c:v>
                </c:pt>
                <c:pt idx="479">
                  <c:v>604.06069517839626</c:v>
                </c:pt>
                <c:pt idx="480">
                  <c:v>604.98157015631386</c:v>
                </c:pt>
                <c:pt idx="481">
                  <c:v>605.89682336140743</c:v>
                </c:pt>
                <c:pt idx="482">
                  <c:v>606.80646641214662</c:v>
                </c:pt>
                <c:pt idx="483">
                  <c:v>607.71051131073807</c:v>
                </c:pt>
                <c:pt idx="484">
                  <c:v>608.60897043574084</c:v>
                </c:pt>
                <c:pt idx="485">
                  <c:v>609.50185653471272</c:v>
                </c:pt>
                <c:pt idx="486">
                  <c:v>610.3891827168901</c:v>
                </c:pt>
                <c:pt idx="487">
                  <c:v>611.27096244590348</c:v>
                </c:pt>
                <c:pt idx="488">
                  <c:v>612.14720953253095</c:v>
                </c:pt>
                <c:pt idx="489">
                  <c:v>613.01793812749065</c:v>
                </c:pt>
                <c:pt idx="490">
                  <c:v>613.88316271427539</c:v>
                </c:pt>
                <c:pt idx="491">
                  <c:v>614.74289810203015</c:v>
                </c:pt>
                <c:pt idx="492">
                  <c:v>615.59715941847435</c:v>
                </c:pt>
                <c:pt idx="493">
                  <c:v>616.44596210287159</c:v>
                </c:pt>
                <c:pt idx="494">
                  <c:v>617.28932189904685</c:v>
                </c:pt>
                <c:pt idx="495">
                  <c:v>618.12725484845407</c:v>
                </c:pt>
                <c:pt idx="496">
                  <c:v>618.95977728329501</c:v>
                </c:pt>
                <c:pt idx="497">
                  <c:v>619.78690581969045</c:v>
                </c:pt>
                <c:pt idx="498">
                  <c:v>620.60865735090567</c:v>
                </c:pt>
                <c:pt idx="499">
                  <c:v>621.42504904063173</c:v>
                </c:pt>
                <c:pt idx="500">
                  <c:v>622.23609831632234</c:v>
                </c:pt>
                <c:pt idx="501">
                  <c:v>623.04182286258958</c:v>
                </c:pt>
                <c:pt idx="502">
                  <c:v>623.84224061465761</c:v>
                </c:pt>
                <c:pt idx="503">
                  <c:v>624.63736975187658</c:v>
                </c:pt>
                <c:pt idx="504">
                  <c:v>625.4272286912975</c:v>
                </c:pt>
                <c:pt idx="505">
                  <c:v>626.21183608130877</c:v>
                </c:pt>
                <c:pt idx="506">
                  <c:v>626.99121079533575</c:v>
                </c:pt>
                <c:pt idx="507">
                  <c:v>627.76537192560306</c:v>
                </c:pt>
                <c:pt idx="508">
                  <c:v>628.53433877696204</c:v>
                </c:pt>
                <c:pt idx="509">
                  <c:v>629.29813086078275</c:v>
                </c:pt>
                <c:pt idx="510">
                  <c:v>630.05676788891162</c:v>
                </c:pt>
                <c:pt idx="511">
                  <c:v>630.81026976769556</c:v>
                </c:pt>
                <c:pt idx="512">
                  <c:v>631.55865659207279</c:v>
                </c:pt>
                <c:pt idx="513">
                  <c:v>632.30194863973134</c:v>
                </c:pt>
                <c:pt idx="514">
                  <c:v>633.04016636533493</c:v>
                </c:pt>
                <c:pt idx="515">
                  <c:v>633.77333039481755</c:v>
                </c:pt>
                <c:pt idx="516">
                  <c:v>634.50146151974661</c:v>
                </c:pt>
                <c:pt idx="517">
                  <c:v>635.22458069175514</c:v>
                </c:pt>
                <c:pt idx="518">
                  <c:v>635.94270901704328</c:v>
                </c:pt>
                <c:pt idx="519">
                  <c:v>636.65586775094926</c:v>
                </c:pt>
                <c:pt idx="520">
                  <c:v>637.36407829259042</c:v>
                </c:pt>
                <c:pt idx="521">
                  <c:v>638.06736217957427</c:v>
                </c:pt>
                <c:pt idx="522">
                  <c:v>638.76574108277941</c:v>
                </c:pt>
                <c:pt idx="523">
                  <c:v>639.45923680120723</c:v>
                </c:pt>
                <c:pt idx="524">
                  <c:v>640.14787125690316</c:v>
                </c:pt>
                <c:pt idx="525">
                  <c:v>640.83166648994927</c:v>
                </c:pt>
                <c:pt idx="526">
                  <c:v>641.51064465352658</c:v>
                </c:pt>
                <c:pt idx="527">
                  <c:v>642.18482800904803</c:v>
                </c:pt>
                <c:pt idx="528">
                  <c:v>642.85423892136157</c:v>
                </c:pt>
                <c:pt idx="529">
                  <c:v>643.51889985402397</c:v>
                </c:pt>
                <c:pt idx="530">
                  <c:v>644.17883336464422</c:v>
                </c:pt>
                <c:pt idx="531">
                  <c:v>644.83406210029716</c:v>
                </c:pt>
                <c:pt idx="532">
                  <c:v>645.48460879300694</c:v>
                </c:pt>
                <c:pt idx="533">
                  <c:v>646.13049625530016</c:v>
                </c:pt>
                <c:pt idx="534">
                  <c:v>646.77174737582823</c:v>
                </c:pt>
                <c:pt idx="535">
                  <c:v>647.40838511505922</c:v>
                </c:pt>
                <c:pt idx="536">
                  <c:v>648.04043250103803</c:v>
                </c:pt>
                <c:pt idx="537">
                  <c:v>648.66791262521588</c:v>
                </c:pt>
                <c:pt idx="538">
                  <c:v>649.2908486383476</c:v>
                </c:pt>
                <c:pt idx="539">
                  <c:v>649.9092637464571</c:v>
                </c:pt>
                <c:pt idx="540">
                  <c:v>650.52318120687016</c:v>
                </c:pt>
                <c:pt idx="541">
                  <c:v>651.13262432431497</c:v>
                </c:pt>
                <c:pt idx="542">
                  <c:v>651.73761644708907</c:v>
                </c:pt>
                <c:pt idx="543">
                  <c:v>652.33818096329264</c:v>
                </c:pt>
                <c:pt idx="544">
                  <c:v>652.93434129712853</c:v>
                </c:pt>
                <c:pt idx="545">
                  <c:v>653.52612090526691</c:v>
                </c:pt>
                <c:pt idx="546">
                  <c:v>654.1135432732757</c:v>
                </c:pt>
                <c:pt idx="547">
                  <c:v>654.69663191211532</c:v>
                </c:pt>
                <c:pt idx="548">
                  <c:v>655.27541035469778</c:v>
                </c:pt>
                <c:pt idx="549">
                  <c:v>655.84990215250912</c:v>
                </c:pt>
                <c:pt idx="550">
                  <c:v>656.42013087229566</c:v>
                </c:pt>
                <c:pt idx="551">
                  <c:v>656.9861200928118</c:v>
                </c:pt>
                <c:pt idx="552">
                  <c:v>657.5478934016312</c:v>
                </c:pt>
                <c:pt idx="553">
                  <c:v>658.10547439201832</c:v>
                </c:pt>
                <c:pt idx="554">
                  <c:v>658.65888665986165</c:v>
                </c:pt>
                <c:pt idx="555">
                  <c:v>659.20815380066745</c:v>
                </c:pt>
                <c:pt idx="556">
                  <c:v>659.75329940661254</c:v>
                </c:pt>
                <c:pt idx="557">
                  <c:v>660.29434706365748</c:v>
                </c:pt>
                <c:pt idx="558">
                  <c:v>660.83132034871755</c:v>
                </c:pt>
                <c:pt idx="559">
                  <c:v>661.36424282689211</c:v>
                </c:pt>
                <c:pt idx="560">
                  <c:v>661.89313804875178</c:v>
                </c:pt>
                <c:pt idx="561">
                  <c:v>662.41802954768184</c:v>
                </c:pt>
                <c:pt idx="562">
                  <c:v>662.93894083728253</c:v>
                </c:pt>
                <c:pt idx="563">
                  <c:v>663.45589540882486</c:v>
                </c:pt>
                <c:pt idx="564">
                  <c:v>663.96891672876097</c:v>
                </c:pt>
                <c:pt idx="565">
                  <c:v>664.47802823628956</c:v>
                </c:pt>
                <c:pt idx="566">
                  <c:v>664.98325334097478</c:v>
                </c:pt>
                <c:pt idx="567">
                  <c:v>665.48461542041821</c:v>
                </c:pt>
                <c:pt idx="568">
                  <c:v>665.9821378179837</c:v>
                </c:pt>
                <c:pt idx="569">
                  <c:v>666.47584384057348</c:v>
                </c:pt>
                <c:pt idx="570">
                  <c:v>666.96575675645624</c:v>
                </c:pt>
                <c:pt idx="571">
                  <c:v>667.45189979314512</c:v>
                </c:pt>
                <c:pt idx="572">
                  <c:v>667.93429613532624</c:v>
                </c:pt>
                <c:pt idx="573">
                  <c:v>668.41296892283594</c:v>
                </c:pt>
                <c:pt idx="574">
                  <c:v>668.88794124868741</c:v>
                </c:pt>
                <c:pt idx="575">
                  <c:v>669.35923615714466</c:v>
                </c:pt>
                <c:pt idx="576">
                  <c:v>669.82687664184425</c:v>
                </c:pt>
                <c:pt idx="577">
                  <c:v>670.29088564396386</c:v>
                </c:pt>
                <c:pt idx="578">
                  <c:v>670.75128605043653</c:v>
                </c:pt>
                <c:pt idx="579">
                  <c:v>671.20810069221091</c:v>
                </c:pt>
                <c:pt idx="580">
                  <c:v>671.66135234255569</c:v>
                </c:pt>
                <c:pt idx="581">
                  <c:v>672.11106371540893</c:v>
                </c:pt>
                <c:pt idx="582">
                  <c:v>672.55725746377038</c:v>
                </c:pt>
                <c:pt idx="583">
                  <c:v>672.99995617813693</c:v>
                </c:pt>
                <c:pt idx="584">
                  <c:v>673.43918238498031</c:v>
                </c:pt>
                <c:pt idx="585">
                  <c:v>673.87495854526674</c:v>
                </c:pt>
                <c:pt idx="586">
                  <c:v>674.30730705301698</c:v>
                </c:pt>
                <c:pt idx="587">
                  <c:v>674.73625023390741</c:v>
                </c:pt>
                <c:pt idx="588">
                  <c:v>675.1618103439107</c:v>
                </c:pt>
                <c:pt idx="589">
                  <c:v>675.58400956797539</c:v>
                </c:pt>
                <c:pt idx="590">
                  <c:v>676.00287001874437</c:v>
                </c:pt>
                <c:pt idx="591">
                  <c:v>676.41841373531133</c:v>
                </c:pt>
                <c:pt idx="592">
                  <c:v>676.83066268201446</c:v>
                </c:pt>
                <c:pt idx="593">
                  <c:v>677.23963874726667</c:v>
                </c:pt>
                <c:pt idx="594">
                  <c:v>677.64536374242232</c:v>
                </c:pt>
                <c:pt idx="595">
                  <c:v>677.64536374242232</c:v>
                </c:pt>
                <c:pt idx="596">
                  <c:v>677.64536374242232</c:v>
                </c:pt>
                <c:pt idx="597">
                  <c:v>677.64536374242232</c:v>
                </c:pt>
                <c:pt idx="598">
                  <c:v>677.64536374242232</c:v>
                </c:pt>
                <c:pt idx="599">
                  <c:v>677.64536374242232</c:v>
                </c:pt>
                <c:pt idx="600">
                  <c:v>677.64536374242232</c:v>
                </c:pt>
                <c:pt idx="601">
                  <c:v>677.64536374242232</c:v>
                </c:pt>
                <c:pt idx="602">
                  <c:v>677.64536374242232</c:v>
                </c:pt>
                <c:pt idx="603">
                  <c:v>677.64536374242232</c:v>
                </c:pt>
                <c:pt idx="604">
                  <c:v>677.64536374242232</c:v>
                </c:pt>
                <c:pt idx="605">
                  <c:v>677.64536374242232</c:v>
                </c:pt>
                <c:pt idx="606">
                  <c:v>677.64536374242232</c:v>
                </c:pt>
                <c:pt idx="607">
                  <c:v>677.64536374242232</c:v>
                </c:pt>
                <c:pt idx="608">
                  <c:v>677.64536374242232</c:v>
                </c:pt>
                <c:pt idx="609">
                  <c:v>677.64536374242232</c:v>
                </c:pt>
                <c:pt idx="610">
                  <c:v>677.64536374242232</c:v>
                </c:pt>
                <c:pt idx="611">
                  <c:v>677.64536374242232</c:v>
                </c:pt>
                <c:pt idx="612">
                  <c:v>677.64536374242232</c:v>
                </c:pt>
                <c:pt idx="613">
                  <c:v>677.64536374242232</c:v>
                </c:pt>
                <c:pt idx="614">
                  <c:v>677.64536374242232</c:v>
                </c:pt>
                <c:pt idx="615">
                  <c:v>677.64536374242232</c:v>
                </c:pt>
                <c:pt idx="616">
                  <c:v>677.64536374242232</c:v>
                </c:pt>
                <c:pt idx="617">
                  <c:v>677.64536374242232</c:v>
                </c:pt>
                <c:pt idx="618">
                  <c:v>677.64536374242232</c:v>
                </c:pt>
                <c:pt idx="619">
                  <c:v>677.64536374242232</c:v>
                </c:pt>
                <c:pt idx="620">
                  <c:v>677.64536374242232</c:v>
                </c:pt>
                <c:pt idx="621">
                  <c:v>677.64536374242232</c:v>
                </c:pt>
                <c:pt idx="622">
                  <c:v>677.64536374242232</c:v>
                </c:pt>
                <c:pt idx="623">
                  <c:v>677.64536374242232</c:v>
                </c:pt>
                <c:pt idx="624">
                  <c:v>677.64536374242232</c:v>
                </c:pt>
                <c:pt idx="625">
                  <c:v>677.64536374242232</c:v>
                </c:pt>
                <c:pt idx="626">
                  <c:v>677.64536374242232</c:v>
                </c:pt>
                <c:pt idx="627">
                  <c:v>677.64536374242232</c:v>
                </c:pt>
                <c:pt idx="628">
                  <c:v>677.64536374242232</c:v>
                </c:pt>
                <c:pt idx="629">
                  <c:v>677.64536374242232</c:v>
                </c:pt>
                <c:pt idx="630">
                  <c:v>677.64536374242232</c:v>
                </c:pt>
                <c:pt idx="631">
                  <c:v>677.64536374242232</c:v>
                </c:pt>
                <c:pt idx="632">
                  <c:v>677.64536374242232</c:v>
                </c:pt>
                <c:pt idx="633">
                  <c:v>677.64536374242232</c:v>
                </c:pt>
                <c:pt idx="634">
                  <c:v>677.64536374242232</c:v>
                </c:pt>
                <c:pt idx="635">
                  <c:v>677.64536374242232</c:v>
                </c:pt>
                <c:pt idx="636">
                  <c:v>677.64536374242232</c:v>
                </c:pt>
                <c:pt idx="637">
                  <c:v>677.64536374242232</c:v>
                </c:pt>
                <c:pt idx="638">
                  <c:v>677.64536374242232</c:v>
                </c:pt>
                <c:pt idx="639">
                  <c:v>677.64536374242232</c:v>
                </c:pt>
                <c:pt idx="640">
                  <c:v>677.64536374242232</c:v>
                </c:pt>
                <c:pt idx="641">
                  <c:v>677.64536374242232</c:v>
                </c:pt>
                <c:pt idx="642">
                  <c:v>677.64536374242232</c:v>
                </c:pt>
                <c:pt idx="643">
                  <c:v>677.64536374242232</c:v>
                </c:pt>
                <c:pt idx="644">
                  <c:v>677.64536374242232</c:v>
                </c:pt>
                <c:pt idx="645">
                  <c:v>677.64536374242232</c:v>
                </c:pt>
                <c:pt idx="646">
                  <c:v>677.64536374242232</c:v>
                </c:pt>
                <c:pt idx="647">
                  <c:v>677.64536374242232</c:v>
                </c:pt>
                <c:pt idx="648">
                  <c:v>677.64536374242232</c:v>
                </c:pt>
                <c:pt idx="649">
                  <c:v>677.64536374242232</c:v>
                </c:pt>
                <c:pt idx="650">
                  <c:v>677.64536374242232</c:v>
                </c:pt>
                <c:pt idx="651">
                  <c:v>677.64536374242232</c:v>
                </c:pt>
                <c:pt idx="652">
                  <c:v>677.64536374242232</c:v>
                </c:pt>
                <c:pt idx="653">
                  <c:v>677.64536374242232</c:v>
                </c:pt>
                <c:pt idx="654">
                  <c:v>677.64536374242232</c:v>
                </c:pt>
                <c:pt idx="655">
                  <c:v>677.64536374242232</c:v>
                </c:pt>
                <c:pt idx="656">
                  <c:v>677.64536374242232</c:v>
                </c:pt>
                <c:pt idx="657">
                  <c:v>677.64536374242232</c:v>
                </c:pt>
                <c:pt idx="658">
                  <c:v>677.64536374242232</c:v>
                </c:pt>
                <c:pt idx="659">
                  <c:v>677.64536374242232</c:v>
                </c:pt>
                <c:pt idx="660">
                  <c:v>677.64536374242232</c:v>
                </c:pt>
                <c:pt idx="661">
                  <c:v>677.64536374242232</c:v>
                </c:pt>
                <c:pt idx="662">
                  <c:v>677.64536374242232</c:v>
                </c:pt>
                <c:pt idx="663">
                  <c:v>677.64536374242232</c:v>
                </c:pt>
                <c:pt idx="664">
                  <c:v>677.64536374242232</c:v>
                </c:pt>
                <c:pt idx="665">
                  <c:v>677.64536374242232</c:v>
                </c:pt>
                <c:pt idx="666">
                  <c:v>677.64536374242232</c:v>
                </c:pt>
                <c:pt idx="667">
                  <c:v>677.64536374242232</c:v>
                </c:pt>
                <c:pt idx="668">
                  <c:v>677.64536374242232</c:v>
                </c:pt>
                <c:pt idx="669">
                  <c:v>677.64536374242232</c:v>
                </c:pt>
                <c:pt idx="670">
                  <c:v>677.64536374242232</c:v>
                </c:pt>
                <c:pt idx="671">
                  <c:v>677.64536374242232</c:v>
                </c:pt>
                <c:pt idx="672">
                  <c:v>677.64536374242232</c:v>
                </c:pt>
                <c:pt idx="673">
                  <c:v>677.64536374242232</c:v>
                </c:pt>
                <c:pt idx="674">
                  <c:v>677.64536374242232</c:v>
                </c:pt>
                <c:pt idx="675">
                  <c:v>677.64536374242232</c:v>
                </c:pt>
                <c:pt idx="676">
                  <c:v>677.64536374242232</c:v>
                </c:pt>
                <c:pt idx="677">
                  <c:v>677.64536374242232</c:v>
                </c:pt>
                <c:pt idx="678">
                  <c:v>677.64536374242232</c:v>
                </c:pt>
                <c:pt idx="679">
                  <c:v>677.64536374242232</c:v>
                </c:pt>
                <c:pt idx="680">
                  <c:v>677.64536374242232</c:v>
                </c:pt>
                <c:pt idx="681">
                  <c:v>677.64536374242232</c:v>
                </c:pt>
                <c:pt idx="682">
                  <c:v>677.64536374242232</c:v>
                </c:pt>
                <c:pt idx="683">
                  <c:v>677.64536374242232</c:v>
                </c:pt>
                <c:pt idx="684">
                  <c:v>677.64536374242232</c:v>
                </c:pt>
                <c:pt idx="685">
                  <c:v>677.64536374242232</c:v>
                </c:pt>
                <c:pt idx="686">
                  <c:v>677.64536374242232</c:v>
                </c:pt>
                <c:pt idx="687">
                  <c:v>677.64536374242232</c:v>
                </c:pt>
                <c:pt idx="688">
                  <c:v>677.64536374242232</c:v>
                </c:pt>
                <c:pt idx="689">
                  <c:v>677.64536374242232</c:v>
                </c:pt>
                <c:pt idx="690">
                  <c:v>677.64536374242232</c:v>
                </c:pt>
                <c:pt idx="691">
                  <c:v>677.64536374242232</c:v>
                </c:pt>
                <c:pt idx="692">
                  <c:v>677.64536374242232</c:v>
                </c:pt>
                <c:pt idx="693">
                  <c:v>677.64536374242232</c:v>
                </c:pt>
                <c:pt idx="694">
                  <c:v>677.64536374242232</c:v>
                </c:pt>
                <c:pt idx="695">
                  <c:v>677.64536374242232</c:v>
                </c:pt>
                <c:pt idx="696">
                  <c:v>677.64536374242232</c:v>
                </c:pt>
                <c:pt idx="697">
                  <c:v>677.64536374242232</c:v>
                </c:pt>
                <c:pt idx="698">
                  <c:v>677.64536374242232</c:v>
                </c:pt>
                <c:pt idx="699">
                  <c:v>677.64536374242232</c:v>
                </c:pt>
                <c:pt idx="700">
                  <c:v>677.64536374242232</c:v>
                </c:pt>
                <c:pt idx="701">
                  <c:v>677.64536374242232</c:v>
                </c:pt>
                <c:pt idx="702">
                  <c:v>677.64536374242232</c:v>
                </c:pt>
                <c:pt idx="703">
                  <c:v>677.64536374242232</c:v>
                </c:pt>
                <c:pt idx="704">
                  <c:v>677.64536374242232</c:v>
                </c:pt>
                <c:pt idx="705">
                  <c:v>677.64536374242232</c:v>
                </c:pt>
                <c:pt idx="706">
                  <c:v>677.64536374242232</c:v>
                </c:pt>
                <c:pt idx="707">
                  <c:v>677.64536374242232</c:v>
                </c:pt>
                <c:pt idx="708">
                  <c:v>677.64536374242232</c:v>
                </c:pt>
                <c:pt idx="709">
                  <c:v>677.64536374242232</c:v>
                </c:pt>
                <c:pt idx="710">
                  <c:v>677.64536374242232</c:v>
                </c:pt>
                <c:pt idx="711">
                  <c:v>677.64536374242232</c:v>
                </c:pt>
                <c:pt idx="712">
                  <c:v>677.64536374242232</c:v>
                </c:pt>
                <c:pt idx="713">
                  <c:v>677.64536374242232</c:v>
                </c:pt>
                <c:pt idx="714">
                  <c:v>677.64536374242232</c:v>
                </c:pt>
                <c:pt idx="715">
                  <c:v>677.64536374242232</c:v>
                </c:pt>
                <c:pt idx="716">
                  <c:v>677.64536374242232</c:v>
                </c:pt>
                <c:pt idx="717">
                  <c:v>677.64536374242232</c:v>
                </c:pt>
                <c:pt idx="718">
                  <c:v>677.64536374242232</c:v>
                </c:pt>
                <c:pt idx="719">
                  <c:v>677.64536374242232</c:v>
                </c:pt>
                <c:pt idx="720">
                  <c:v>677.64536374242232</c:v>
                </c:pt>
                <c:pt idx="721">
                  <c:v>677.64536374242232</c:v>
                </c:pt>
                <c:pt idx="722">
                  <c:v>677.64536374242232</c:v>
                </c:pt>
                <c:pt idx="723">
                  <c:v>677.64536374242232</c:v>
                </c:pt>
                <c:pt idx="724">
                  <c:v>677.64536374242232</c:v>
                </c:pt>
                <c:pt idx="725">
                  <c:v>677.64536374242232</c:v>
                </c:pt>
                <c:pt idx="726">
                  <c:v>677.64536374242232</c:v>
                </c:pt>
                <c:pt idx="727">
                  <c:v>677.64536374242232</c:v>
                </c:pt>
                <c:pt idx="728">
                  <c:v>677.64536374242232</c:v>
                </c:pt>
                <c:pt idx="729">
                  <c:v>677.64536374242232</c:v>
                </c:pt>
                <c:pt idx="730">
                  <c:v>677.64536374242232</c:v>
                </c:pt>
                <c:pt idx="731">
                  <c:v>677.64536374242232</c:v>
                </c:pt>
                <c:pt idx="732">
                  <c:v>677.64536374242232</c:v>
                </c:pt>
                <c:pt idx="733">
                  <c:v>677.64536374242232</c:v>
                </c:pt>
                <c:pt idx="734">
                  <c:v>677.64536374242232</c:v>
                </c:pt>
                <c:pt idx="735">
                  <c:v>677.64536374242232</c:v>
                </c:pt>
                <c:pt idx="736">
                  <c:v>677.64536374242232</c:v>
                </c:pt>
                <c:pt idx="737">
                  <c:v>677.64536374242232</c:v>
                </c:pt>
                <c:pt idx="738">
                  <c:v>677.64536374242232</c:v>
                </c:pt>
                <c:pt idx="739">
                  <c:v>677.64536374242232</c:v>
                </c:pt>
                <c:pt idx="740">
                  <c:v>677.64536374242232</c:v>
                </c:pt>
                <c:pt idx="741">
                  <c:v>677.64536374242232</c:v>
                </c:pt>
                <c:pt idx="742">
                  <c:v>677.64536374242232</c:v>
                </c:pt>
                <c:pt idx="743">
                  <c:v>677.64536374242232</c:v>
                </c:pt>
                <c:pt idx="744">
                  <c:v>677.64536374242232</c:v>
                </c:pt>
                <c:pt idx="745">
                  <c:v>677.64536374242232</c:v>
                </c:pt>
                <c:pt idx="746">
                  <c:v>677.64536374242232</c:v>
                </c:pt>
                <c:pt idx="747">
                  <c:v>677.64536374242232</c:v>
                </c:pt>
                <c:pt idx="748">
                  <c:v>677.64536374242232</c:v>
                </c:pt>
                <c:pt idx="749">
                  <c:v>677.64536374242232</c:v>
                </c:pt>
                <c:pt idx="750">
                  <c:v>677.64536374242232</c:v>
                </c:pt>
                <c:pt idx="751">
                  <c:v>677.64536374242232</c:v>
                </c:pt>
                <c:pt idx="752">
                  <c:v>677.64536374242232</c:v>
                </c:pt>
                <c:pt idx="753">
                  <c:v>677.64536374242232</c:v>
                </c:pt>
                <c:pt idx="754">
                  <c:v>677.64536374242232</c:v>
                </c:pt>
                <c:pt idx="755">
                  <c:v>677.64536374242232</c:v>
                </c:pt>
                <c:pt idx="756">
                  <c:v>677.64536374242232</c:v>
                </c:pt>
                <c:pt idx="757">
                  <c:v>677.64536374242232</c:v>
                </c:pt>
                <c:pt idx="758">
                  <c:v>677.64536374242232</c:v>
                </c:pt>
                <c:pt idx="759">
                  <c:v>677.64536374242232</c:v>
                </c:pt>
                <c:pt idx="760">
                  <c:v>677.64536374242232</c:v>
                </c:pt>
                <c:pt idx="761">
                  <c:v>677.64536374242232</c:v>
                </c:pt>
                <c:pt idx="762">
                  <c:v>677.64536374242232</c:v>
                </c:pt>
                <c:pt idx="763">
                  <c:v>677.64536374242232</c:v>
                </c:pt>
                <c:pt idx="764">
                  <c:v>677.64536374242232</c:v>
                </c:pt>
                <c:pt idx="765">
                  <c:v>677.64536374242232</c:v>
                </c:pt>
                <c:pt idx="766">
                  <c:v>677.64536374242232</c:v>
                </c:pt>
                <c:pt idx="767">
                  <c:v>677.64536374242232</c:v>
                </c:pt>
                <c:pt idx="768">
                  <c:v>677.64536374242232</c:v>
                </c:pt>
                <c:pt idx="769">
                  <c:v>677.64536374242232</c:v>
                </c:pt>
                <c:pt idx="770">
                  <c:v>677.64536374242232</c:v>
                </c:pt>
                <c:pt idx="771">
                  <c:v>677.64536374242232</c:v>
                </c:pt>
                <c:pt idx="772">
                  <c:v>677.64536374242232</c:v>
                </c:pt>
                <c:pt idx="773">
                  <c:v>677.64536374242232</c:v>
                </c:pt>
                <c:pt idx="774">
                  <c:v>677.64536374242232</c:v>
                </c:pt>
                <c:pt idx="775">
                  <c:v>677.64536374242232</c:v>
                </c:pt>
                <c:pt idx="776">
                  <c:v>677.64536374242232</c:v>
                </c:pt>
                <c:pt idx="777">
                  <c:v>677.64536374242232</c:v>
                </c:pt>
                <c:pt idx="778">
                  <c:v>677.64536374242232</c:v>
                </c:pt>
                <c:pt idx="779">
                  <c:v>677.64536374242232</c:v>
                </c:pt>
                <c:pt idx="780">
                  <c:v>677.64536374242232</c:v>
                </c:pt>
                <c:pt idx="781">
                  <c:v>677.64536374242232</c:v>
                </c:pt>
                <c:pt idx="782">
                  <c:v>677.64536374242232</c:v>
                </c:pt>
                <c:pt idx="783">
                  <c:v>677.64536374242232</c:v>
                </c:pt>
                <c:pt idx="784">
                  <c:v>677.64536374242232</c:v>
                </c:pt>
                <c:pt idx="785">
                  <c:v>677.64536374242232</c:v>
                </c:pt>
                <c:pt idx="786">
                  <c:v>677.64536374242232</c:v>
                </c:pt>
                <c:pt idx="787">
                  <c:v>677.64536374242232</c:v>
                </c:pt>
                <c:pt idx="788">
                  <c:v>677.64536374242232</c:v>
                </c:pt>
                <c:pt idx="789">
                  <c:v>677.64536374242232</c:v>
                </c:pt>
                <c:pt idx="790">
                  <c:v>677.64536374242232</c:v>
                </c:pt>
                <c:pt idx="791">
                  <c:v>677.64536374242232</c:v>
                </c:pt>
                <c:pt idx="792">
                  <c:v>677.64536374242232</c:v>
                </c:pt>
                <c:pt idx="793">
                  <c:v>677.64536374242232</c:v>
                </c:pt>
                <c:pt idx="794">
                  <c:v>677.64536374242232</c:v>
                </c:pt>
                <c:pt idx="795">
                  <c:v>677.64536374242232</c:v>
                </c:pt>
                <c:pt idx="796">
                  <c:v>677.64536374242232</c:v>
                </c:pt>
                <c:pt idx="797">
                  <c:v>677.64536374242232</c:v>
                </c:pt>
                <c:pt idx="798">
                  <c:v>677.64536374242232</c:v>
                </c:pt>
                <c:pt idx="799">
                  <c:v>677.64536374242232</c:v>
                </c:pt>
                <c:pt idx="800">
                  <c:v>677.64536374242232</c:v>
                </c:pt>
                <c:pt idx="801">
                  <c:v>677.64536374242232</c:v>
                </c:pt>
                <c:pt idx="802">
                  <c:v>677.64536374242232</c:v>
                </c:pt>
                <c:pt idx="803">
                  <c:v>677.64536374242232</c:v>
                </c:pt>
                <c:pt idx="804">
                  <c:v>677.64536374242232</c:v>
                </c:pt>
                <c:pt idx="805">
                  <c:v>677.64536374242232</c:v>
                </c:pt>
                <c:pt idx="806">
                  <c:v>677.64536374242232</c:v>
                </c:pt>
                <c:pt idx="807">
                  <c:v>677.64536374242232</c:v>
                </c:pt>
                <c:pt idx="808">
                  <c:v>677.64536374242232</c:v>
                </c:pt>
                <c:pt idx="809">
                  <c:v>677.64536374242232</c:v>
                </c:pt>
                <c:pt idx="810">
                  <c:v>677.64536374242232</c:v>
                </c:pt>
                <c:pt idx="811">
                  <c:v>677.64536374242232</c:v>
                </c:pt>
                <c:pt idx="812">
                  <c:v>677.64536374242232</c:v>
                </c:pt>
                <c:pt idx="813">
                  <c:v>677.64536374242232</c:v>
                </c:pt>
                <c:pt idx="814">
                  <c:v>677.64536374242232</c:v>
                </c:pt>
                <c:pt idx="815">
                  <c:v>677.64536374242232</c:v>
                </c:pt>
                <c:pt idx="816">
                  <c:v>677.64536374242232</c:v>
                </c:pt>
                <c:pt idx="817">
                  <c:v>677.64536374242232</c:v>
                </c:pt>
                <c:pt idx="818">
                  <c:v>677.64536374242232</c:v>
                </c:pt>
                <c:pt idx="819">
                  <c:v>677.64536374242232</c:v>
                </c:pt>
                <c:pt idx="820">
                  <c:v>677.64536374242232</c:v>
                </c:pt>
                <c:pt idx="821">
                  <c:v>677.64536374242232</c:v>
                </c:pt>
                <c:pt idx="822">
                  <c:v>677.64536374242232</c:v>
                </c:pt>
                <c:pt idx="823">
                  <c:v>677.64536374242232</c:v>
                </c:pt>
                <c:pt idx="824">
                  <c:v>677.64536374242232</c:v>
                </c:pt>
                <c:pt idx="825">
                  <c:v>677.64536374242232</c:v>
                </c:pt>
                <c:pt idx="826">
                  <c:v>677.64536374242232</c:v>
                </c:pt>
                <c:pt idx="827">
                  <c:v>677.64536374242232</c:v>
                </c:pt>
                <c:pt idx="828">
                  <c:v>677.64536374242232</c:v>
                </c:pt>
                <c:pt idx="829">
                  <c:v>677.64536374242232</c:v>
                </c:pt>
                <c:pt idx="830">
                  <c:v>677.64536374242232</c:v>
                </c:pt>
                <c:pt idx="831">
                  <c:v>677.64536374242232</c:v>
                </c:pt>
                <c:pt idx="832">
                  <c:v>677.64536374242232</c:v>
                </c:pt>
                <c:pt idx="833">
                  <c:v>677.64536374242232</c:v>
                </c:pt>
                <c:pt idx="834">
                  <c:v>677.64536374242232</c:v>
                </c:pt>
                <c:pt idx="835">
                  <c:v>677.64536374242232</c:v>
                </c:pt>
                <c:pt idx="836">
                  <c:v>677.64536374242232</c:v>
                </c:pt>
                <c:pt idx="837">
                  <c:v>677.64536374242232</c:v>
                </c:pt>
                <c:pt idx="838">
                  <c:v>677.64536374242232</c:v>
                </c:pt>
                <c:pt idx="839">
                  <c:v>677.64536374242232</c:v>
                </c:pt>
                <c:pt idx="840">
                  <c:v>677.64536374242232</c:v>
                </c:pt>
                <c:pt idx="841">
                  <c:v>677.64536374242232</c:v>
                </c:pt>
                <c:pt idx="842">
                  <c:v>677.64536374242232</c:v>
                </c:pt>
                <c:pt idx="843">
                  <c:v>677.64536374242232</c:v>
                </c:pt>
                <c:pt idx="844">
                  <c:v>677.64536374242232</c:v>
                </c:pt>
                <c:pt idx="845">
                  <c:v>677.64536374242232</c:v>
                </c:pt>
                <c:pt idx="846">
                  <c:v>677.64536374242232</c:v>
                </c:pt>
                <c:pt idx="847">
                  <c:v>677.64536374242232</c:v>
                </c:pt>
                <c:pt idx="848">
                  <c:v>677.64536374242232</c:v>
                </c:pt>
                <c:pt idx="849">
                  <c:v>677.64536374242232</c:v>
                </c:pt>
                <c:pt idx="850">
                  <c:v>677.64536374242232</c:v>
                </c:pt>
                <c:pt idx="851">
                  <c:v>677.64536374242232</c:v>
                </c:pt>
                <c:pt idx="852">
                  <c:v>677.64536374242232</c:v>
                </c:pt>
                <c:pt idx="853">
                  <c:v>677.64536374242232</c:v>
                </c:pt>
                <c:pt idx="854">
                  <c:v>677.64536374242232</c:v>
                </c:pt>
                <c:pt idx="855">
                  <c:v>677.64536374242232</c:v>
                </c:pt>
                <c:pt idx="856">
                  <c:v>677.64536374242232</c:v>
                </c:pt>
                <c:pt idx="857">
                  <c:v>677.64536374242232</c:v>
                </c:pt>
                <c:pt idx="858">
                  <c:v>677.64536374242232</c:v>
                </c:pt>
                <c:pt idx="859">
                  <c:v>677.64536374242232</c:v>
                </c:pt>
                <c:pt idx="860">
                  <c:v>677.64536374242232</c:v>
                </c:pt>
                <c:pt idx="861">
                  <c:v>677.64536374242232</c:v>
                </c:pt>
                <c:pt idx="862">
                  <c:v>677.64536374242232</c:v>
                </c:pt>
                <c:pt idx="863">
                  <c:v>677.64536374242232</c:v>
                </c:pt>
                <c:pt idx="864">
                  <c:v>677.64536374242232</c:v>
                </c:pt>
                <c:pt idx="865">
                  <c:v>677.64536374242232</c:v>
                </c:pt>
                <c:pt idx="866">
                  <c:v>677.64536374242232</c:v>
                </c:pt>
                <c:pt idx="867">
                  <c:v>677.64536374242232</c:v>
                </c:pt>
                <c:pt idx="868">
                  <c:v>677.64536374242232</c:v>
                </c:pt>
                <c:pt idx="869">
                  <c:v>677.64536374242232</c:v>
                </c:pt>
                <c:pt idx="870">
                  <c:v>677.64536374242232</c:v>
                </c:pt>
                <c:pt idx="871">
                  <c:v>677.64536374242232</c:v>
                </c:pt>
                <c:pt idx="872">
                  <c:v>677.64536374242232</c:v>
                </c:pt>
                <c:pt idx="873">
                  <c:v>677.64536374242232</c:v>
                </c:pt>
                <c:pt idx="874">
                  <c:v>677.64536374242232</c:v>
                </c:pt>
                <c:pt idx="875">
                  <c:v>677.64536374242232</c:v>
                </c:pt>
                <c:pt idx="876">
                  <c:v>677.64536374242232</c:v>
                </c:pt>
                <c:pt idx="877">
                  <c:v>677.64536374242232</c:v>
                </c:pt>
                <c:pt idx="878">
                  <c:v>677.64536374242232</c:v>
                </c:pt>
                <c:pt idx="879">
                  <c:v>677.64536374242232</c:v>
                </c:pt>
                <c:pt idx="880">
                  <c:v>677.64536374242232</c:v>
                </c:pt>
                <c:pt idx="881">
                  <c:v>677.64536374242232</c:v>
                </c:pt>
                <c:pt idx="882">
                  <c:v>677.64536374242232</c:v>
                </c:pt>
                <c:pt idx="883">
                  <c:v>677.64536374242232</c:v>
                </c:pt>
                <c:pt idx="884">
                  <c:v>677.64536374242232</c:v>
                </c:pt>
                <c:pt idx="885">
                  <c:v>677.64536374242232</c:v>
                </c:pt>
                <c:pt idx="886">
                  <c:v>677.64536374242232</c:v>
                </c:pt>
                <c:pt idx="887">
                  <c:v>677.64536374242232</c:v>
                </c:pt>
                <c:pt idx="888">
                  <c:v>677.64536374242232</c:v>
                </c:pt>
                <c:pt idx="889">
                  <c:v>677.64536374242232</c:v>
                </c:pt>
                <c:pt idx="890">
                  <c:v>677.64536374242232</c:v>
                </c:pt>
                <c:pt idx="891">
                  <c:v>677.64536374242232</c:v>
                </c:pt>
                <c:pt idx="892">
                  <c:v>677.64536374242232</c:v>
                </c:pt>
                <c:pt idx="893">
                  <c:v>677.64536374242232</c:v>
                </c:pt>
                <c:pt idx="894">
                  <c:v>677.64536374242232</c:v>
                </c:pt>
                <c:pt idx="895">
                  <c:v>677.64536374242232</c:v>
                </c:pt>
                <c:pt idx="896">
                  <c:v>677.64536374242232</c:v>
                </c:pt>
                <c:pt idx="897">
                  <c:v>677.64536374242232</c:v>
                </c:pt>
                <c:pt idx="898">
                  <c:v>677.64536374242232</c:v>
                </c:pt>
                <c:pt idx="899">
                  <c:v>677.64536374242232</c:v>
                </c:pt>
                <c:pt idx="900">
                  <c:v>677.64536374242232</c:v>
                </c:pt>
                <c:pt idx="901">
                  <c:v>677.64536374242232</c:v>
                </c:pt>
                <c:pt idx="902">
                  <c:v>677.64536374242232</c:v>
                </c:pt>
                <c:pt idx="903">
                  <c:v>677.64536374242232</c:v>
                </c:pt>
                <c:pt idx="904">
                  <c:v>677.64536374242232</c:v>
                </c:pt>
                <c:pt idx="905">
                  <c:v>677.64536374242232</c:v>
                </c:pt>
                <c:pt idx="906">
                  <c:v>677.64536374242232</c:v>
                </c:pt>
                <c:pt idx="907">
                  <c:v>677.64536374242232</c:v>
                </c:pt>
                <c:pt idx="908">
                  <c:v>677.64536374242232</c:v>
                </c:pt>
                <c:pt idx="909">
                  <c:v>677.64536374242232</c:v>
                </c:pt>
                <c:pt idx="910">
                  <c:v>677.64536374242232</c:v>
                </c:pt>
                <c:pt idx="911">
                  <c:v>677.64536374242232</c:v>
                </c:pt>
                <c:pt idx="912">
                  <c:v>677.64536374242232</c:v>
                </c:pt>
                <c:pt idx="913">
                  <c:v>677.64536374242232</c:v>
                </c:pt>
                <c:pt idx="914">
                  <c:v>677.64536374242232</c:v>
                </c:pt>
                <c:pt idx="915">
                  <c:v>677.64536374242232</c:v>
                </c:pt>
                <c:pt idx="916">
                  <c:v>677.64536374242232</c:v>
                </c:pt>
                <c:pt idx="917">
                  <c:v>677.64536374242232</c:v>
                </c:pt>
                <c:pt idx="918">
                  <c:v>677.64536374242232</c:v>
                </c:pt>
                <c:pt idx="919">
                  <c:v>677.64536374242232</c:v>
                </c:pt>
                <c:pt idx="920">
                  <c:v>677.64536374242232</c:v>
                </c:pt>
                <c:pt idx="921">
                  <c:v>677.64536374242232</c:v>
                </c:pt>
                <c:pt idx="922">
                  <c:v>677.64536374242232</c:v>
                </c:pt>
                <c:pt idx="923">
                  <c:v>677.64536374242232</c:v>
                </c:pt>
                <c:pt idx="924">
                  <c:v>677.64536374242232</c:v>
                </c:pt>
                <c:pt idx="925">
                  <c:v>677.64536374242232</c:v>
                </c:pt>
                <c:pt idx="926">
                  <c:v>677.64536374242232</c:v>
                </c:pt>
                <c:pt idx="927">
                  <c:v>677.64536374242232</c:v>
                </c:pt>
                <c:pt idx="928">
                  <c:v>677.64536374242232</c:v>
                </c:pt>
                <c:pt idx="929">
                  <c:v>677.64536374242232</c:v>
                </c:pt>
                <c:pt idx="930">
                  <c:v>677.64536374242232</c:v>
                </c:pt>
                <c:pt idx="931">
                  <c:v>677.64536374242232</c:v>
                </c:pt>
                <c:pt idx="932">
                  <c:v>677.64536374242232</c:v>
                </c:pt>
                <c:pt idx="933">
                  <c:v>677.64536374242232</c:v>
                </c:pt>
                <c:pt idx="934">
                  <c:v>677.64536374242232</c:v>
                </c:pt>
                <c:pt idx="935">
                  <c:v>677.64536374242232</c:v>
                </c:pt>
                <c:pt idx="936">
                  <c:v>677.64536374242232</c:v>
                </c:pt>
                <c:pt idx="937">
                  <c:v>677.64536374242232</c:v>
                </c:pt>
                <c:pt idx="938">
                  <c:v>677.64536374242232</c:v>
                </c:pt>
                <c:pt idx="939">
                  <c:v>677.64536374242232</c:v>
                </c:pt>
                <c:pt idx="940">
                  <c:v>677.64536374242232</c:v>
                </c:pt>
                <c:pt idx="941">
                  <c:v>677.64536374242232</c:v>
                </c:pt>
                <c:pt idx="942">
                  <c:v>677.64536374242232</c:v>
                </c:pt>
                <c:pt idx="943">
                  <c:v>677.64536374242232</c:v>
                </c:pt>
                <c:pt idx="944">
                  <c:v>677.64536374242232</c:v>
                </c:pt>
                <c:pt idx="945">
                  <c:v>677.64536374242232</c:v>
                </c:pt>
                <c:pt idx="946">
                  <c:v>677.64536374242232</c:v>
                </c:pt>
                <c:pt idx="947">
                  <c:v>677.64536374242232</c:v>
                </c:pt>
                <c:pt idx="948">
                  <c:v>677.64536374242232</c:v>
                </c:pt>
                <c:pt idx="949">
                  <c:v>677.64536374242232</c:v>
                </c:pt>
                <c:pt idx="950">
                  <c:v>677.64536374242232</c:v>
                </c:pt>
                <c:pt idx="951">
                  <c:v>677.64536374242232</c:v>
                </c:pt>
                <c:pt idx="952">
                  <c:v>677.64536374242232</c:v>
                </c:pt>
                <c:pt idx="953">
                  <c:v>677.64536374242232</c:v>
                </c:pt>
                <c:pt idx="954">
                  <c:v>677.64536374242232</c:v>
                </c:pt>
                <c:pt idx="955">
                  <c:v>677.64536374242232</c:v>
                </c:pt>
                <c:pt idx="956">
                  <c:v>677.64536374242232</c:v>
                </c:pt>
                <c:pt idx="957">
                  <c:v>677.64536374242232</c:v>
                </c:pt>
                <c:pt idx="958">
                  <c:v>677.64536374242232</c:v>
                </c:pt>
                <c:pt idx="959">
                  <c:v>677.64536374242232</c:v>
                </c:pt>
                <c:pt idx="960">
                  <c:v>677.64536374242232</c:v>
                </c:pt>
                <c:pt idx="961">
                  <c:v>677.64536374242232</c:v>
                </c:pt>
                <c:pt idx="962">
                  <c:v>677.64536374242232</c:v>
                </c:pt>
                <c:pt idx="963">
                  <c:v>677.64536374242232</c:v>
                </c:pt>
                <c:pt idx="964">
                  <c:v>677.64536374242232</c:v>
                </c:pt>
                <c:pt idx="965">
                  <c:v>677.64536374242232</c:v>
                </c:pt>
                <c:pt idx="966">
                  <c:v>677.64536374242232</c:v>
                </c:pt>
                <c:pt idx="967">
                  <c:v>677.64536374242232</c:v>
                </c:pt>
                <c:pt idx="968">
                  <c:v>677.64536374242232</c:v>
                </c:pt>
                <c:pt idx="969">
                  <c:v>677.64536374242232</c:v>
                </c:pt>
                <c:pt idx="970">
                  <c:v>677.64536374242232</c:v>
                </c:pt>
                <c:pt idx="971">
                  <c:v>677.64536374242232</c:v>
                </c:pt>
                <c:pt idx="972">
                  <c:v>677.64536374242232</c:v>
                </c:pt>
                <c:pt idx="973">
                  <c:v>677.64536374242232</c:v>
                </c:pt>
                <c:pt idx="974">
                  <c:v>677.64536374242232</c:v>
                </c:pt>
                <c:pt idx="975">
                  <c:v>677.64536374242232</c:v>
                </c:pt>
                <c:pt idx="976">
                  <c:v>677.64536374242232</c:v>
                </c:pt>
                <c:pt idx="977">
                  <c:v>677.64536374242232</c:v>
                </c:pt>
                <c:pt idx="978">
                  <c:v>677.64536374242232</c:v>
                </c:pt>
                <c:pt idx="979">
                  <c:v>677.64536374242232</c:v>
                </c:pt>
                <c:pt idx="980">
                  <c:v>677.64536374242232</c:v>
                </c:pt>
                <c:pt idx="981">
                  <c:v>677.64536374242232</c:v>
                </c:pt>
                <c:pt idx="982">
                  <c:v>677.64536374242232</c:v>
                </c:pt>
                <c:pt idx="983">
                  <c:v>677.64536374242232</c:v>
                </c:pt>
                <c:pt idx="984">
                  <c:v>677.64536374242232</c:v>
                </c:pt>
                <c:pt idx="985">
                  <c:v>677.64536374242232</c:v>
                </c:pt>
                <c:pt idx="986">
                  <c:v>677.64536374242232</c:v>
                </c:pt>
                <c:pt idx="987">
                  <c:v>677.64536374242232</c:v>
                </c:pt>
                <c:pt idx="988">
                  <c:v>677.64536374242232</c:v>
                </c:pt>
                <c:pt idx="989">
                  <c:v>677.64536374242232</c:v>
                </c:pt>
                <c:pt idx="990">
                  <c:v>677.64536374242232</c:v>
                </c:pt>
                <c:pt idx="991">
                  <c:v>677.64536374242232</c:v>
                </c:pt>
                <c:pt idx="992">
                  <c:v>677.64536374242232</c:v>
                </c:pt>
                <c:pt idx="993">
                  <c:v>677.64536374242232</c:v>
                </c:pt>
                <c:pt idx="994">
                  <c:v>677.64536374242232</c:v>
                </c:pt>
                <c:pt idx="995">
                  <c:v>677.64536374242232</c:v>
                </c:pt>
                <c:pt idx="996">
                  <c:v>677.64536374242232</c:v>
                </c:pt>
                <c:pt idx="997">
                  <c:v>677.64536374242232</c:v>
                </c:pt>
                <c:pt idx="998">
                  <c:v>677.64536374242232</c:v>
                </c:pt>
                <c:pt idx="999">
                  <c:v>677.64536374242232</c:v>
                </c:pt>
                <c:pt idx="1000">
                  <c:v>677.64536374242232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883.12</c:v>
                </c:pt>
                <c:pt idx="1">
                  <c:v>885.04722432312724</c:v>
                </c:pt>
                <c:pt idx="2">
                  <c:v>886.97705860169447</c:v>
                </c:pt>
                <c:pt idx="3">
                  <c:v>888.91357576788494</c:v>
                </c:pt>
                <c:pt idx="4">
                  <c:v>890.85751191203963</c:v>
                </c:pt>
                <c:pt idx="5">
                  <c:v>892.80815548327644</c:v>
                </c:pt>
                <c:pt idx="6">
                  <c:v>894.76523589599708</c:v>
                </c:pt>
                <c:pt idx="7">
                  <c:v>896.72870302692411</c:v>
                </c:pt>
                <c:pt idx="8">
                  <c:v>898.6985067595491</c:v>
                </c:pt>
                <c:pt idx="9">
                  <c:v>900.67459698553307</c:v>
                </c:pt>
                <c:pt idx="10">
                  <c:v>902.65692360609626</c:v>
                </c:pt>
                <c:pt idx="11">
                  <c:v>904.64543653339706</c:v>
                </c:pt>
                <c:pt idx="12">
                  <c:v>906.64008569189991</c:v>
                </c:pt>
                <c:pt idx="13">
                  <c:v>908.6408210197327</c:v>
                </c:pt>
                <c:pt idx="14">
                  <c:v>910.64759247003269</c:v>
                </c:pt>
                <c:pt idx="15">
                  <c:v>912.66035001228204</c:v>
                </c:pt>
                <c:pt idx="16">
                  <c:v>914.67904363363164</c:v>
                </c:pt>
                <c:pt idx="17">
                  <c:v>916.70362334021422</c:v>
                </c:pt>
                <c:pt idx="18">
                  <c:v>918.73403915844608</c:v>
                </c:pt>
                <c:pt idx="19">
                  <c:v>920.77024113631762</c:v>
                </c:pt>
                <c:pt idx="20">
                  <c:v>922.81217934467247</c:v>
                </c:pt>
                <c:pt idx="21">
                  <c:v>924.8598038784753</c:v>
                </c:pt>
                <c:pt idx="22">
                  <c:v>926.91306485806865</c:v>
                </c:pt>
                <c:pt idx="23">
                  <c:v>928.97191243041732</c:v>
                </c:pt>
                <c:pt idx="24">
                  <c:v>931.03629677034246</c:v>
                </c:pt>
                <c:pt idx="25">
                  <c:v>933.10616808174314</c:v>
                </c:pt>
                <c:pt idx="26">
                  <c:v>935.18147659880708</c:v>
                </c:pt>
                <c:pt idx="27">
                  <c:v>937.26217258720931</c:v>
                </c:pt>
                <c:pt idx="28">
                  <c:v>939.34820634529933</c:v>
                </c:pt>
                <c:pt idx="29">
                  <c:v>941.4395282052767</c:v>
                </c:pt>
                <c:pt idx="30">
                  <c:v>943.5360885343548</c:v>
                </c:pt>
                <c:pt idx="31">
                  <c:v>945.63783773591297</c:v>
                </c:pt>
                <c:pt idx="32">
                  <c:v>947.74472625063686</c:v>
                </c:pt>
                <c:pt idx="33">
                  <c:v>949.85670455764671</c:v>
                </c:pt>
                <c:pt idx="34">
                  <c:v>951.9737231756144</c:v>
                </c:pt>
                <c:pt idx="35">
                  <c:v>954.09573266386826</c:v>
                </c:pt>
                <c:pt idx="36">
                  <c:v>956.2226836234862</c:v>
                </c:pt>
                <c:pt idx="37">
                  <c:v>958.35452669837684</c:v>
                </c:pt>
                <c:pt idx="38">
                  <c:v>960.49121257634874</c:v>
                </c:pt>
                <c:pt idx="39">
                  <c:v>962.63269199016815</c:v>
                </c:pt>
                <c:pt idx="40">
                  <c:v>964.77891571860437</c:v>
                </c:pt>
                <c:pt idx="41">
                  <c:v>966.92983458746357</c:v>
                </c:pt>
                <c:pt idx="42">
                  <c:v>969.08539947061024</c:v>
                </c:pt>
                <c:pt idx="43">
                  <c:v>971.24556129097732</c:v>
                </c:pt>
                <c:pt idx="44">
                  <c:v>973.41027102156386</c:v>
                </c:pt>
                <c:pt idx="45">
                  <c:v>975.57947968642122</c:v>
                </c:pt>
                <c:pt idx="46">
                  <c:v>977.75313836162695</c:v>
                </c:pt>
                <c:pt idx="47">
                  <c:v>979.93119817624688</c:v>
                </c:pt>
                <c:pt idx="48">
                  <c:v>982.11361031328556</c:v>
                </c:pt>
                <c:pt idx="49">
                  <c:v>984.30032601062419</c:v>
                </c:pt>
                <c:pt idx="50">
                  <c:v>986.49129656194725</c:v>
                </c:pt>
                <c:pt idx="51">
                  <c:v>988.68647331765692</c:v>
                </c:pt>
                <c:pt idx="52">
                  <c:v>990.8858076857756</c:v>
                </c:pt>
                <c:pt idx="53">
                  <c:v>993.08925113283669</c:v>
                </c:pt>
                <c:pt idx="54">
                  <c:v>995.29675518476324</c:v>
                </c:pt>
                <c:pt idx="55">
                  <c:v>997.50827142773494</c:v>
                </c:pt>
                <c:pt idx="56">
                  <c:v>999.72375150904361</c:v>
                </c:pt>
                <c:pt idx="57">
                  <c:v>1001.943147137936</c:v>
                </c:pt>
                <c:pt idx="58">
                  <c:v>1004.1664100864454</c:v>
                </c:pt>
                <c:pt idx="59">
                  <c:v>1006.3934921902115</c:v>
                </c:pt>
                <c:pt idx="60">
                  <c:v>1008.6243453492887</c:v>
                </c:pt>
                <c:pt idx="61">
                  <c:v>1010.8589215289412</c:v>
                </c:pt>
                <c:pt idx="62">
                  <c:v>1013.0971727604286</c:v>
                </c:pt>
                <c:pt idx="63">
                  <c:v>1015.3390318025245</c:v>
                </c:pt>
                <c:pt idx="64">
                  <c:v>1017.5843928270252</c:v>
                </c:pt>
                <c:pt idx="65">
                  <c:v>1019.833130822696</c:v>
                </c:pt>
                <c:pt idx="66">
                  <c:v>1022.0851209765161</c:v>
                </c:pt>
                <c:pt idx="67">
                  <c:v>1024.3402209400624</c:v>
                </c:pt>
                <c:pt idx="68">
                  <c:v>1026.5982531205573</c:v>
                </c:pt>
                <c:pt idx="69">
                  <c:v>1028.8589909307138</c:v>
                </c:pt>
                <c:pt idx="70">
                  <c:v>1031.1221450639896</c:v>
                </c:pt>
                <c:pt idx="71">
                  <c:v>1033.3873951758574</c:v>
                </c:pt>
                <c:pt idx="72">
                  <c:v>1035.6544215218846</c:v>
                </c:pt>
                <c:pt idx="73">
                  <c:v>1037.9229049746293</c:v>
                </c:pt>
                <c:pt idx="74">
                  <c:v>1040.1925270400793</c:v>
                </c:pt>
                <c:pt idx="75">
                  <c:v>1042.4629698736403</c:v>
                </c:pt>
                <c:pt idx="76">
                  <c:v>1044.7339162956689</c:v>
                </c:pt>
                <c:pt idx="77">
                  <c:v>1047.0050498065548</c:v>
                </c:pt>
                <c:pt idx="78">
                  <c:v>1049.2760546013526</c:v>
                </c:pt>
                <c:pt idx="79">
                  <c:v>1051.5466155839638</c:v>
                </c:pt>
                <c:pt idx="80">
                  <c:v>1053.816418380871</c:v>
                </c:pt>
                <c:pt idx="81">
                  <c:v>1056.0851869221869</c:v>
                </c:pt>
                <c:pt idx="82">
                  <c:v>1058.3527209342972</c:v>
                </c:pt>
                <c:pt idx="83">
                  <c:v>1060.6188581959623</c:v>
                </c:pt>
                <c:pt idx="84">
                  <c:v>1062.8834368772511</c:v>
                </c:pt>
                <c:pt idx="85">
                  <c:v>1065.1462955418474</c:v>
                </c:pt>
                <c:pt idx="86">
                  <c:v>1067.407273149242</c:v>
                </c:pt>
                <c:pt idx="87">
                  <c:v>1069.6662090568143</c:v>
                </c:pt>
                <c:pt idx="88">
                  <c:v>1071.9229430218022</c:v>
                </c:pt>
                <c:pt idx="89">
                  <c:v>1074.1773270758865</c:v>
                </c:pt>
                <c:pt idx="90">
                  <c:v>1076.4292373693206</c:v>
                </c:pt>
                <c:pt idx="91">
                  <c:v>1078.6785622371956</c:v>
                </c:pt>
                <c:pt idx="92">
                  <c:v>1080.9251902953195</c:v>
                </c:pt>
                <c:pt idx="93">
                  <c:v>1083.169013409248</c:v>
                </c:pt>
                <c:pt idx="94">
                  <c:v>1085.409929655468</c:v>
                </c:pt>
                <c:pt idx="95">
                  <c:v>1087.6478403367792</c:v>
                </c:pt>
                <c:pt idx="96">
                  <c:v>1089.8826470053405</c:v>
                </c:pt>
                <c:pt idx="97">
                  <c:v>1092.1142633392501</c:v>
                </c:pt>
                <c:pt idx="98">
                  <c:v>1094.3426269871832</c:v>
                </c:pt>
                <c:pt idx="99">
                  <c:v>1096.5676876270061</c:v>
                </c:pt>
                <c:pt idx="100">
                  <c:v>1098.7893950561586</c:v>
                </c:pt>
                <c:pt idx="101">
                  <c:v>1101.0076991911692</c:v>
                </c:pt>
                <c:pt idx="102">
                  <c:v>1103.2225500671618</c:v>
                </c:pt>
                <c:pt idx="103">
                  <c:v>1105.4338978373573</c:v>
                </c:pt>
                <c:pt idx="104">
                  <c:v>1107.6416927725677</c:v>
                </c:pt>
                <c:pt idx="105">
                  <c:v>1109.8458852606839</c:v>
                </c:pt>
                <c:pt idx="106">
                  <c:v>1112.0464258061577</c:v>
                </c:pt>
                <c:pt idx="107">
                  <c:v>1114.2432650294772</c:v>
                </c:pt>
                <c:pt idx="108">
                  <c:v>1116.4363536666356</c:v>
                </c:pt>
                <c:pt idx="109">
                  <c:v>1118.6256574154115</c:v>
                </c:pt>
                <c:pt idx="110">
                  <c:v>1120.8111717407921</c:v>
                </c:pt>
                <c:pt idx="111">
                  <c:v>1122.9929069464865</c:v>
                </c:pt>
                <c:pt idx="112">
                  <c:v>1125.170873287718</c:v>
                </c:pt>
                <c:pt idx="113">
                  <c:v>1127.3450809715271</c:v>
                </c:pt>
                <c:pt idx="114">
                  <c:v>1129.5155401570737</c:v>
                </c:pt>
                <c:pt idx="115">
                  <c:v>1131.6822609559365</c:v>
                </c:pt>
                <c:pt idx="116">
                  <c:v>1133.8452534324097</c:v>
                </c:pt>
                <c:pt idx="117">
                  <c:v>1136.004527603797</c:v>
                </c:pt>
                <c:pt idx="118">
                  <c:v>1138.1600934407049</c:v>
                </c:pt>
                <c:pt idx="119">
                  <c:v>1140.3119608673319</c:v>
                </c:pt>
                <c:pt idx="120">
                  <c:v>1142.460139761756</c:v>
                </c:pt>
                <c:pt idx="121">
                  <c:v>1144.604639956221</c:v>
                </c:pt>
                <c:pt idx="122">
                  <c:v>1146.745471237419</c:v>
                </c:pt>
                <c:pt idx="123">
                  <c:v>1148.8826433467716</c:v>
                </c:pt>
                <c:pt idx="124">
                  <c:v>1151.016165980709</c:v>
                </c:pt>
                <c:pt idx="125">
                  <c:v>1153.1460487909465</c:v>
                </c:pt>
                <c:pt idx="126">
                  <c:v>1155.2723013847583</c:v>
                </c:pt>
                <c:pt idx="127">
                  <c:v>1157.3949333252515</c:v>
                </c:pt>
                <c:pt idx="128">
                  <c:v>1159.513954131635</c:v>
                </c:pt>
                <c:pt idx="129">
                  <c:v>1161.6293732794886</c:v>
                </c:pt>
                <c:pt idx="130">
                  <c:v>1163.7412002010285</c:v>
                </c:pt>
                <c:pt idx="131">
                  <c:v>1165.8494442853716</c:v>
                </c:pt>
                <c:pt idx="132">
                  <c:v>1167.954114878798</c:v>
                </c:pt>
                <c:pt idx="133">
                  <c:v>1170.0552212850107</c:v>
                </c:pt>
                <c:pt idx="134">
                  <c:v>1172.1527727653938</c:v>
                </c:pt>
                <c:pt idx="135">
                  <c:v>1174.2467785392687</c:v>
                </c:pt>
                <c:pt idx="136">
                  <c:v>1176.3372477841481</c:v>
                </c:pt>
                <c:pt idx="137">
                  <c:v>1178.4241896359883</c:v>
                </c:pt>
                <c:pt idx="138">
                  <c:v>1180.50761318944</c:v>
                </c:pt>
                <c:pt idx="139">
                  <c:v>1182.5875274980956</c:v>
                </c:pt>
                <c:pt idx="140">
                  <c:v>1184.6639415747372</c:v>
                </c:pt>
                <c:pt idx="141">
                  <c:v>1186.7368643915802</c:v>
                </c:pt>
                <c:pt idx="142">
                  <c:v>1188.8063048805163</c:v>
                </c:pt>
                <c:pt idx="143">
                  <c:v>1190.8722719333553</c:v>
                </c:pt>
                <c:pt idx="144">
                  <c:v>1192.9347744020629</c:v>
                </c:pt>
                <c:pt idx="145">
                  <c:v>1194.9938210989997</c:v>
                </c:pt>
                <c:pt idx="146">
                  <c:v>1197.0494207971553</c:v>
                </c:pt>
                <c:pt idx="147">
                  <c:v>1199.1015822303834</c:v>
                </c:pt>
                <c:pt idx="148">
                  <c:v>1201.1503140936331</c:v>
                </c:pt>
                <c:pt idx="149">
                  <c:v>1203.1956250431795</c:v>
                </c:pt>
                <c:pt idx="150">
                  <c:v>1205.2375236968523</c:v>
                </c:pt>
                <c:pt idx="151">
                  <c:v>1207.2760186342632</c:v>
                </c:pt>
                <c:pt idx="152">
                  <c:v>1209.3111183970304</c:v>
                </c:pt>
                <c:pt idx="153">
                  <c:v>1211.3428314890027</c:v>
                </c:pt>
                <c:pt idx="154">
                  <c:v>1213.3711663764814</c:v>
                </c:pt>
                <c:pt idx="155">
                  <c:v>1215.3961314884402</c:v>
                </c:pt>
                <c:pt idx="156">
                  <c:v>1217.4177352167449</c:v>
                </c:pt>
                <c:pt idx="157">
                  <c:v>1219.4359859163685</c:v>
                </c:pt>
                <c:pt idx="158">
                  <c:v>1221.4508919056091</c:v>
                </c:pt>
                <c:pt idx="159">
                  <c:v>1223.4624614663016</c:v>
                </c:pt>
                <c:pt idx="160">
                  <c:v>1225.4707028440314</c:v>
                </c:pt>
                <c:pt idx="161">
                  <c:v>1227.4756242483445</c:v>
                </c:pt>
                <c:pt idx="162">
                  <c:v>1229.4772338529569</c:v>
                </c:pt>
                <c:pt idx="163">
                  <c:v>1231.475539795962</c:v>
                </c:pt>
                <c:pt idx="164">
                  <c:v>1233.4705501800372</c:v>
                </c:pt>
                <c:pt idx="165">
                  <c:v>1235.4622730726483</c:v>
                </c:pt>
                <c:pt idx="166">
                  <c:v>1237.4507165062523</c:v>
                </c:pt>
                <c:pt idx="167">
                  <c:v>1239.4358884784997</c:v>
                </c:pt>
                <c:pt idx="168">
                  <c:v>1241.4177969524344</c:v>
                </c:pt>
                <c:pt idx="169">
                  <c:v>1243.3964498566927</c:v>
                </c:pt>
                <c:pt idx="170">
                  <c:v>1245.3718550857</c:v>
                </c:pt>
                <c:pt idx="171">
                  <c:v>1247.3440204998674</c:v>
                </c:pt>
                <c:pt idx="172">
                  <c:v>1249.3129539257861</c:v>
                </c:pt>
                <c:pt idx="173">
                  <c:v>1251.27866315642</c:v>
                </c:pt>
                <c:pt idx="174">
                  <c:v>1253.2411559512975</c:v>
                </c:pt>
                <c:pt idx="175">
                  <c:v>1255.2004400367025</c:v>
                </c:pt>
                <c:pt idx="176">
                  <c:v>1257.1565231058626</c:v>
                </c:pt>
                <c:pt idx="177">
                  <c:v>1259.1094128191369</c:v>
                </c:pt>
                <c:pt idx="178">
                  <c:v>1261.0591168042026</c:v>
                </c:pt>
                <c:pt idx="179">
                  <c:v>1263.0056426562394</c:v>
                </c:pt>
                <c:pt idx="180">
                  <c:v>1264.9489979381133</c:v>
                </c:pt>
                <c:pt idx="181">
                  <c:v>1266.8891901805591</c:v>
                </c:pt>
                <c:pt idx="182">
                  <c:v>1268.8262268823614</c:v>
                </c:pt>
                <c:pt idx="183">
                  <c:v>1270.760115510534</c:v>
                </c:pt>
                <c:pt idx="184">
                  <c:v>1272.6908635004984</c:v>
                </c:pt>
                <c:pt idx="185">
                  <c:v>1274.6184782562614</c:v>
                </c:pt>
                <c:pt idx="186">
                  <c:v>1276.5429671505906</c:v>
                </c:pt>
                <c:pt idx="187">
                  <c:v>1278.4643375251894</c:v>
                </c:pt>
                <c:pt idx="188">
                  <c:v>1280.3825966908701</c:v>
                </c:pt>
                <c:pt idx="189">
                  <c:v>1282.297751927726</c:v>
                </c:pt>
                <c:pt idx="190">
                  <c:v>1284.2098104853035</c:v>
                </c:pt>
                <c:pt idx="191">
                  <c:v>1286.1187795827707</c:v>
                </c:pt>
                <c:pt idx="192">
                  <c:v>1288.0246664090866</c:v>
                </c:pt>
                <c:pt idx="193">
                  <c:v>1289.9274781231684</c:v>
                </c:pt>
                <c:pt idx="194">
                  <c:v>1291.8272218540578</c:v>
                </c:pt>
                <c:pt idx="195">
                  <c:v>1293.7239047010867</c:v>
                </c:pt>
                <c:pt idx="196">
                  <c:v>1295.6175337340399</c:v>
                </c:pt>
                <c:pt idx="197">
                  <c:v>1297.5081159933188</c:v>
                </c:pt>
                <c:pt idx="198">
                  <c:v>1299.3956584901036</c:v>
                </c:pt>
                <c:pt idx="199">
                  <c:v>1301.2801682065126</c:v>
                </c:pt>
                <c:pt idx="200">
                  <c:v>1303.1616520957625</c:v>
                </c:pt>
                <c:pt idx="201">
                  <c:v>1321.810606818723</c:v>
                </c:pt>
                <c:pt idx="202">
                  <c:v>1340.1614272177399</c:v>
                </c:pt>
                <c:pt idx="203">
                  <c:v>1358.2207960033118</c:v>
                </c:pt>
                <c:pt idx="204">
                  <c:v>1375.9951268880332</c:v>
                </c:pt>
                <c:pt idx="205">
                  <c:v>1393.4905787635607</c:v>
                </c:pt>
                <c:pt idx="206">
                  <c:v>1410.7130689442679</c:v>
                </c:pt>
                <c:pt idx="207">
                  <c:v>1427.6682855506911</c:v>
                </c:pt>
                <c:pt idx="208">
                  <c:v>1444.3616990992514</c:v>
                </c:pt>
                <c:pt idx="209">
                  <c:v>1460.798573358793</c:v>
                </c:pt>
                <c:pt idx="210">
                  <c:v>1476.9839755291316</c:v>
                </c:pt>
                <c:pt idx="211">
                  <c:v>1492.9227857920046</c:v>
                </c:pt>
                <c:pt idx="212">
                  <c:v>1508.6197062804756</c:v>
                </c:pt>
                <c:pt idx="213">
                  <c:v>1524.0792695089358</c:v>
                </c:pt>
                <c:pt idx="214">
                  <c:v>1539.3058463023081</c:v>
                </c:pt>
                <c:pt idx="215">
                  <c:v>1554.3036532598612</c:v>
                </c:pt>
                <c:pt idx="216">
                  <c:v>1569.0767597861413</c:v>
                </c:pt>
                <c:pt idx="217">
                  <c:v>1583.6290947188966</c:v>
                </c:pt>
                <c:pt idx="218">
                  <c:v>1597.9644525814851</c:v>
                </c:pt>
                <c:pt idx="219">
                  <c:v>1612.0864994850797</c:v>
                </c:pt>
                <c:pt idx="220">
                  <c:v>1625.9987787040059</c:v>
                </c:pt>
                <c:pt idx="221">
                  <c:v>1639.7047159457502</c:v>
                </c:pt>
                <c:pt idx="222">
                  <c:v>1653.2076243355259</c:v>
                </c:pt>
                <c:pt idx="223">
                  <c:v>1666.5107091337838</c:v>
                </c:pt>
                <c:pt idx="224">
                  <c:v>1679.6170722036809</c:v>
                </c:pt>
                <c:pt idx="225">
                  <c:v>1692.5297162442623</c:v>
                </c:pt>
                <c:pt idx="226">
                  <c:v>1705.251548803961</c:v>
                </c:pt>
                <c:pt idx="227">
                  <c:v>1717.7853860879609</c:v>
                </c:pt>
                <c:pt idx="228">
                  <c:v>1730.1339565720009</c:v>
                </c:pt>
                <c:pt idx="229">
                  <c:v>1742.2999044343069</c:v>
                </c:pt>
                <c:pt idx="230">
                  <c:v>1754.285792816517</c:v>
                </c:pt>
                <c:pt idx="231">
                  <c:v>1766.0941069237124</c:v>
                </c:pt>
                <c:pt idx="232">
                  <c:v>1777.7272569729721</c:v>
                </c:pt>
                <c:pt idx="233">
                  <c:v>1789.1875809992273</c:v>
                </c:pt>
                <c:pt idx="234">
                  <c:v>1800.4773475266006</c:v>
                </c:pt>
                <c:pt idx="235">
                  <c:v>1811.5987581128704</c:v>
                </c:pt>
                <c:pt idx="236">
                  <c:v>1822.5539497741931</c:v>
                </c:pt>
                <c:pt idx="237">
                  <c:v>1833.3449972967521</c:v>
                </c:pt>
                <c:pt idx="238">
                  <c:v>1843.9739154415688</c:v>
                </c:pt>
                <c:pt idx="239">
                  <c:v>1854.442661048309</c:v>
                </c:pt>
                <c:pt idx="240">
                  <c:v>1864.7531350435495</c:v>
                </c:pt>
                <c:pt idx="241">
                  <c:v>1874.9071843586241</c:v>
                </c:pt>
                <c:pt idx="242">
                  <c:v>1884.9066037618463</c:v>
                </c:pt>
                <c:pt idx="243">
                  <c:v>1894.7531376096131</c:v>
                </c:pt>
                <c:pt idx="244">
                  <c:v>1904.4484815206142</c:v>
                </c:pt>
                <c:pt idx="245">
                  <c:v>1913.9942839771147</c:v>
                </c:pt>
                <c:pt idx="246">
                  <c:v>1923.3921478570421</c:v>
                </c:pt>
                <c:pt idx="247">
                  <c:v>1932.6436319003826</c:v>
                </c:pt>
                <c:pt idx="248">
                  <c:v>1941.7502521131855</c:v>
                </c:pt>
                <c:pt idx="249">
                  <c:v>1950.7134831122814</c:v>
                </c:pt>
                <c:pt idx="250">
                  <c:v>1959.5347594136358</c:v>
                </c:pt>
                <c:pt idx="251">
                  <c:v>1968.215476667094</c:v>
                </c:pt>
                <c:pt idx="252">
                  <c:v>1976.7569928401142</c:v>
                </c:pt>
                <c:pt idx="253">
                  <c:v>1985.1606293529376</c:v>
                </c:pt>
                <c:pt idx="254">
                  <c:v>1993.427672167506</c:v>
                </c:pt>
                <c:pt idx="255">
                  <c:v>2001.559372832309</c:v>
                </c:pt>
                <c:pt idx="256">
                  <c:v>2009.5569494852223</c:v>
                </c:pt>
                <c:pt idx="257">
                  <c:v>2017.4215878162811</c:v>
                </c:pt>
                <c:pt idx="258">
                  <c:v>2025.1544419922341</c:v>
                </c:pt>
                <c:pt idx="259">
                  <c:v>2032.756635544614</c:v>
                </c:pt>
                <c:pt idx="260">
                  <c:v>2040.2292622229759</c:v>
                </c:pt>
                <c:pt idx="261">
                  <c:v>2047.5733868148602</c:v>
                </c:pt>
                <c:pt idx="262">
                  <c:v>2054.7900459339589</c:v>
                </c:pt>
                <c:pt idx="263">
                  <c:v>2061.8802487778826</c:v>
                </c:pt>
                <c:pt idx="264">
                  <c:v>2068.8449778568552</c:v>
                </c:pt>
                <c:pt idx="265">
                  <c:v>2075.6851896945946</c:v>
                </c:pt>
                <c:pt idx="266">
                  <c:v>2082.4018155025728</c:v>
                </c:pt>
                <c:pt idx="267">
                  <c:v>2088.9957618287845</c:v>
                </c:pt>
                <c:pt idx="268">
                  <c:v>2095.4679111821029</c:v>
                </c:pt>
                <c:pt idx="269">
                  <c:v>2101.8191226332438</c:v>
                </c:pt>
                <c:pt idx="270">
                  <c:v>2108.0502323933056</c:v>
                </c:pt>
                <c:pt idx="271">
                  <c:v>2114.1620543708113</c:v>
                </c:pt>
                <c:pt idx="272">
                  <c:v>2120.1553807081273</c:v>
                </c:pt>
                <c:pt idx="273">
                  <c:v>2126.0309822980985</c:v>
                </c:pt>
                <c:pt idx="274">
                  <c:v>2131.7896092816891</c:v>
                </c:pt>
                <c:pt idx="275">
                  <c:v>2137.4319915273945</c:v>
                </c:pt>
                <c:pt idx="276">
                  <c:v>2142.9588390931394</c:v>
                </c:pt>
                <c:pt idx="277">
                  <c:v>2148.3708426713565</c:v>
                </c:pt>
                <c:pt idx="278">
                  <c:v>2153.668674017902</c:v>
                </c:pt>
                <c:pt idx="279">
                  <c:v>2158.8529863654367</c:v>
                </c:pt>
                <c:pt idx="280">
                  <c:v>2163.9244148218731</c:v>
                </c:pt>
                <c:pt idx="281">
                  <c:v>2168.883576754466</c:v>
                </c:pt>
                <c:pt idx="282">
                  <c:v>2173.7310721600943</c:v>
                </c:pt>
                <c:pt idx="283">
                  <c:v>2178.4674840222692</c:v>
                </c:pt>
                <c:pt idx="284">
                  <c:v>2183.0933786553715</c:v>
                </c:pt>
                <c:pt idx="285">
                  <c:v>2187.609306036612</c:v>
                </c:pt>
                <c:pt idx="286">
                  <c:v>2192.0158001261852</c:v>
                </c:pt>
                <c:pt idx="287">
                  <c:v>2196.3133791760752</c:v>
                </c:pt>
                <c:pt idx="288">
                  <c:v>2200.5025460279553</c:v>
                </c:pt>
                <c:pt idx="289">
                  <c:v>2204.583788400616</c:v>
                </c:pt>
                <c:pt idx="290">
                  <c:v>2208.5575791673405</c:v>
                </c:pt>
                <c:pt idx="291">
                  <c:v>2212.4243766236432</c:v>
                </c:pt>
                <c:pt idx="292">
                  <c:v>2216.1846247457788</c:v>
                </c:pt>
                <c:pt idx="293">
                  <c:v>2219.8387534404292</c:v>
                </c:pt>
                <c:pt idx="294">
                  <c:v>2223.3871787859739</c:v>
                </c:pt>
                <c:pt idx="295">
                  <c:v>2226.8303032657491</c:v>
                </c:pt>
                <c:pt idx="296">
                  <c:v>2230.1685159937169</c:v>
                </c:pt>
                <c:pt idx="297">
                  <c:v>2233.4021929329665</c:v>
                </c:pt>
                <c:pt idx="298">
                  <c:v>2236.5316971074885</c:v>
                </c:pt>
                <c:pt idx="299">
                  <c:v>2239.5573788076913</c:v>
                </c:pt>
                <c:pt idx="300">
                  <c:v>2242.4795757901447</c:v>
                </c:pt>
                <c:pt idx="301">
                  <c:v>2245.2986134720795</c:v>
                </c:pt>
                <c:pt idx="302">
                  <c:v>2248.0148051212163</c:v>
                </c:pt>
                <c:pt idx="303">
                  <c:v>2250.6284520415493</c:v>
                </c:pt>
                <c:pt idx="304">
                  <c:v>2253.1398437557777</c:v>
                </c:pt>
                <c:pt idx="305">
                  <c:v>2255.5492581851718</c:v>
                </c:pt>
                <c:pt idx="306">
                  <c:v>2257.856961827747</c:v>
                </c:pt>
                <c:pt idx="307">
                  <c:v>2260.063209935754</c:v>
                </c:pt>
                <c:pt idx="308">
                  <c:v>2262.1682466936386</c:v>
                </c:pt>
                <c:pt idx="309">
                  <c:v>2264.1723053977998</c:v>
                </c:pt>
                <c:pt idx="310">
                  <c:v>2266.0756086396891</c:v>
                </c:pt>
                <c:pt idx="311">
                  <c:v>2267.8783684940418</c:v>
                </c:pt>
                <c:pt idx="312">
                  <c:v>2269.580786714329</c:v>
                </c:pt>
                <c:pt idx="313">
                  <c:v>2271.183054937856</c:v>
                </c:pt>
                <c:pt idx="314">
                  <c:v>2272.6853549033249</c:v>
                </c:pt>
                <c:pt idx="315">
                  <c:v>2274.0878586841172</c:v>
                </c:pt>
                <c:pt idx="316">
                  <c:v>2275.390728941039</c:v>
                </c:pt>
                <c:pt idx="317">
                  <c:v>2276.5941191987786</c:v>
                </c:pt>
                <c:pt idx="318">
                  <c:v>2277.6981741508475</c:v>
                </c:pt>
                <c:pt idx="319">
                  <c:v>2278.7030299982544</c:v>
                </c:pt>
                <c:pt idx="320">
                  <c:v>2279.6088148275594</c:v>
                </c:pt>
                <c:pt idx="321">
                  <c:v>2280.4156490341652</c:v>
                </c:pt>
                <c:pt idx="322">
                  <c:v>2281.1236457966493</c:v>
                </c:pt>
                <c:pt idx="323">
                  <c:v>2281.7329116074857</c:v>
                </c:pt>
                <c:pt idx="324">
                  <c:v>2282.2435468645308</c:v>
                </c:pt>
                <c:pt idx="325">
                  <c:v>2282.6556465260455</c:v>
                </c:pt>
                <c:pt idx="326">
                  <c:v>2282.9693008297431</c:v>
                </c:pt>
                <c:pt idx="327">
                  <c:v>2283.1845960734186</c:v>
                </c:pt>
                <c:pt idx="328">
                  <c:v>2283.3016154512825</c:v>
                </c:pt>
                <c:pt idx="329">
                  <c:v>2283.3204399364904</c:v>
                </c:pt>
                <c:pt idx="330">
                  <c:v>2283.2411491969215</c:v>
                </c:pt>
                <c:pt idx="331">
                  <c:v>2283.0638225284806</c:v>
                </c:pt>
                <c:pt idx="332">
                  <c:v>2282.7885397884984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02-4CA2-BA56-E0E46E48A268}"/>
            </c:ext>
          </c:extLst>
        </c:ser>
        <c:ser>
          <c:idx val="6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Trajecto!$D$155</c:f>
              <c:numCache>
                <c:formatCode>0</c:formatCode>
                <c:ptCount val="1"/>
                <c:pt idx="0">
                  <c:v>103.59210661232845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1141.2076911557224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02-4CA2-BA56-E0E46E48A268}"/>
            </c:ext>
          </c:extLst>
        </c:ser>
        <c:ser>
          <c:idx val="7"/>
          <c:order val="6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Trajecto!$D$156</c:f>
              <c:numCache>
                <c:formatCode>0</c:formatCode>
                <c:ptCount val="1"/>
                <c:pt idx="0">
                  <c:v>587.28503492380469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1141.6508077256412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02-4CA2-BA56-E0E46E48A268}"/>
            </c:ext>
          </c:extLst>
        </c:ser>
        <c:ser>
          <c:idx val="8"/>
          <c:order val="7"/>
          <c:tx>
            <c:strRef>
              <c:f>Trajecto!$D$158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8"/>
              <c:tx>
                <c:strRef>
                  <c:f>Trajecto!$D$158</c:f>
                  <c:strCache>
                    <c:ptCount val="1"/>
                    <c:pt idx="0">
                      <c:v>Arc de triomphe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{5CA9DB51-BA8B-4D74-93D1-F0A6D122A768}</c15:txfldGUID>
                      <c15:f>Trajecto!$D$158</c15:f>
                      <c15:dlblFieldTableCache>
                        <c:ptCount val="1"/>
                        <c:pt idx="0">
                          <c:v>Arc de triomphe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Trajecto!$D$159:$D$174</c:f>
              <c:numCache>
                <c:formatCode>0</c:formatCode>
                <c:ptCount val="16"/>
                <c:pt idx="0">
                  <c:v>406.56437728656948</c:v>
                </c:pt>
                <c:pt idx="1">
                  <c:v>429.56437728656948</c:v>
                </c:pt>
                <c:pt idx="2">
                  <c:v>429.56437728656948</c:v>
                </c:pt>
                <c:pt idx="3">
                  <c:v>406.56437728656948</c:v>
                </c:pt>
                <c:pt idx="4">
                  <c:v>429.56437728656948</c:v>
                </c:pt>
                <c:pt idx="5">
                  <c:v>429.56437728656948</c:v>
                </c:pt>
                <c:pt idx="6">
                  <c:v>414.56437728656948</c:v>
                </c:pt>
                <c:pt idx="7">
                  <c:v>414.56437728656948</c:v>
                </c:pt>
                <c:pt idx="8">
                  <c:v>429.56437728656948</c:v>
                </c:pt>
                <c:pt idx="9">
                  <c:v>414.56437728656948</c:v>
                </c:pt>
                <c:pt idx="10">
                  <c:v>414.1643772865695</c:v>
                </c:pt>
                <c:pt idx="11">
                  <c:v>413.36437728656949</c:v>
                </c:pt>
                <c:pt idx="12">
                  <c:v>412.56437728656948</c:v>
                </c:pt>
                <c:pt idx="13">
                  <c:v>411.56437728656948</c:v>
                </c:pt>
                <c:pt idx="14">
                  <c:v>410.36437728656949</c:v>
                </c:pt>
                <c:pt idx="15">
                  <c:v>406.56437728656948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02-4CA2-BA56-E0E46E48A268}"/>
            </c:ext>
          </c:extLst>
        </c:ser>
        <c:ser>
          <c:idx val="9"/>
          <c:order val="8"/>
          <c:tx>
            <c:strRef>
              <c:f>Trajecto!$F$158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Trajecto!$F$159:$F$174</c:f>
              <c:numCache>
                <c:formatCode>0</c:formatCode>
                <c:ptCount val="16"/>
                <c:pt idx="0">
                  <c:v>406.56437728656948</c:v>
                </c:pt>
                <c:pt idx="1">
                  <c:v>383.56437728656948</c:v>
                </c:pt>
                <c:pt idx="2">
                  <c:v>383.56437728656948</c:v>
                </c:pt>
                <c:pt idx="3">
                  <c:v>406.56437728656948</c:v>
                </c:pt>
                <c:pt idx="4">
                  <c:v>383.56437728656948</c:v>
                </c:pt>
                <c:pt idx="5">
                  <c:v>383.56437728656948</c:v>
                </c:pt>
                <c:pt idx="6">
                  <c:v>398.56437728656948</c:v>
                </c:pt>
                <c:pt idx="7">
                  <c:v>398.56437728656948</c:v>
                </c:pt>
                <c:pt idx="8">
                  <c:v>383.56437728656948</c:v>
                </c:pt>
                <c:pt idx="9">
                  <c:v>398.56437728656948</c:v>
                </c:pt>
                <c:pt idx="10">
                  <c:v>398.96437728656946</c:v>
                </c:pt>
                <c:pt idx="11">
                  <c:v>399.76437728656947</c:v>
                </c:pt>
                <c:pt idx="12">
                  <c:v>400.56437728656948</c:v>
                </c:pt>
                <c:pt idx="13">
                  <c:v>401.56437728656948</c:v>
                </c:pt>
                <c:pt idx="14">
                  <c:v>402.76437728656947</c:v>
                </c:pt>
                <c:pt idx="15">
                  <c:v>406.56437728656948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02-4CA2-BA56-E0E46E48A268}"/>
            </c:ext>
          </c:extLst>
        </c:ser>
        <c:ser>
          <c:idx val="10"/>
          <c:order val="9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6"/>
              <c:tx>
                <c:strRef>
                  <c:f>Trajecto!$D$176</c:f>
                  <c:strCache>
                    <c:ptCount val="1"/>
                    <c:pt idx="0">
                      <c:v>Tour Eiffel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{E740CE94-972E-4FCC-B89C-F1B63950F35F}</c15:txfldGUID>
                      <c15:f>Trajecto!$D$176</c15:f>
                      <c15:dlblFieldTableCache>
                        <c:ptCount val="1"/>
                        <c:pt idx="0">
                          <c:v>Tour Eiffel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Trajecto!$D$177:$D$193</c:f>
              <c:numCache>
                <c:formatCode>0</c:formatCode>
                <c:ptCount val="17"/>
                <c:pt idx="0">
                  <c:v>406.56437728656948</c:v>
                </c:pt>
                <c:pt idx="1">
                  <c:v>406.56437728656948</c:v>
                </c:pt>
                <c:pt idx="2">
                  <c:v>416.56437728656948</c:v>
                </c:pt>
                <c:pt idx="3">
                  <c:v>406.56437728656948</c:v>
                </c:pt>
                <c:pt idx="4">
                  <c:v>416.56437728656948</c:v>
                </c:pt>
                <c:pt idx="5">
                  <c:v>419.56437728656948</c:v>
                </c:pt>
                <c:pt idx="6">
                  <c:v>423.56437728656948</c:v>
                </c:pt>
                <c:pt idx="7">
                  <c:v>426.56437728656948</c:v>
                </c:pt>
                <c:pt idx="8">
                  <c:v>431.56437728656948</c:v>
                </c:pt>
                <c:pt idx="9">
                  <c:v>436.56437728656948</c:v>
                </c:pt>
                <c:pt idx="10">
                  <c:v>442.56437728656948</c:v>
                </c:pt>
                <c:pt idx="11">
                  <c:v>454.56437728656948</c:v>
                </c:pt>
                <c:pt idx="12">
                  <c:v>468.56437728656948</c:v>
                </c:pt>
                <c:pt idx="13">
                  <c:v>443.56437728656948</c:v>
                </c:pt>
                <c:pt idx="14">
                  <c:v>436.56437728656948</c:v>
                </c:pt>
                <c:pt idx="15">
                  <c:v>421.56437728656948</c:v>
                </c:pt>
                <c:pt idx="16">
                  <c:v>406.56437728656948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02-4CA2-BA56-E0E46E48A268}"/>
            </c:ext>
          </c:extLst>
        </c:ser>
        <c:ser>
          <c:idx val="11"/>
          <c:order val="10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Trajecto!$F$177:$F$193</c:f>
              <c:numCache>
                <c:formatCode>0</c:formatCode>
                <c:ptCount val="17"/>
                <c:pt idx="0">
                  <c:v>406.56437728656948</c:v>
                </c:pt>
                <c:pt idx="1">
                  <c:v>406.56437728656948</c:v>
                </c:pt>
                <c:pt idx="2">
                  <c:v>396.56437728656948</c:v>
                </c:pt>
                <c:pt idx="3">
                  <c:v>406.56437728656948</c:v>
                </c:pt>
                <c:pt idx="4">
                  <c:v>396.56437728656948</c:v>
                </c:pt>
                <c:pt idx="5">
                  <c:v>393.56437728656948</c:v>
                </c:pt>
                <c:pt idx="6">
                  <c:v>389.56437728656948</c:v>
                </c:pt>
                <c:pt idx="7">
                  <c:v>386.56437728656948</c:v>
                </c:pt>
                <c:pt idx="8">
                  <c:v>381.56437728656948</c:v>
                </c:pt>
                <c:pt idx="9">
                  <c:v>376.56437728656948</c:v>
                </c:pt>
                <c:pt idx="10">
                  <c:v>370.56437728656948</c:v>
                </c:pt>
                <c:pt idx="11">
                  <c:v>358.56437728656948</c:v>
                </c:pt>
                <c:pt idx="12">
                  <c:v>344.56437728656948</c:v>
                </c:pt>
                <c:pt idx="13">
                  <c:v>369.56437728656948</c:v>
                </c:pt>
                <c:pt idx="14">
                  <c:v>376.56437728656948</c:v>
                </c:pt>
                <c:pt idx="15">
                  <c:v>391.56437728656948</c:v>
                </c:pt>
                <c:pt idx="16">
                  <c:v>406.56437728656948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02-4CA2-BA56-E0E46E48A268}"/>
            </c:ext>
          </c:extLst>
        </c:ser>
        <c:ser>
          <c:idx val="12"/>
          <c:order val="11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Trajecto!$D$194:$D$197</c:f>
              <c:numCache>
                <c:formatCode>0</c:formatCode>
                <c:ptCount val="4"/>
                <c:pt idx="0">
                  <c:v>406.56437728656948</c:v>
                </c:pt>
                <c:pt idx="1">
                  <c:v>423.56437728656948</c:v>
                </c:pt>
                <c:pt idx="2">
                  <c:v>417.56437728656948</c:v>
                </c:pt>
                <c:pt idx="3">
                  <c:v>406.56437728656948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02-4CA2-BA56-E0E46E48A268}"/>
            </c:ext>
          </c:extLst>
        </c:ser>
        <c:ser>
          <c:idx val="13"/>
          <c:order val="12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Trajecto!$F$194:$F$197</c:f>
              <c:numCache>
                <c:formatCode>0</c:formatCode>
                <c:ptCount val="4"/>
                <c:pt idx="0">
                  <c:v>406.56437728656948</c:v>
                </c:pt>
                <c:pt idx="1">
                  <c:v>389.56437728656948</c:v>
                </c:pt>
                <c:pt idx="2">
                  <c:v>395.56437728656948</c:v>
                </c:pt>
                <c:pt idx="3">
                  <c:v>406.56437728656948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02-4CA2-BA56-E0E46E48A268}"/>
            </c:ext>
          </c:extLst>
        </c:ser>
        <c:ser>
          <c:idx val="3"/>
          <c:order val="1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dLbls>
            <c:dLbl>
              <c:idx val="1"/>
              <c:tx>
                <c:strRef>
                  <c:f>Trajecto!$B$108</c:f>
                  <c:strCache>
                    <c:ptCount val="1"/>
                    <c:pt idx="0">
                      <c:v>Fusée sous parachute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{1781DF61-0346-4EF1-8A19-35F2191E77EB}</c15:txfldGUID>
                      <c15:f>Trajecto!$B$108</c15:f>
                      <c15:dlblFieldTableCache>
                        <c:ptCount val="1"/>
                        <c:pt idx="0">
                          <c:v>Fusée sous parachute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Trajecto!$B$123:$B$129</c:f>
              <c:numCache>
                <c:formatCode>0</c:formatCode>
                <c:ptCount val="7"/>
                <c:pt idx="0">
                  <c:v>414.3684264493138</c:v>
                </c:pt>
                <c:pt idx="1">
                  <c:v>414.3684264493138</c:v>
                </c:pt>
                <c:pt idx="2">
                  <c:v>414.3684264493138</c:v>
                </c:pt>
                <c:pt idx="3">
                  <c:v>471.42881100709991</c:v>
                </c:pt>
                <c:pt idx="4">
                  <c:v>414.3684264493138</c:v>
                </c:pt>
                <c:pt idx="5">
                  <c:v>357.30804189152769</c:v>
                </c:pt>
                <c:pt idx="6">
                  <c:v>414.3684264493138</c:v>
                </c:pt>
              </c:numCache>
            </c:numRef>
          </c:xVal>
          <c:yVal>
            <c:numRef>
              <c:f>Trajecto!$C$121:$C$127</c:f>
              <c:numCache>
                <c:formatCode>0</c:formatCode>
                <c:ptCount val="7"/>
                <c:pt idx="0">
                  <c:v>2282.4153823114448</c:v>
                </c:pt>
                <c:pt idx="1">
                  <c:v>1141.2076911557224</c:v>
                </c:pt>
                <c:pt idx="2">
                  <c:v>0</c:v>
                </c:pt>
                <c:pt idx="3">
                  <c:v>114.12076911557224</c:v>
                </c:pt>
                <c:pt idx="4">
                  <c:v>0</c:v>
                </c:pt>
                <c:pt idx="5">
                  <c:v>114.12076911557224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302-4CA2-BA56-E0E46E48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1024"/>
        <c:axId val="149054208"/>
      </c:scatterChart>
      <c:valAx>
        <c:axId val="148241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Trajecto!$B$111</c:f>
              <c:strCache>
                <c:ptCount val="1"/>
                <c:pt idx="0">
                  <c:v>Portée x [m]</c:v>
                </c:pt>
              </c:strCache>
            </c:strRef>
          </c:tx>
          <c:layout>
            <c:manualLayout>
              <c:xMode val="edge"/>
              <c:yMode val="edge"/>
              <c:x val="0.56464627732344286"/>
              <c:y val="0.84829693458129063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054208"/>
        <c:crosses val="autoZero"/>
        <c:crossBetween val="midCat"/>
      </c:valAx>
      <c:valAx>
        <c:axId val="1490542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8.1818320007296413E-2"/>
              <c:y val="6.811139173641031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241024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paperSize="9" firstPageNumber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Trajecto!$B$113</c:f>
          <c:strCache>
            <c:ptCount val="1"/>
            <c:pt idx="0">
              <c:v>Altitude z  /  Temps</c:v>
            </c:pt>
          </c:strCache>
        </c:strRef>
      </c:tx>
      <c:layout>
        <c:manualLayout>
          <c:xMode val="edge"/>
          <c:yMode val="edge"/>
          <c:x val="0.57666688909649"/>
          <c:y val="3.71518182868650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746430001334583E-2"/>
          <c:y val="4.8186995493487844E-2"/>
          <c:w val="0.89333624132890843"/>
          <c:h val="0.89614373166225958"/>
        </c:manualLayout>
      </c:layout>
      <c:scatterChart>
        <c:scatterStyle val="lineMarker"/>
        <c:varyColors val="0"/>
        <c:ser>
          <c:idx val="4"/>
          <c:order val="0"/>
          <c:tx>
            <c:v>Point invisible pour mise à l'echelle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Trajecto!$B$120</c:f>
              <c:numCache>
                <c:formatCode>0</c:formatCode>
                <c:ptCount val="1"/>
                <c:pt idx="0">
                  <c:v>2283.3016154512825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1-4567-B7A1-067915120221}"/>
            </c:ext>
          </c:extLst>
        </c:ser>
        <c:ser>
          <c:idx val="0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Calculs!$AC$4:$AC$1004</c:f>
              <c:numCache>
                <c:formatCode>0</c:formatCode>
                <c:ptCount val="1001"/>
                <c:pt idx="0">
                  <c:v>-1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5.9999999999999938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6.9999999999999725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7.9999999999999565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8.9999999999999538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9.9999999999999503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10.999999999999947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11.999999999999943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12.99999999999994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13.999999999999936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14.999999999999932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15.999999999999929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16.999999999999943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17.999999999999957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18.999999999999972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19.999999999999986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21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22.000000000000014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23.000000000000028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24.000000000000043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25.000000000000057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26.000000000000071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27.000000000000085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28.000000000000099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29.000000000000114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30.000000000000128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31.000000000000142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32.000000000000156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33.000000000000171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34.000000000000185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35.000000000000199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36.000000000000213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37.000000000000227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38.000000000000242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39.000000000000256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40.00000000000027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41.000000000000284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42.000000000000298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43.000000000000313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44.000000000000327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45.000000000000341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46.000000000000355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47.000000000000369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883.12</c:v>
                </c:pt>
                <c:pt idx="1">
                  <c:v>885.04722432312724</c:v>
                </c:pt>
                <c:pt idx="2">
                  <c:v>886.97705860169447</c:v>
                </c:pt>
                <c:pt idx="3">
                  <c:v>888.91357576788494</c:v>
                </c:pt>
                <c:pt idx="4">
                  <c:v>890.85751191203963</c:v>
                </c:pt>
                <c:pt idx="5">
                  <c:v>892.80815548327644</c:v>
                </c:pt>
                <c:pt idx="6">
                  <c:v>894.76523589599708</c:v>
                </c:pt>
                <c:pt idx="7">
                  <c:v>896.72870302692411</c:v>
                </c:pt>
                <c:pt idx="8">
                  <c:v>898.6985067595491</c:v>
                </c:pt>
                <c:pt idx="9">
                  <c:v>900.67459698553307</c:v>
                </c:pt>
                <c:pt idx="10">
                  <c:v>902.65692360609626</c:v>
                </c:pt>
                <c:pt idx="11">
                  <c:v>904.64543653339706</c:v>
                </c:pt>
                <c:pt idx="12">
                  <c:v>906.64008569189991</c:v>
                </c:pt>
                <c:pt idx="13">
                  <c:v>908.6408210197327</c:v>
                </c:pt>
                <c:pt idx="14">
                  <c:v>910.64759247003269</c:v>
                </c:pt>
                <c:pt idx="15">
                  <c:v>912.66035001228204</c:v>
                </c:pt>
                <c:pt idx="16">
                  <c:v>914.67904363363164</c:v>
                </c:pt>
                <c:pt idx="17">
                  <c:v>916.70362334021422</c:v>
                </c:pt>
                <c:pt idx="18">
                  <c:v>918.73403915844608</c:v>
                </c:pt>
                <c:pt idx="19">
                  <c:v>920.77024113631762</c:v>
                </c:pt>
                <c:pt idx="20">
                  <c:v>922.81217934467247</c:v>
                </c:pt>
                <c:pt idx="21">
                  <c:v>924.8598038784753</c:v>
                </c:pt>
                <c:pt idx="22">
                  <c:v>926.91306485806865</c:v>
                </c:pt>
                <c:pt idx="23">
                  <c:v>928.97191243041732</c:v>
                </c:pt>
                <c:pt idx="24">
                  <c:v>931.03629677034246</c:v>
                </c:pt>
                <c:pt idx="25">
                  <c:v>933.10616808174314</c:v>
                </c:pt>
                <c:pt idx="26">
                  <c:v>935.18147659880708</c:v>
                </c:pt>
                <c:pt idx="27">
                  <c:v>937.26217258720931</c:v>
                </c:pt>
                <c:pt idx="28">
                  <c:v>939.34820634529933</c:v>
                </c:pt>
                <c:pt idx="29">
                  <c:v>941.4395282052767</c:v>
                </c:pt>
                <c:pt idx="30">
                  <c:v>943.5360885343548</c:v>
                </c:pt>
                <c:pt idx="31">
                  <c:v>945.63783773591297</c:v>
                </c:pt>
                <c:pt idx="32">
                  <c:v>947.74472625063686</c:v>
                </c:pt>
                <c:pt idx="33">
                  <c:v>949.85670455764671</c:v>
                </c:pt>
                <c:pt idx="34">
                  <c:v>951.9737231756144</c:v>
                </c:pt>
                <c:pt idx="35">
                  <c:v>954.09573266386826</c:v>
                </c:pt>
                <c:pt idx="36">
                  <c:v>956.2226836234862</c:v>
                </c:pt>
                <c:pt idx="37">
                  <c:v>958.35452669837684</c:v>
                </c:pt>
                <c:pt idx="38">
                  <c:v>960.49121257634874</c:v>
                </c:pt>
                <c:pt idx="39">
                  <c:v>962.63269199016815</c:v>
                </c:pt>
                <c:pt idx="40">
                  <c:v>964.77891571860437</c:v>
                </c:pt>
                <c:pt idx="41">
                  <c:v>966.92983458746357</c:v>
                </c:pt>
                <c:pt idx="42">
                  <c:v>969.08539947061024</c:v>
                </c:pt>
                <c:pt idx="43">
                  <c:v>971.24556129097732</c:v>
                </c:pt>
                <c:pt idx="44">
                  <c:v>973.41027102156386</c:v>
                </c:pt>
                <c:pt idx="45">
                  <c:v>975.57947968642122</c:v>
                </c:pt>
                <c:pt idx="46">
                  <c:v>977.75313836162695</c:v>
                </c:pt>
                <c:pt idx="47">
                  <c:v>979.93119817624688</c:v>
                </c:pt>
                <c:pt idx="48">
                  <c:v>982.11361031328556</c:v>
                </c:pt>
                <c:pt idx="49">
                  <c:v>984.30032601062419</c:v>
                </c:pt>
                <c:pt idx="50">
                  <c:v>986.49129656194725</c:v>
                </c:pt>
                <c:pt idx="51">
                  <c:v>988.68647331765692</c:v>
                </c:pt>
                <c:pt idx="52">
                  <c:v>990.8858076857756</c:v>
                </c:pt>
                <c:pt idx="53">
                  <c:v>993.08925113283669</c:v>
                </c:pt>
                <c:pt idx="54">
                  <c:v>995.29675518476324</c:v>
                </c:pt>
                <c:pt idx="55">
                  <c:v>997.50827142773494</c:v>
                </c:pt>
                <c:pt idx="56">
                  <c:v>999.72375150904361</c:v>
                </c:pt>
                <c:pt idx="57">
                  <c:v>1001.943147137936</c:v>
                </c:pt>
                <c:pt idx="58">
                  <c:v>1004.1664100864454</c:v>
                </c:pt>
                <c:pt idx="59">
                  <c:v>1006.3934921902115</c:v>
                </c:pt>
                <c:pt idx="60">
                  <c:v>1008.6243453492887</c:v>
                </c:pt>
                <c:pt idx="61">
                  <c:v>1010.8589215289412</c:v>
                </c:pt>
                <c:pt idx="62">
                  <c:v>1013.0971727604286</c:v>
                </c:pt>
                <c:pt idx="63">
                  <c:v>1015.3390318025245</c:v>
                </c:pt>
                <c:pt idx="64">
                  <c:v>1017.5843928270252</c:v>
                </c:pt>
                <c:pt idx="65">
                  <c:v>1019.833130822696</c:v>
                </c:pt>
                <c:pt idx="66">
                  <c:v>1022.0851209765161</c:v>
                </c:pt>
                <c:pt idx="67">
                  <c:v>1024.3402209400624</c:v>
                </c:pt>
                <c:pt idx="68">
                  <c:v>1026.5982531205573</c:v>
                </c:pt>
                <c:pt idx="69">
                  <c:v>1028.8589909307138</c:v>
                </c:pt>
                <c:pt idx="70">
                  <c:v>1031.1221450639896</c:v>
                </c:pt>
                <c:pt idx="71">
                  <c:v>1033.3873951758574</c:v>
                </c:pt>
                <c:pt idx="72">
                  <c:v>1035.6544215218846</c:v>
                </c:pt>
                <c:pt idx="73">
                  <c:v>1037.9229049746293</c:v>
                </c:pt>
                <c:pt idx="74">
                  <c:v>1040.1925270400793</c:v>
                </c:pt>
                <c:pt idx="75">
                  <c:v>1042.4629698736403</c:v>
                </c:pt>
                <c:pt idx="76">
                  <c:v>1044.7339162956689</c:v>
                </c:pt>
                <c:pt idx="77">
                  <c:v>1047.0050498065548</c:v>
                </c:pt>
                <c:pt idx="78">
                  <c:v>1049.2760546013526</c:v>
                </c:pt>
                <c:pt idx="79">
                  <c:v>1051.5466155839638</c:v>
                </c:pt>
                <c:pt idx="80">
                  <c:v>1053.816418380871</c:v>
                </c:pt>
                <c:pt idx="81">
                  <c:v>1056.0851869221869</c:v>
                </c:pt>
                <c:pt idx="82">
                  <c:v>1058.3527209342972</c:v>
                </c:pt>
                <c:pt idx="83">
                  <c:v>1060.6188581959623</c:v>
                </c:pt>
                <c:pt idx="84">
                  <c:v>1062.8834368772511</c:v>
                </c:pt>
                <c:pt idx="85">
                  <c:v>1065.1462955418474</c:v>
                </c:pt>
                <c:pt idx="86">
                  <c:v>1067.407273149242</c:v>
                </c:pt>
                <c:pt idx="87">
                  <c:v>1069.6662090568143</c:v>
                </c:pt>
                <c:pt idx="88">
                  <c:v>1071.9229430218022</c:v>
                </c:pt>
                <c:pt idx="89">
                  <c:v>1074.1773270758865</c:v>
                </c:pt>
                <c:pt idx="90">
                  <c:v>1076.4292373693206</c:v>
                </c:pt>
                <c:pt idx="91">
                  <c:v>1078.6785622371956</c:v>
                </c:pt>
                <c:pt idx="92">
                  <c:v>1080.9251902953195</c:v>
                </c:pt>
                <c:pt idx="93">
                  <c:v>1083.169013409248</c:v>
                </c:pt>
                <c:pt idx="94">
                  <c:v>1085.409929655468</c:v>
                </c:pt>
                <c:pt idx="95">
                  <c:v>1087.6478403367792</c:v>
                </c:pt>
                <c:pt idx="96">
                  <c:v>1089.8826470053405</c:v>
                </c:pt>
                <c:pt idx="97">
                  <c:v>1092.1142633392501</c:v>
                </c:pt>
                <c:pt idx="98">
                  <c:v>1094.3426269871832</c:v>
                </c:pt>
                <c:pt idx="99">
                  <c:v>1096.5676876270061</c:v>
                </c:pt>
                <c:pt idx="100">
                  <c:v>1098.7893950561586</c:v>
                </c:pt>
                <c:pt idx="101">
                  <c:v>1101.0076991911692</c:v>
                </c:pt>
                <c:pt idx="102">
                  <c:v>1103.2225500671618</c:v>
                </c:pt>
                <c:pt idx="103">
                  <c:v>1105.4338978373573</c:v>
                </c:pt>
                <c:pt idx="104">
                  <c:v>1107.6416927725677</c:v>
                </c:pt>
                <c:pt idx="105">
                  <c:v>1109.8458852606839</c:v>
                </c:pt>
                <c:pt idx="106">
                  <c:v>1112.0464258061577</c:v>
                </c:pt>
                <c:pt idx="107">
                  <c:v>1114.2432650294772</c:v>
                </c:pt>
                <c:pt idx="108">
                  <c:v>1116.4363536666356</c:v>
                </c:pt>
                <c:pt idx="109">
                  <c:v>1118.6256574154115</c:v>
                </c:pt>
                <c:pt idx="110">
                  <c:v>1120.8111717407921</c:v>
                </c:pt>
                <c:pt idx="111">
                  <c:v>1122.9929069464865</c:v>
                </c:pt>
                <c:pt idx="112">
                  <c:v>1125.170873287718</c:v>
                </c:pt>
                <c:pt idx="113">
                  <c:v>1127.3450809715271</c:v>
                </c:pt>
                <c:pt idx="114">
                  <c:v>1129.5155401570737</c:v>
                </c:pt>
                <c:pt idx="115">
                  <c:v>1131.6822609559365</c:v>
                </c:pt>
                <c:pt idx="116">
                  <c:v>1133.8452534324097</c:v>
                </c:pt>
                <c:pt idx="117">
                  <c:v>1136.004527603797</c:v>
                </c:pt>
                <c:pt idx="118">
                  <c:v>1138.1600934407049</c:v>
                </c:pt>
                <c:pt idx="119">
                  <c:v>1140.3119608673319</c:v>
                </c:pt>
                <c:pt idx="120">
                  <c:v>1142.460139761756</c:v>
                </c:pt>
                <c:pt idx="121">
                  <c:v>1144.604639956221</c:v>
                </c:pt>
                <c:pt idx="122">
                  <c:v>1146.745471237419</c:v>
                </c:pt>
                <c:pt idx="123">
                  <c:v>1148.8826433467716</c:v>
                </c:pt>
                <c:pt idx="124">
                  <c:v>1151.016165980709</c:v>
                </c:pt>
                <c:pt idx="125">
                  <c:v>1153.1460487909465</c:v>
                </c:pt>
                <c:pt idx="126">
                  <c:v>1155.2723013847583</c:v>
                </c:pt>
                <c:pt idx="127">
                  <c:v>1157.3949333252515</c:v>
                </c:pt>
                <c:pt idx="128">
                  <c:v>1159.513954131635</c:v>
                </c:pt>
                <c:pt idx="129">
                  <c:v>1161.6293732794886</c:v>
                </c:pt>
                <c:pt idx="130">
                  <c:v>1163.7412002010285</c:v>
                </c:pt>
                <c:pt idx="131">
                  <c:v>1165.8494442853716</c:v>
                </c:pt>
                <c:pt idx="132">
                  <c:v>1167.954114878798</c:v>
                </c:pt>
                <c:pt idx="133">
                  <c:v>1170.0552212850107</c:v>
                </c:pt>
                <c:pt idx="134">
                  <c:v>1172.1527727653938</c:v>
                </c:pt>
                <c:pt idx="135">
                  <c:v>1174.2467785392687</c:v>
                </c:pt>
                <c:pt idx="136">
                  <c:v>1176.3372477841481</c:v>
                </c:pt>
                <c:pt idx="137">
                  <c:v>1178.4241896359883</c:v>
                </c:pt>
                <c:pt idx="138">
                  <c:v>1180.50761318944</c:v>
                </c:pt>
                <c:pt idx="139">
                  <c:v>1182.5875274980956</c:v>
                </c:pt>
                <c:pt idx="140">
                  <c:v>1184.6639415747372</c:v>
                </c:pt>
                <c:pt idx="141">
                  <c:v>1186.7368643915802</c:v>
                </c:pt>
                <c:pt idx="142">
                  <c:v>1188.8063048805163</c:v>
                </c:pt>
                <c:pt idx="143">
                  <c:v>1190.8722719333553</c:v>
                </c:pt>
                <c:pt idx="144">
                  <c:v>1192.9347744020629</c:v>
                </c:pt>
                <c:pt idx="145">
                  <c:v>1194.9938210989997</c:v>
                </c:pt>
                <c:pt idx="146">
                  <c:v>1197.0494207971553</c:v>
                </c:pt>
                <c:pt idx="147">
                  <c:v>1199.1015822303834</c:v>
                </c:pt>
                <c:pt idx="148">
                  <c:v>1201.1503140936331</c:v>
                </c:pt>
                <c:pt idx="149">
                  <c:v>1203.1956250431795</c:v>
                </c:pt>
                <c:pt idx="150">
                  <c:v>1205.2375236968523</c:v>
                </c:pt>
                <c:pt idx="151">
                  <c:v>1207.2760186342632</c:v>
                </c:pt>
                <c:pt idx="152">
                  <c:v>1209.3111183970304</c:v>
                </c:pt>
                <c:pt idx="153">
                  <c:v>1211.3428314890027</c:v>
                </c:pt>
                <c:pt idx="154">
                  <c:v>1213.3711663764814</c:v>
                </c:pt>
                <c:pt idx="155">
                  <c:v>1215.3961314884402</c:v>
                </c:pt>
                <c:pt idx="156">
                  <c:v>1217.4177352167449</c:v>
                </c:pt>
                <c:pt idx="157">
                  <c:v>1219.4359859163685</c:v>
                </c:pt>
                <c:pt idx="158">
                  <c:v>1221.4508919056091</c:v>
                </c:pt>
                <c:pt idx="159">
                  <c:v>1223.4624614663016</c:v>
                </c:pt>
                <c:pt idx="160">
                  <c:v>1225.4707028440314</c:v>
                </c:pt>
                <c:pt idx="161">
                  <c:v>1227.4756242483445</c:v>
                </c:pt>
                <c:pt idx="162">
                  <c:v>1229.4772338529569</c:v>
                </c:pt>
                <c:pt idx="163">
                  <c:v>1231.475539795962</c:v>
                </c:pt>
                <c:pt idx="164">
                  <c:v>1233.4705501800372</c:v>
                </c:pt>
                <c:pt idx="165">
                  <c:v>1235.4622730726483</c:v>
                </c:pt>
                <c:pt idx="166">
                  <c:v>1237.4507165062523</c:v>
                </c:pt>
                <c:pt idx="167">
                  <c:v>1239.4358884784997</c:v>
                </c:pt>
                <c:pt idx="168">
                  <c:v>1241.4177969524344</c:v>
                </c:pt>
                <c:pt idx="169">
                  <c:v>1243.3964498566927</c:v>
                </c:pt>
                <c:pt idx="170">
                  <c:v>1245.3718550857</c:v>
                </c:pt>
                <c:pt idx="171">
                  <c:v>1247.3440204998674</c:v>
                </c:pt>
                <c:pt idx="172">
                  <c:v>1249.3129539257861</c:v>
                </c:pt>
                <c:pt idx="173">
                  <c:v>1251.27866315642</c:v>
                </c:pt>
                <c:pt idx="174">
                  <c:v>1253.2411559512975</c:v>
                </c:pt>
                <c:pt idx="175">
                  <c:v>1255.2004400367025</c:v>
                </c:pt>
                <c:pt idx="176">
                  <c:v>1257.1565231058626</c:v>
                </c:pt>
                <c:pt idx="177">
                  <c:v>1259.1094128191369</c:v>
                </c:pt>
                <c:pt idx="178">
                  <c:v>1261.0591168042026</c:v>
                </c:pt>
                <c:pt idx="179">
                  <c:v>1263.0056426562394</c:v>
                </c:pt>
                <c:pt idx="180">
                  <c:v>1264.9489979381133</c:v>
                </c:pt>
                <c:pt idx="181">
                  <c:v>1266.8891901805591</c:v>
                </c:pt>
                <c:pt idx="182">
                  <c:v>1268.8262268823614</c:v>
                </c:pt>
                <c:pt idx="183">
                  <c:v>1270.760115510534</c:v>
                </c:pt>
                <c:pt idx="184">
                  <c:v>1272.6908635004984</c:v>
                </c:pt>
                <c:pt idx="185">
                  <c:v>1274.6184782562614</c:v>
                </c:pt>
                <c:pt idx="186">
                  <c:v>1276.5429671505906</c:v>
                </c:pt>
                <c:pt idx="187">
                  <c:v>1278.4643375251894</c:v>
                </c:pt>
                <c:pt idx="188">
                  <c:v>1280.3825966908701</c:v>
                </c:pt>
                <c:pt idx="189">
                  <c:v>1282.297751927726</c:v>
                </c:pt>
                <c:pt idx="190">
                  <c:v>1284.2098104853035</c:v>
                </c:pt>
                <c:pt idx="191">
                  <c:v>1286.1187795827707</c:v>
                </c:pt>
                <c:pt idx="192">
                  <c:v>1288.0246664090866</c:v>
                </c:pt>
                <c:pt idx="193">
                  <c:v>1289.9274781231684</c:v>
                </c:pt>
                <c:pt idx="194">
                  <c:v>1291.8272218540578</c:v>
                </c:pt>
                <c:pt idx="195">
                  <c:v>1293.7239047010867</c:v>
                </c:pt>
                <c:pt idx="196">
                  <c:v>1295.6175337340399</c:v>
                </c:pt>
                <c:pt idx="197">
                  <c:v>1297.5081159933188</c:v>
                </c:pt>
                <c:pt idx="198">
                  <c:v>1299.3956584901036</c:v>
                </c:pt>
                <c:pt idx="199">
                  <c:v>1301.2801682065126</c:v>
                </c:pt>
                <c:pt idx="200">
                  <c:v>1303.1616520957625</c:v>
                </c:pt>
                <c:pt idx="201">
                  <c:v>1321.810606818723</c:v>
                </c:pt>
                <c:pt idx="202">
                  <c:v>1340.1614272177399</c:v>
                </c:pt>
                <c:pt idx="203">
                  <c:v>1358.2207960033118</c:v>
                </c:pt>
                <c:pt idx="204">
                  <c:v>1375.9951268880332</c:v>
                </c:pt>
                <c:pt idx="205">
                  <c:v>1393.4905787635607</c:v>
                </c:pt>
                <c:pt idx="206">
                  <c:v>1410.7130689442679</c:v>
                </c:pt>
                <c:pt idx="207">
                  <c:v>1427.6682855506911</c:v>
                </c:pt>
                <c:pt idx="208">
                  <c:v>1444.3616990992514</c:v>
                </c:pt>
                <c:pt idx="209">
                  <c:v>1460.798573358793</c:v>
                </c:pt>
                <c:pt idx="210">
                  <c:v>1476.9839755291316</c:v>
                </c:pt>
                <c:pt idx="211">
                  <c:v>1492.9227857920046</c:v>
                </c:pt>
                <c:pt idx="212">
                  <c:v>1508.6197062804756</c:v>
                </c:pt>
                <c:pt idx="213">
                  <c:v>1524.0792695089358</c:v>
                </c:pt>
                <c:pt idx="214">
                  <c:v>1539.3058463023081</c:v>
                </c:pt>
                <c:pt idx="215">
                  <c:v>1554.3036532598612</c:v>
                </c:pt>
                <c:pt idx="216">
                  <c:v>1569.0767597861413</c:v>
                </c:pt>
                <c:pt idx="217">
                  <c:v>1583.6290947188966</c:v>
                </c:pt>
                <c:pt idx="218">
                  <c:v>1597.9644525814851</c:v>
                </c:pt>
                <c:pt idx="219">
                  <c:v>1612.0864994850797</c:v>
                </c:pt>
                <c:pt idx="220">
                  <c:v>1625.9987787040059</c:v>
                </c:pt>
                <c:pt idx="221">
                  <c:v>1639.7047159457502</c:v>
                </c:pt>
                <c:pt idx="222">
                  <c:v>1653.2076243355259</c:v>
                </c:pt>
                <c:pt idx="223">
                  <c:v>1666.5107091337838</c:v>
                </c:pt>
                <c:pt idx="224">
                  <c:v>1679.6170722036809</c:v>
                </c:pt>
                <c:pt idx="225">
                  <c:v>1692.5297162442623</c:v>
                </c:pt>
                <c:pt idx="226">
                  <c:v>1705.251548803961</c:v>
                </c:pt>
                <c:pt idx="227">
                  <c:v>1717.7853860879609</c:v>
                </c:pt>
                <c:pt idx="228">
                  <c:v>1730.1339565720009</c:v>
                </c:pt>
                <c:pt idx="229">
                  <c:v>1742.2999044343069</c:v>
                </c:pt>
                <c:pt idx="230">
                  <c:v>1754.285792816517</c:v>
                </c:pt>
                <c:pt idx="231">
                  <c:v>1766.0941069237124</c:v>
                </c:pt>
                <c:pt idx="232">
                  <c:v>1777.7272569729721</c:v>
                </c:pt>
                <c:pt idx="233">
                  <c:v>1789.1875809992273</c:v>
                </c:pt>
                <c:pt idx="234">
                  <c:v>1800.4773475266006</c:v>
                </c:pt>
                <c:pt idx="235">
                  <c:v>1811.5987581128704</c:v>
                </c:pt>
                <c:pt idx="236">
                  <c:v>1822.5539497741931</c:v>
                </c:pt>
                <c:pt idx="237">
                  <c:v>1833.3449972967521</c:v>
                </c:pt>
                <c:pt idx="238">
                  <c:v>1843.9739154415688</c:v>
                </c:pt>
                <c:pt idx="239">
                  <c:v>1854.442661048309</c:v>
                </c:pt>
                <c:pt idx="240">
                  <c:v>1864.7531350435495</c:v>
                </c:pt>
                <c:pt idx="241">
                  <c:v>1874.9071843586241</c:v>
                </c:pt>
                <c:pt idx="242">
                  <c:v>1884.9066037618463</c:v>
                </c:pt>
                <c:pt idx="243">
                  <c:v>1894.7531376096131</c:v>
                </c:pt>
                <c:pt idx="244">
                  <c:v>1904.4484815206142</c:v>
                </c:pt>
                <c:pt idx="245">
                  <c:v>1913.9942839771147</c:v>
                </c:pt>
                <c:pt idx="246">
                  <c:v>1923.3921478570421</c:v>
                </c:pt>
                <c:pt idx="247">
                  <c:v>1932.6436319003826</c:v>
                </c:pt>
                <c:pt idx="248">
                  <c:v>1941.7502521131855</c:v>
                </c:pt>
                <c:pt idx="249">
                  <c:v>1950.7134831122814</c:v>
                </c:pt>
                <c:pt idx="250">
                  <c:v>1959.5347594136358</c:v>
                </c:pt>
                <c:pt idx="251">
                  <c:v>1968.215476667094</c:v>
                </c:pt>
                <c:pt idx="252">
                  <c:v>1976.7569928401142</c:v>
                </c:pt>
                <c:pt idx="253">
                  <c:v>1985.1606293529376</c:v>
                </c:pt>
                <c:pt idx="254">
                  <c:v>1993.427672167506</c:v>
                </c:pt>
                <c:pt idx="255">
                  <c:v>2001.559372832309</c:v>
                </c:pt>
                <c:pt idx="256">
                  <c:v>2009.5569494852223</c:v>
                </c:pt>
                <c:pt idx="257">
                  <c:v>2017.4215878162811</c:v>
                </c:pt>
                <c:pt idx="258">
                  <c:v>2025.1544419922341</c:v>
                </c:pt>
                <c:pt idx="259">
                  <c:v>2032.756635544614</c:v>
                </c:pt>
                <c:pt idx="260">
                  <c:v>2040.2292622229759</c:v>
                </c:pt>
                <c:pt idx="261">
                  <c:v>2047.5733868148602</c:v>
                </c:pt>
                <c:pt idx="262">
                  <c:v>2054.7900459339589</c:v>
                </c:pt>
                <c:pt idx="263">
                  <c:v>2061.8802487778826</c:v>
                </c:pt>
                <c:pt idx="264">
                  <c:v>2068.8449778568552</c:v>
                </c:pt>
                <c:pt idx="265">
                  <c:v>2075.6851896945946</c:v>
                </c:pt>
                <c:pt idx="266">
                  <c:v>2082.4018155025728</c:v>
                </c:pt>
                <c:pt idx="267">
                  <c:v>2088.9957618287845</c:v>
                </c:pt>
                <c:pt idx="268">
                  <c:v>2095.4679111821029</c:v>
                </c:pt>
                <c:pt idx="269">
                  <c:v>2101.8191226332438</c:v>
                </c:pt>
                <c:pt idx="270">
                  <c:v>2108.0502323933056</c:v>
                </c:pt>
                <c:pt idx="271">
                  <c:v>2114.1620543708113</c:v>
                </c:pt>
                <c:pt idx="272">
                  <c:v>2120.1553807081273</c:v>
                </c:pt>
                <c:pt idx="273">
                  <c:v>2126.0309822980985</c:v>
                </c:pt>
                <c:pt idx="274">
                  <c:v>2131.7896092816891</c:v>
                </c:pt>
                <c:pt idx="275">
                  <c:v>2137.4319915273945</c:v>
                </c:pt>
                <c:pt idx="276">
                  <c:v>2142.9588390931394</c:v>
                </c:pt>
                <c:pt idx="277">
                  <c:v>2148.3708426713565</c:v>
                </c:pt>
                <c:pt idx="278">
                  <c:v>2153.668674017902</c:v>
                </c:pt>
                <c:pt idx="279">
                  <c:v>2158.8529863654367</c:v>
                </c:pt>
                <c:pt idx="280">
                  <c:v>2163.9244148218731</c:v>
                </c:pt>
                <c:pt idx="281">
                  <c:v>2168.883576754466</c:v>
                </c:pt>
                <c:pt idx="282">
                  <c:v>2173.7310721600943</c:v>
                </c:pt>
                <c:pt idx="283">
                  <c:v>2178.4674840222692</c:v>
                </c:pt>
                <c:pt idx="284">
                  <c:v>2183.0933786553715</c:v>
                </c:pt>
                <c:pt idx="285">
                  <c:v>2187.609306036612</c:v>
                </c:pt>
                <c:pt idx="286">
                  <c:v>2192.0158001261852</c:v>
                </c:pt>
                <c:pt idx="287">
                  <c:v>2196.3133791760752</c:v>
                </c:pt>
                <c:pt idx="288">
                  <c:v>2200.5025460279553</c:v>
                </c:pt>
                <c:pt idx="289">
                  <c:v>2204.583788400616</c:v>
                </c:pt>
                <c:pt idx="290">
                  <c:v>2208.5575791673405</c:v>
                </c:pt>
                <c:pt idx="291">
                  <c:v>2212.4243766236432</c:v>
                </c:pt>
                <c:pt idx="292">
                  <c:v>2216.1846247457788</c:v>
                </c:pt>
                <c:pt idx="293">
                  <c:v>2219.8387534404292</c:v>
                </c:pt>
                <c:pt idx="294">
                  <c:v>2223.3871787859739</c:v>
                </c:pt>
                <c:pt idx="295">
                  <c:v>2226.8303032657491</c:v>
                </c:pt>
                <c:pt idx="296">
                  <c:v>2230.1685159937169</c:v>
                </c:pt>
                <c:pt idx="297">
                  <c:v>2233.4021929329665</c:v>
                </c:pt>
                <c:pt idx="298">
                  <c:v>2236.5316971074885</c:v>
                </c:pt>
                <c:pt idx="299">
                  <c:v>2239.5573788076913</c:v>
                </c:pt>
                <c:pt idx="300">
                  <c:v>2242.4795757901447</c:v>
                </c:pt>
                <c:pt idx="301">
                  <c:v>2245.2986134720795</c:v>
                </c:pt>
                <c:pt idx="302">
                  <c:v>2248.0148051212163</c:v>
                </c:pt>
                <c:pt idx="303">
                  <c:v>2250.6284520415493</c:v>
                </c:pt>
                <c:pt idx="304">
                  <c:v>2253.1398437557777</c:v>
                </c:pt>
                <c:pt idx="305">
                  <c:v>2255.5492581851718</c:v>
                </c:pt>
                <c:pt idx="306">
                  <c:v>2257.856961827747</c:v>
                </c:pt>
                <c:pt idx="307">
                  <c:v>2260.063209935754</c:v>
                </c:pt>
                <c:pt idx="308">
                  <c:v>2262.1682466936386</c:v>
                </c:pt>
                <c:pt idx="309">
                  <c:v>2264.1723053977998</c:v>
                </c:pt>
                <c:pt idx="310">
                  <c:v>2266.0756086396891</c:v>
                </c:pt>
                <c:pt idx="311">
                  <c:v>2267.8783684940418</c:v>
                </c:pt>
                <c:pt idx="312">
                  <c:v>2269.580786714329</c:v>
                </c:pt>
                <c:pt idx="313">
                  <c:v>2271.183054937856</c:v>
                </c:pt>
                <c:pt idx="314">
                  <c:v>2272.6853549033249</c:v>
                </c:pt>
                <c:pt idx="315">
                  <c:v>2274.0878586841172</c:v>
                </c:pt>
                <c:pt idx="316">
                  <c:v>2275.390728941039</c:v>
                </c:pt>
                <c:pt idx="317">
                  <c:v>2276.5941191987786</c:v>
                </c:pt>
                <c:pt idx="318">
                  <c:v>2277.6981741508475</c:v>
                </c:pt>
                <c:pt idx="319">
                  <c:v>2278.7030299982544</c:v>
                </c:pt>
                <c:pt idx="320">
                  <c:v>2279.6088148275594</c:v>
                </c:pt>
                <c:pt idx="321">
                  <c:v>2280.4156490341652</c:v>
                </c:pt>
                <c:pt idx="322">
                  <c:v>2281.1236457966493</c:v>
                </c:pt>
                <c:pt idx="323">
                  <c:v>2281.7329116074857</c:v>
                </c:pt>
                <c:pt idx="324">
                  <c:v>2282.2435468645308</c:v>
                </c:pt>
                <c:pt idx="325">
                  <c:v>2282.6556465260455</c:v>
                </c:pt>
                <c:pt idx="326">
                  <c:v>2282.9693008297431</c:v>
                </c:pt>
                <c:pt idx="327">
                  <c:v>2283.1845960734186</c:v>
                </c:pt>
                <c:pt idx="328">
                  <c:v>2283.3016154512825</c:v>
                </c:pt>
                <c:pt idx="329">
                  <c:v>2283.3204399364904</c:v>
                </c:pt>
                <c:pt idx="330">
                  <c:v>2283.2411491969215</c:v>
                </c:pt>
                <c:pt idx="331">
                  <c:v>2283.0638225284806</c:v>
                </c:pt>
                <c:pt idx="332">
                  <c:v>2282.7885397884984</c:v>
                </c:pt>
                <c:pt idx="333">
                  <c:v>2282.4153823114448</c:v>
                </c:pt>
                <c:pt idx="334">
                  <c:v>2281.9444337902323</c:v>
                </c:pt>
                <c:pt idx="335">
                  <c:v>2281.3757811086734</c:v>
                </c:pt>
                <c:pt idx="336">
                  <c:v>2280.7095151138346</c:v>
                </c:pt>
                <c:pt idx="337">
                  <c:v>2279.9457313206358</c:v>
                </c:pt>
                <c:pt idx="338">
                  <c:v>2279.084530544631</c:v>
                </c:pt>
                <c:pt idx="339">
                  <c:v>2278.1260194621332</c:v>
                </c:pt>
                <c:pt idx="340">
                  <c:v>2277.0703110994659</c:v>
                </c:pt>
                <c:pt idx="341">
                  <c:v>2275.9175252550676</c:v>
                </c:pt>
                <c:pt idx="342">
                  <c:v>2274.6677888594472</c:v>
                </c:pt>
                <c:pt idx="343">
                  <c:v>2273.3212362786703</c:v>
                </c:pt>
                <c:pt idx="344">
                  <c:v>2271.8780095672873</c:v>
                </c:pt>
                <c:pt idx="345">
                  <c:v>2270.338258676501</c:v>
                </c:pt>
                <c:pt idx="346">
                  <c:v>2268.7021416230377</c:v>
                </c:pt>
                <c:pt idx="347">
                  <c:v>2266.9698246237276</c:v>
                </c:pt>
                <c:pt idx="348">
                  <c:v>2265.1414822002776</c:v>
                </c:pt>
                <c:pt idx="349">
                  <c:v>2263.2172972581839</c:v>
                </c:pt>
                <c:pt idx="350">
                  <c:v>2261.1974611432306</c:v>
                </c:pt>
                <c:pt idx="351">
                  <c:v>2259.0821736785319</c:v>
                </c:pt>
                <c:pt idx="352">
                  <c:v>2256.871643184671</c:v>
                </c:pt>
                <c:pt idx="353">
                  <c:v>2254.566086485097</c:v>
                </c:pt>
                <c:pt idx="354">
                  <c:v>2252.165728898628</c:v>
                </c:pt>
                <c:pt idx="355">
                  <c:v>2249.6708042206305</c:v>
                </c:pt>
                <c:pt idx="356">
                  <c:v>2247.081554694199</c:v>
                </c:pt>
                <c:pt idx="357">
                  <c:v>2244.3982309724734</c:v>
                </c:pt>
                <c:pt idx="358">
                  <c:v>2241.6210920730496</c:v>
                </c:pt>
                <c:pt idx="359">
                  <c:v>2238.7504053253087</c:v>
                </c:pt>
                <c:pt idx="360">
                  <c:v>2235.7864463113642</c:v>
                </c:pt>
                <c:pt idx="361">
                  <c:v>2232.7294988012286</c:v>
                </c:pt>
                <c:pt idx="362">
                  <c:v>2229.5798546827214</c:v>
                </c:pt>
                <c:pt idx="363">
                  <c:v>2226.3378138865673</c:v>
                </c:pt>
                <c:pt idx="364">
                  <c:v>2223.003684307077</c:v>
                </c:pt>
                <c:pt idx="365">
                  <c:v>2219.5777817187527</c:v>
                </c:pt>
                <c:pt idx="366">
                  <c:v>2216.0604296891224</c:v>
                </c:pt>
                <c:pt idx="367">
                  <c:v>2212.4519594880717</c:v>
                </c:pt>
                <c:pt idx="368">
                  <c:v>2208.7527099939125</c:v>
                </c:pt>
                <c:pt idx="369">
                  <c:v>2204.9630275964028</c:v>
                </c:pt>
                <c:pt idx="370">
                  <c:v>2201.0832660969149</c:v>
                </c:pt>
                <c:pt idx="371">
                  <c:v>2197.1137866059294</c:v>
                </c:pt>
                <c:pt idx="372">
                  <c:v>2193.054957438017</c:v>
                </c:pt>
                <c:pt idx="373">
                  <c:v>2188.907154004462</c:v>
                </c:pt>
                <c:pt idx="374">
                  <c:v>2184.6707587036653</c:v>
                </c:pt>
                <c:pt idx="375">
                  <c:v>2180.3461608094613</c:v>
                </c:pt>
                <c:pt idx="376">
                  <c:v>2175.9337563574682</c:v>
                </c:pt>
                <c:pt idx="377">
                  <c:v>2171.4339480295962</c:v>
                </c:pt>
                <c:pt idx="378">
                  <c:v>2166.847145036817</c:v>
                </c:pt>
                <c:pt idx="379">
                  <c:v>2162.173763000309</c:v>
                </c:pt>
                <c:pt idx="380">
                  <c:v>2157.4142238310751</c:v>
                </c:pt>
                <c:pt idx="381">
                  <c:v>2152.5689556081361</c:v>
                </c:pt>
                <c:pt idx="382">
                  <c:v>2147.6383924553911</c:v>
                </c:pt>
                <c:pt idx="383">
                  <c:v>2142.6229744172433</c:v>
                </c:pt>
                <c:pt idx="384">
                  <c:v>2137.5231473330741</c:v>
                </c:pt>
                <c:pt idx="385">
                  <c:v>2132.3393627106616</c:v>
                </c:pt>
                <c:pt idx="386">
                  <c:v>2127.0720775986201</c:v>
                </c:pt>
                <c:pt idx="387">
                  <c:v>2121.7217544579544</c:v>
                </c:pt>
                <c:pt idx="388">
                  <c:v>2116.2888610328005</c:v>
                </c:pt>
                <c:pt idx="389">
                  <c:v>2110.7738702204433</c:v>
                </c:pt>
                <c:pt idx="390">
                  <c:v>2105.1772599406827</c:v>
                </c:pt>
                <c:pt idx="391">
                  <c:v>2099.4995130046282</c:v>
                </c:pt>
                <c:pt idx="392">
                  <c:v>2093.7411169829998</c:v>
                </c:pt>
                <c:pt idx="393">
                  <c:v>2087.9025640740069</c:v>
                </c:pt>
                <c:pt idx="394">
                  <c:v>2081.9843509708812</c:v>
                </c:pt>
                <c:pt idx="395">
                  <c:v>2075.9869787291336</c:v>
                </c:pt>
                <c:pt idx="396">
                  <c:v>2069.9109526336083</c:v>
                </c:pt>
                <c:pt idx="397">
                  <c:v>2063.7567820654026</c:v>
                </c:pt>
                <c:pt idx="398">
                  <c:v>2057.5249803687207</c:v>
                </c:pt>
                <c:pt idx="399">
                  <c:v>2051.2160647177293</c:v>
                </c:pt>
                <c:pt idx="400">
                  <c:v>2044.830555983481</c:v>
                </c:pt>
                <c:pt idx="401">
                  <c:v>2038.3689786009711</c:v>
                </c:pt>
                <c:pt idx="402">
                  <c:v>2031.8318604363899</c:v>
                </c:pt>
                <c:pt idx="403">
                  <c:v>2025.2197326546345</c:v>
                </c:pt>
                <c:pt idx="404">
                  <c:v>2018.5331295871401</c:v>
                </c:pt>
                <c:pt idx="405">
                  <c:v>2011.7725886000919</c:v>
                </c:pt>
                <c:pt idx="406">
                  <c:v>2004.938649963075</c:v>
                </c:pt>
                <c:pt idx="407">
                  <c:v>1998.0318567182203</c:v>
                </c:pt>
                <c:pt idx="408">
                  <c:v>1991.0527545499037</c:v>
                </c:pt>
                <c:pt idx="409">
                  <c:v>1984.0018916550507</c:v>
                </c:pt>
                <c:pt idx="410">
                  <c:v>1976.8798186141025</c:v>
                </c:pt>
                <c:pt idx="411">
                  <c:v>1969.6870882626949</c:v>
                </c:pt>
                <c:pt idx="412">
                  <c:v>1962.4242555640994</c:v>
                </c:pt>
                <c:pt idx="413">
                  <c:v>1955.0918774824788</c:v>
                </c:pt>
                <c:pt idx="414">
                  <c:v>1947.6905128570031</c:v>
                </c:pt>
                <c:pt idx="415">
                  <c:v>1940.2207222768729</c:v>
                </c:pt>
                <c:pt idx="416">
                  <c:v>1932.6830679572975</c:v>
                </c:pt>
                <c:pt idx="417">
                  <c:v>1925.0781136164678</c:v>
                </c:pt>
                <c:pt idx="418">
                  <c:v>1917.4064243535722</c:v>
                </c:pt>
                <c:pt idx="419">
                  <c:v>1909.6685665278908</c:v>
                </c:pt>
                <c:pt idx="420">
                  <c:v>1901.865107639012</c:v>
                </c:pt>
                <c:pt idx="421">
                  <c:v>1893.9966162082085</c:v>
                </c:pt>
                <c:pt idx="422">
                  <c:v>1886.0636616610084</c:v>
                </c:pt>
                <c:pt idx="423">
                  <c:v>1878.0668142109998</c:v>
                </c:pt>
                <c:pt idx="424">
                  <c:v>1870.006644744901</c:v>
                </c:pt>
                <c:pt idx="425">
                  <c:v>1861.8837247089291</c:v>
                </c:pt>
                <c:pt idx="426">
                  <c:v>1853.6986259965004</c:v>
                </c:pt>
                <c:pt idx="427">
                  <c:v>1845.4519208372892</c:v>
                </c:pt>
                <c:pt idx="428">
                  <c:v>1837.1441816876786</c:v>
                </c:pt>
                <c:pt idx="429">
                  <c:v>1828.7759811226244</c:v>
                </c:pt>
                <c:pt idx="430">
                  <c:v>1820.3478917289642</c:v>
                </c:pt>
                <c:pt idx="431">
                  <c:v>1811.8604860001906</c:v>
                </c:pt>
                <c:pt idx="432">
                  <c:v>1803.3143362327164</c:v>
                </c:pt>
                <c:pt idx="433">
                  <c:v>1794.7100144236508</c:v>
                </c:pt>
                <c:pt idx="434">
                  <c:v>1786.0480921701073</c:v>
                </c:pt>
                <c:pt idx="435">
                  <c:v>1777.3291405700636</c:v>
                </c:pt>
                <c:pt idx="436">
                  <c:v>1768.5537301247903</c:v>
                </c:pt>
                <c:pt idx="437">
                  <c:v>1759.7224306428659</c:v>
                </c:pt>
                <c:pt idx="438">
                  <c:v>1750.8358111457926</c:v>
                </c:pt>
                <c:pt idx="439">
                  <c:v>1741.8944397752271</c:v>
                </c:pt>
                <c:pt idx="440">
                  <c:v>1732.8988837018392</c:v>
                </c:pt>
                <c:pt idx="441">
                  <c:v>1723.8497090358105</c:v>
                </c:pt>
                <c:pt idx="442">
                  <c:v>1714.7474807389824</c:v>
                </c:pt>
                <c:pt idx="443">
                  <c:v>1705.5927625386626</c:v>
                </c:pt>
                <c:pt idx="444">
                  <c:v>1696.3861168430997</c:v>
                </c:pt>
                <c:pt idx="445">
                  <c:v>1687.1281046586307</c:v>
                </c:pt>
                <c:pt idx="446">
                  <c:v>1677.8192855085083</c:v>
                </c:pt>
                <c:pt idx="447">
                  <c:v>1668.4602173534126</c:v>
                </c:pt>
                <c:pt idx="448">
                  <c:v>1659.0514565136505</c:v>
                </c:pt>
                <c:pt idx="449">
                  <c:v>1649.5935575930444</c:v>
                </c:pt>
                <c:pt idx="450">
                  <c:v>1640.0870734045138</c:v>
                </c:pt>
                <c:pt idx="451">
                  <c:v>1630.5325548973485</c:v>
                </c:pt>
                <c:pt idx="452">
                  <c:v>1620.9305510861725</c:v>
                </c:pt>
                <c:pt idx="453">
                  <c:v>1611.2816089815992</c:v>
                </c:pt>
                <c:pt idx="454">
                  <c:v>1601.586273522573</c:v>
                </c:pt>
                <c:pt idx="455">
                  <c:v>1591.8450875103958</c:v>
                </c:pt>
                <c:pt idx="456">
                  <c:v>1582.0585915444328</c:v>
                </c:pt>
                <c:pt idx="457">
                  <c:v>1572.2273239594931</c:v>
                </c:pt>
                <c:pt idx="458">
                  <c:v>1562.3518207648794</c:v>
                </c:pt>
                <c:pt idx="459">
                  <c:v>1552.4326155850997</c:v>
                </c:pt>
                <c:pt idx="460">
                  <c:v>1542.4702396022319</c:v>
                </c:pt>
                <c:pt idx="461">
                  <c:v>1532.4652214999371</c:v>
                </c:pt>
                <c:pt idx="462">
                  <c:v>1522.4180874091071</c:v>
                </c:pt>
                <c:pt idx="463">
                  <c:v>1512.3293608551403</c:v>
                </c:pt>
                <c:pt idx="464">
                  <c:v>1502.1995627068345</c:v>
                </c:pt>
                <c:pt idx="465">
                  <c:v>1492.0292111268845</c:v>
                </c:pt>
                <c:pt idx="466">
                  <c:v>1481.8188215239732</c:v>
                </c:pt>
                <c:pt idx="467">
                  <c:v>1471.5689065064444</c:v>
                </c:pt>
                <c:pt idx="468">
                  <c:v>1461.2799758375434</c:v>
                </c:pt>
                <c:pt idx="469">
                  <c:v>1450.9525363922128</c:v>
                </c:pt>
                <c:pt idx="470">
                  <c:v>1440.5870921154285</c:v>
                </c:pt>
                <c:pt idx="471">
                  <c:v>1430.184143982061</c:v>
                </c:pt>
                <c:pt idx="472">
                  <c:v>1419.7441899582482</c:v>
                </c:pt>
                <c:pt idx="473">
                  <c:v>1409.2677249642634</c:v>
                </c:pt>
                <c:pt idx="474">
                  <c:v>1398.7552408388624</c:v>
                </c:pt>
                <c:pt idx="475">
                  <c:v>1388.2072263050927</c:v>
                </c:pt>
                <c:pt idx="476">
                  <c:v>1377.6241669375488</c:v>
                </c:pt>
                <c:pt idx="477">
                  <c:v>1367.0065451310563</c:v>
                </c:pt>
                <c:pt idx="478">
                  <c:v>1356.3548400707675</c:v>
                </c:pt>
                <c:pt idx="479">
                  <c:v>1345.6695277036486</c:v>
                </c:pt>
                <c:pt idx="480">
                  <c:v>1334.9510807113427</c:v>
                </c:pt>
                <c:pt idx="481">
                  <c:v>1324.1999684843897</c:v>
                </c:pt>
                <c:pt idx="482">
                  <c:v>1313.4166570977823</c:v>
                </c:pt>
                <c:pt idx="483">
                  <c:v>1302.601609287841</c:v>
                </c:pt>
                <c:pt idx="484">
                  <c:v>1291.7552844303893</c:v>
                </c:pt>
                <c:pt idx="485">
                  <c:v>1280.8781385202074</c:v>
                </c:pt>
                <c:pt idx="486">
                  <c:v>1269.9706241517456</c:v>
                </c:pt>
                <c:pt idx="487">
                  <c:v>1259.0331905010801</c:v>
                </c:pt>
                <c:pt idx="488">
                  <c:v>1248.0662833090857</c:v>
                </c:pt>
                <c:pt idx="489">
                  <c:v>1237.0703448658123</c:v>
                </c:pt>
                <c:pt idx="490">
                  <c:v>1226.0458139960376</c:v>
                </c:pt>
                <c:pt idx="491">
                  <c:v>1214.9931260459819</c:v>
                </c:pt>
                <c:pt idx="492">
                  <c:v>1203.9127128711602</c:v>
                </c:pt>
                <c:pt idx="493">
                  <c:v>1192.8050028253547</c:v>
                </c:pt>
                <c:pt idx="494">
                  <c:v>1181.670420750683</c:v>
                </c:pt>
                <c:pt idx="495">
                  <c:v>1170.5093879687452</c:v>
                </c:pt>
                <c:pt idx="496">
                  <c:v>1159.322322272827</c:v>
                </c:pt>
                <c:pt idx="497">
                  <c:v>1148.1096379211397</c:v>
                </c:pt>
                <c:pt idx="498">
                  <c:v>1136.8717456310744</c:v>
                </c:pt>
                <c:pt idx="499">
                  <c:v>1125.6090525744523</c:v>
                </c:pt>
                <c:pt idx="500">
                  <c:v>1114.3219623737484</c:v>
                </c:pt>
                <c:pt idx="501">
                  <c:v>1103.0108750992697</c:v>
                </c:pt>
                <c:pt idx="502">
                  <c:v>1091.6761872672655</c:v>
                </c:pt>
                <c:pt idx="503">
                  <c:v>1080.3182918389521</c:v>
                </c:pt>
                <c:pt idx="504">
                  <c:v>1068.937578220429</c:v>
                </c:pt>
                <c:pt idx="505">
                  <c:v>1057.5344322634674</c:v>
                </c:pt>
                <c:pt idx="506">
                  <c:v>1046.1092362671509</c:v>
                </c:pt>
                <c:pt idx="507">
                  <c:v>1034.6623689803489</c:v>
                </c:pt>
                <c:pt idx="508">
                  <c:v>1023.1942056050018</c:v>
                </c:pt>
                <c:pt idx="509">
                  <c:v>1011.7051178001979</c:v>
                </c:pt>
                <c:pt idx="510">
                  <c:v>1000.195473687024</c:v>
                </c:pt>
                <c:pt idx="511">
                  <c:v>988.66563785416929</c:v>
                </c:pt>
                <c:pt idx="512">
                  <c:v>977.11597136426224</c:v>
                </c:pt>
                <c:pt idx="513">
                  <c:v>965.54683176092294</c:v>
                </c:pt>
                <c:pt idx="514">
                  <c:v>953.95857307651113</c:v>
                </c:pt>
                <c:pt idx="515">
                  <c:v>942.35154584055056</c:v>
                </c:pt>
                <c:pt idx="516">
                  <c:v>930.72609708881191</c:v>
                </c:pt>
                <c:pt idx="517">
                  <c:v>919.08257037303554</c:v>
                </c:pt>
                <c:pt idx="518">
                  <c:v>907.42130577127512</c:v>
                </c:pt>
                <c:pt idx="519">
                  <c:v>895.74263989884491</c:v>
                </c:pt>
                <c:pt idx="520">
                  <c:v>884.04690591985286</c:v>
                </c:pt>
                <c:pt idx="521">
                  <c:v>872.33443355930046</c:v>
                </c:pt>
                <c:pt idx="522">
                  <c:v>860.60554911573399</c:v>
                </c:pt>
                <c:pt idx="523">
                  <c:v>848.86057547442806</c:v>
                </c:pt>
                <c:pt idx="524">
                  <c:v>837.09983212108546</c:v>
                </c:pt>
                <c:pt idx="525">
                  <c:v>825.32363515603629</c:v>
                </c:pt>
                <c:pt idx="526">
                  <c:v>813.53229730891974</c:v>
                </c:pt>
                <c:pt idx="527">
                  <c:v>801.72612795383168</c:v>
                </c:pt>
                <c:pt idx="528">
                  <c:v>789.90543312492321</c:v>
                </c:pt>
                <c:pt idx="529">
                  <c:v>778.07051553243309</c:v>
                </c:pt>
                <c:pt idx="530">
                  <c:v>766.22167457913895</c:v>
                </c:pt>
                <c:pt idx="531">
                  <c:v>754.35920637721131</c:v>
                </c:pt>
                <c:pt idx="532">
                  <c:v>742.48340376545673</c:v>
                </c:pt>
                <c:pt idx="533">
                  <c:v>730.59455632693323</c:v>
                </c:pt>
                <c:pt idx="534">
                  <c:v>718.6929504069243</c:v>
                </c:pt>
                <c:pt idx="535">
                  <c:v>706.77886913125781</c:v>
                </c:pt>
                <c:pt idx="536">
                  <c:v>694.85259242495363</c:v>
                </c:pt>
                <c:pt idx="537">
                  <c:v>682.91439703118829</c:v>
                </c:pt>
                <c:pt idx="538">
                  <c:v>670.96455653056114</c:v>
                </c:pt>
                <c:pt idx="539">
                  <c:v>659.00334136064998</c:v>
                </c:pt>
                <c:pt idx="540">
                  <c:v>647.03101883584156</c:v>
                </c:pt>
                <c:pt idx="541">
                  <c:v>635.04785316742539</c:v>
                </c:pt>
                <c:pt idx="542">
                  <c:v>623.05410548393729</c:v>
                </c:pt>
                <c:pt idx="543">
                  <c:v>611.05003385174018</c:v>
                </c:pt>
                <c:pt idx="544">
                  <c:v>599.03589329583076</c:v>
                </c:pt>
                <c:pt idx="545">
                  <c:v>587.01193582085853</c:v>
                </c:pt>
                <c:pt idx="546">
                  <c:v>574.97841043234757</c:v>
                </c:pt>
                <c:pt idx="547">
                  <c:v>562.93556315810713</c:v>
                </c:pt>
                <c:pt idx="548">
                  <c:v>550.88363706982216</c:v>
                </c:pt>
                <c:pt idx="549">
                  <c:v>538.82287230481074</c:v>
                </c:pt>
                <c:pt idx="550">
                  <c:v>526.75350608793906</c:v>
                </c:pt>
                <c:pt idx="551">
                  <c:v>514.67577275368285</c:v>
                </c:pt>
                <c:pt idx="552">
                  <c:v>502.58990376832469</c:v>
                </c:pt>
                <c:pt idx="553">
                  <c:v>490.49612775227769</c:v>
                </c:pt>
                <c:pt idx="554">
                  <c:v>478.39467050252534</c:v>
                </c:pt>
                <c:pt idx="555">
                  <c:v>466.28575501516804</c:v>
                </c:pt>
                <c:pt idx="556">
                  <c:v>454.16960150806671</c:v>
                </c:pt>
                <c:pt idx="557">
                  <c:v>442.04642744357477</c:v>
                </c:pt>
                <c:pt idx="558">
                  <c:v>429.91644755134899</c:v>
                </c:pt>
                <c:pt idx="559">
                  <c:v>417.779873851231</c:v>
                </c:pt>
                <c:pt idx="560">
                  <c:v>405.63691567619048</c:v>
                </c:pt>
                <c:pt idx="561">
                  <c:v>393.4877796953221</c:v>
                </c:pt>
                <c:pt idx="562">
                  <c:v>381.33266993688812</c:v>
                </c:pt>
                <c:pt idx="563">
                  <c:v>369.17178781139825</c:v>
                </c:pt>
                <c:pt idx="564">
                  <c:v>357.00533213472005</c:v>
                </c:pt>
                <c:pt idx="565">
                  <c:v>344.83349915121153</c:v>
                </c:pt>
                <c:pt idx="566">
                  <c:v>332.65648255686909</c:v>
                </c:pt>
                <c:pt idx="567">
                  <c:v>320.47447352248378</c:v>
                </c:pt>
                <c:pt idx="568">
                  <c:v>308.28766071679888</c:v>
                </c:pt>
                <c:pt idx="569">
                  <c:v>296.09623032966226</c:v>
                </c:pt>
                <c:pt idx="570">
                  <c:v>283.90036609516687</c:v>
                </c:pt>
                <c:pt idx="571">
                  <c:v>271.70024931477332</c:v>
                </c:pt>
                <c:pt idx="572">
                  <c:v>259.49605888040804</c:v>
                </c:pt>
                <c:pt idx="573">
                  <c:v>247.28797129753173</c:v>
                </c:pt>
                <c:pt idx="574">
                  <c:v>235.07616070817167</c:v>
                </c:pt>
                <c:pt idx="575">
                  <c:v>222.86079891391287</c:v>
                </c:pt>
                <c:pt idx="576">
                  <c:v>210.64205539884233</c:v>
                </c:pt>
                <c:pt idx="577">
                  <c:v>198.42009735244136</c:v>
                </c:pt>
                <c:pt idx="578">
                  <c:v>186.19508969242079</c:v>
                </c:pt>
                <c:pt idx="579">
                  <c:v>173.96719508749439</c:v>
                </c:pt>
                <c:pt idx="580">
                  <c:v>161.73657398008547</c:v>
                </c:pt>
                <c:pt idx="581">
                  <c:v>149.50338460896245</c:v>
                </c:pt>
                <c:pt idx="582">
                  <c:v>137.26778303179861</c:v>
                </c:pt>
                <c:pt idx="583">
                  <c:v>125.02992314765213</c:v>
                </c:pt>
                <c:pt idx="584">
                  <c:v>112.78995671936202</c:v>
                </c:pt>
                <c:pt idx="585">
                  <c:v>100.54803339585624</c:v>
                </c:pt>
                <c:pt idx="586">
                  <c:v>88.304300734367885</c:v>
                </c:pt>
                <c:pt idx="587">
                  <c:v>76.05890422255618</c:v>
                </c:pt>
                <c:pt idx="588">
                  <c:v>63.811987300528294</c:v>
                </c:pt>
                <c:pt idx="589">
                  <c:v>51.563691382758996</c:v>
                </c:pt>
                <c:pt idx="590">
                  <c:v>39.314155879904597</c:v>
                </c:pt>
                <c:pt idx="591">
                  <c:v>27.06351822050819</c:v>
                </c:pt>
                <c:pt idx="592">
                  <c:v>14.811913872593156</c:v>
                </c:pt>
                <c:pt idx="593">
                  <c:v>2.5594763651420589</c:v>
                </c:pt>
                <c:pt idx="594">
                  <c:v>-9.6936626905418191</c:v>
                </c:pt>
                <c:pt idx="595">
                  <c:v>-9.7059161479608953</c:v>
                </c:pt>
                <c:pt idx="596">
                  <c:v>-9.7181696058873559</c:v>
                </c:pt>
                <c:pt idx="597">
                  <c:v>-9.730423064321073</c:v>
                </c:pt>
                <c:pt idx="598">
                  <c:v>-9.7426765232619204</c:v>
                </c:pt>
                <c:pt idx="599">
                  <c:v>-9.754929982709772</c:v>
                </c:pt>
                <c:pt idx="600">
                  <c:v>-9.7671834426644999</c:v>
                </c:pt>
                <c:pt idx="601">
                  <c:v>-9.779436903125978</c:v>
                </c:pt>
                <c:pt idx="602">
                  <c:v>-9.7916903640940802</c:v>
                </c:pt>
                <c:pt idx="603">
                  <c:v>-9.8039438255686786</c:v>
                </c:pt>
                <c:pt idx="604">
                  <c:v>-9.8161972875496453</c:v>
                </c:pt>
                <c:pt idx="605">
                  <c:v>-9.8284507500368559</c:v>
                </c:pt>
                <c:pt idx="606">
                  <c:v>-9.8407042130301825</c:v>
                </c:pt>
                <c:pt idx="607">
                  <c:v>-9.8529576765294973</c:v>
                </c:pt>
                <c:pt idx="608">
                  <c:v>-9.8652111405346741</c:v>
                </c:pt>
                <c:pt idx="609">
                  <c:v>-9.8774646050455868</c:v>
                </c:pt>
                <c:pt idx="610">
                  <c:v>-9.8897180700621075</c:v>
                </c:pt>
                <c:pt idx="611">
                  <c:v>-9.90197153558411</c:v>
                </c:pt>
                <c:pt idx="612">
                  <c:v>-9.9142250016114684</c:v>
                </c:pt>
                <c:pt idx="613">
                  <c:v>-9.9264784681440545</c:v>
                </c:pt>
                <c:pt idx="614">
                  <c:v>-9.9387319351817425</c:v>
                </c:pt>
                <c:pt idx="615">
                  <c:v>-9.950985402724406</c:v>
                </c:pt>
                <c:pt idx="616">
                  <c:v>-9.9632388707719173</c:v>
                </c:pt>
                <c:pt idx="617">
                  <c:v>-9.9754923393241501</c:v>
                </c:pt>
                <c:pt idx="618">
                  <c:v>-9.9877458083809767</c:v>
                </c:pt>
                <c:pt idx="619">
                  <c:v>-9.9999992779422708</c:v>
                </c:pt>
                <c:pt idx="620">
                  <c:v>-10.012252748007906</c:v>
                </c:pt>
                <c:pt idx="621">
                  <c:v>-10.024506218577756</c:v>
                </c:pt>
                <c:pt idx="622">
                  <c:v>-10.036759689651692</c:v>
                </c:pt>
                <c:pt idx="623">
                  <c:v>-10.04901316122959</c:v>
                </c:pt>
                <c:pt idx="624">
                  <c:v>-10.061266633311321</c:v>
                </c:pt>
                <c:pt idx="625">
                  <c:v>-10.07352010589676</c:v>
                </c:pt>
                <c:pt idx="626">
                  <c:v>-10.085773578985778</c:v>
                </c:pt>
                <c:pt idx="627">
                  <c:v>-10.098027052578249</c:v>
                </c:pt>
                <c:pt idx="628">
                  <c:v>-10.110280526674048</c:v>
                </c:pt>
                <c:pt idx="629">
                  <c:v>-10.122534001273046</c:v>
                </c:pt>
                <c:pt idx="630">
                  <c:v>-10.134787476375116</c:v>
                </c:pt>
                <c:pt idx="631">
                  <c:v>-10.147040951980134</c:v>
                </c:pt>
                <c:pt idx="632">
                  <c:v>-10.159294428087971</c:v>
                </c:pt>
                <c:pt idx="633">
                  <c:v>-10.171547904698501</c:v>
                </c:pt>
                <c:pt idx="634">
                  <c:v>-10.183801381811598</c:v>
                </c:pt>
                <c:pt idx="635">
                  <c:v>-10.196054859427134</c:v>
                </c:pt>
                <c:pt idx="636">
                  <c:v>-10.208308337544983</c:v>
                </c:pt>
                <c:pt idx="637">
                  <c:v>-10.220561816165018</c:v>
                </c:pt>
                <c:pt idx="638">
                  <c:v>-10.232815295287113</c:v>
                </c:pt>
                <c:pt idx="639">
                  <c:v>-10.24506877491114</c:v>
                </c:pt>
                <c:pt idx="640">
                  <c:v>-10.257322255036971</c:v>
                </c:pt>
                <c:pt idx="641">
                  <c:v>-10.269575735664482</c:v>
                </c:pt>
                <c:pt idx="642">
                  <c:v>-10.281829216793545</c:v>
                </c:pt>
                <c:pt idx="643">
                  <c:v>-10.294082698424035</c:v>
                </c:pt>
                <c:pt idx="644">
                  <c:v>-10.306336180555823</c:v>
                </c:pt>
                <c:pt idx="645">
                  <c:v>-10.318589663188783</c:v>
                </c:pt>
                <c:pt idx="646">
                  <c:v>-10.330843146322788</c:v>
                </c:pt>
                <c:pt idx="647">
                  <c:v>-10.343096629957712</c:v>
                </c:pt>
                <c:pt idx="648">
                  <c:v>-10.355350114093428</c:v>
                </c:pt>
                <c:pt idx="649">
                  <c:v>-10.367603598729808</c:v>
                </c:pt>
                <c:pt idx="650">
                  <c:v>-10.379857083866726</c:v>
                </c:pt>
                <c:pt idx="651">
                  <c:v>-10.392110569504057</c:v>
                </c:pt>
                <c:pt idx="652">
                  <c:v>-10.404364055641674</c:v>
                </c:pt>
                <c:pt idx="653">
                  <c:v>-10.416617542279448</c:v>
                </c:pt>
                <c:pt idx="654">
                  <c:v>-10.428871029417254</c:v>
                </c:pt>
                <c:pt idx="655">
                  <c:v>-10.441124517054964</c:v>
                </c:pt>
                <c:pt idx="656">
                  <c:v>-10.453378005192453</c:v>
                </c:pt>
                <c:pt idx="657">
                  <c:v>-10.465631493829594</c:v>
                </c:pt>
                <c:pt idx="658">
                  <c:v>-10.477884982966259</c:v>
                </c:pt>
                <c:pt idx="659">
                  <c:v>-10.490138472602322</c:v>
                </c:pt>
                <c:pt idx="660">
                  <c:v>-10.502391962737656</c:v>
                </c:pt>
                <c:pt idx="661">
                  <c:v>-10.514645453372134</c:v>
                </c:pt>
                <c:pt idx="662">
                  <c:v>-10.526898944505632</c:v>
                </c:pt>
                <c:pt idx="663">
                  <c:v>-10.53915243613802</c:v>
                </c:pt>
                <c:pt idx="664">
                  <c:v>-10.551405928269173</c:v>
                </c:pt>
                <c:pt idx="665">
                  <c:v>-10.563659420898963</c:v>
                </c:pt>
                <c:pt idx="666">
                  <c:v>-10.575912914027265</c:v>
                </c:pt>
                <c:pt idx="667">
                  <c:v>-10.588166407653951</c:v>
                </c:pt>
                <c:pt idx="668">
                  <c:v>-10.600419901778896</c:v>
                </c:pt>
                <c:pt idx="669">
                  <c:v>-10.61267339640197</c:v>
                </c:pt>
                <c:pt idx="670">
                  <c:v>-10.624926891523049</c:v>
                </c:pt>
                <c:pt idx="671">
                  <c:v>-10.637180387142006</c:v>
                </c:pt>
                <c:pt idx="672">
                  <c:v>-10.649433883258714</c:v>
                </c:pt>
                <c:pt idx="673">
                  <c:v>-10.661687379873047</c:v>
                </c:pt>
                <c:pt idx="674">
                  <c:v>-10.673940876984878</c:v>
                </c:pt>
                <c:pt idx="675">
                  <c:v>-10.686194374594079</c:v>
                </c:pt>
                <c:pt idx="676">
                  <c:v>-10.698447872700525</c:v>
                </c:pt>
                <c:pt idx="677">
                  <c:v>-10.710701371304088</c:v>
                </c:pt>
                <c:pt idx="678">
                  <c:v>-10.722954870404642</c:v>
                </c:pt>
                <c:pt idx="679">
                  <c:v>-10.735208370002061</c:v>
                </c:pt>
                <c:pt idx="680">
                  <c:v>-10.747461870096217</c:v>
                </c:pt>
                <c:pt idx="681">
                  <c:v>-10.759715370686985</c:v>
                </c:pt>
                <c:pt idx="682">
                  <c:v>-10.771968871774236</c:v>
                </c:pt>
                <c:pt idx="683">
                  <c:v>-10.784222373357846</c:v>
                </c:pt>
                <c:pt idx="684">
                  <c:v>-10.796475875437686</c:v>
                </c:pt>
                <c:pt idx="685">
                  <c:v>-10.808729378013631</c:v>
                </c:pt>
                <c:pt idx="686">
                  <c:v>-10.820982881085554</c:v>
                </c:pt>
                <c:pt idx="687">
                  <c:v>-10.833236384653327</c:v>
                </c:pt>
                <c:pt idx="688">
                  <c:v>-10.845489888716825</c:v>
                </c:pt>
                <c:pt idx="689">
                  <c:v>-10.857743393275921</c:v>
                </c:pt>
                <c:pt idx="690">
                  <c:v>-10.869996898330488</c:v>
                </c:pt>
                <c:pt idx="691">
                  <c:v>-10.882250403880398</c:v>
                </c:pt>
                <c:pt idx="692">
                  <c:v>-10.894503909925527</c:v>
                </c:pt>
                <c:pt idx="693">
                  <c:v>-10.906757416465748</c:v>
                </c:pt>
                <c:pt idx="694">
                  <c:v>-10.919010923500933</c:v>
                </c:pt>
                <c:pt idx="695">
                  <c:v>-10.931264431030955</c:v>
                </c:pt>
                <c:pt idx="696">
                  <c:v>-10.94351793905569</c:v>
                </c:pt>
                <c:pt idx="697">
                  <c:v>-10.955771447575009</c:v>
                </c:pt>
                <c:pt idx="698">
                  <c:v>-10.968024956588785</c:v>
                </c:pt>
                <c:pt idx="699">
                  <c:v>-10.980278466096893</c:v>
                </c:pt>
                <c:pt idx="700">
                  <c:v>-10.992531976099206</c:v>
                </c:pt>
                <c:pt idx="701">
                  <c:v>-11.004785486595598</c:v>
                </c:pt>
                <c:pt idx="702">
                  <c:v>-11.01703899758594</c:v>
                </c:pt>
                <c:pt idx="703">
                  <c:v>-11.029292509070107</c:v>
                </c:pt>
                <c:pt idx="704">
                  <c:v>-11.041546021047973</c:v>
                </c:pt>
                <c:pt idx="705">
                  <c:v>-11.05379953351941</c:v>
                </c:pt>
                <c:pt idx="706">
                  <c:v>-11.066053046484292</c:v>
                </c:pt>
                <c:pt idx="707">
                  <c:v>-11.078306559942492</c:v>
                </c:pt>
                <c:pt idx="708">
                  <c:v>-11.090560073893885</c:v>
                </c:pt>
                <c:pt idx="709">
                  <c:v>-11.102813588338343</c:v>
                </c:pt>
                <c:pt idx="710">
                  <c:v>-11.115067103275738</c:v>
                </c:pt>
                <c:pt idx="711">
                  <c:v>-11.127320618705946</c:v>
                </c:pt>
                <c:pt idx="712">
                  <c:v>-11.139574134628839</c:v>
                </c:pt>
                <c:pt idx="713">
                  <c:v>-11.151827651044291</c:v>
                </c:pt>
                <c:pt idx="714">
                  <c:v>-11.164081167952176</c:v>
                </c:pt>
                <c:pt idx="715">
                  <c:v>-11.176334685352366</c:v>
                </c:pt>
                <c:pt idx="716">
                  <c:v>-11.188588203244734</c:v>
                </c:pt>
                <c:pt idx="717">
                  <c:v>-11.200841721629155</c:v>
                </c:pt>
                <c:pt idx="718">
                  <c:v>-11.213095240505501</c:v>
                </c:pt>
                <c:pt idx="719">
                  <c:v>-11.225348759873647</c:v>
                </c:pt>
                <c:pt idx="720">
                  <c:v>-11.237602279733466</c:v>
                </c:pt>
                <c:pt idx="721">
                  <c:v>-11.249855800084831</c:v>
                </c:pt>
                <c:pt idx="722">
                  <c:v>-11.262109320927614</c:v>
                </c:pt>
                <c:pt idx="723">
                  <c:v>-11.27436284226169</c:v>
                </c:pt>
                <c:pt idx="724">
                  <c:v>-11.286616364086932</c:v>
                </c:pt>
                <c:pt idx="725">
                  <c:v>-11.298869886403214</c:v>
                </c:pt>
                <c:pt idx="726">
                  <c:v>-11.31112340921041</c:v>
                </c:pt>
                <c:pt idx="727">
                  <c:v>-11.323376932508392</c:v>
                </c:pt>
                <c:pt idx="728">
                  <c:v>-11.335630456297034</c:v>
                </c:pt>
                <c:pt idx="729">
                  <c:v>-11.347883980576208</c:v>
                </c:pt>
                <c:pt idx="730">
                  <c:v>-11.36013750534579</c:v>
                </c:pt>
                <c:pt idx="731">
                  <c:v>-11.372391030605652</c:v>
                </c:pt>
                <c:pt idx="732">
                  <c:v>-11.384644556355667</c:v>
                </c:pt>
                <c:pt idx="733">
                  <c:v>-11.39689808259571</c:v>
                </c:pt>
                <c:pt idx="734">
                  <c:v>-11.409151609325653</c:v>
                </c:pt>
                <c:pt idx="735">
                  <c:v>-11.421405136545369</c:v>
                </c:pt>
                <c:pt idx="736">
                  <c:v>-11.433658664254732</c:v>
                </c:pt>
                <c:pt idx="737">
                  <c:v>-11.445912192453617</c:v>
                </c:pt>
                <c:pt idx="738">
                  <c:v>-11.458165721141896</c:v>
                </c:pt>
                <c:pt idx="739">
                  <c:v>-11.470419250319443</c:v>
                </c:pt>
                <c:pt idx="740">
                  <c:v>-11.48267277998613</c:v>
                </c:pt>
                <c:pt idx="741">
                  <c:v>-11.494926310141832</c:v>
                </c:pt>
                <c:pt idx="742">
                  <c:v>-11.507179840786423</c:v>
                </c:pt>
                <c:pt idx="743">
                  <c:v>-11.519433371919774</c:v>
                </c:pt>
                <c:pt idx="744">
                  <c:v>-11.531686903541761</c:v>
                </c:pt>
                <c:pt idx="745">
                  <c:v>-11.543940435652257</c:v>
                </c:pt>
                <c:pt idx="746">
                  <c:v>-11.556193968251133</c:v>
                </c:pt>
                <c:pt idx="747">
                  <c:v>-11.568447501338264</c:v>
                </c:pt>
                <c:pt idx="748">
                  <c:v>-11.580701034913524</c:v>
                </c:pt>
                <c:pt idx="749">
                  <c:v>-11.592954568976786</c:v>
                </c:pt>
                <c:pt idx="750">
                  <c:v>-11.605208103527925</c:v>
                </c:pt>
                <c:pt idx="751">
                  <c:v>-11.617461638566812</c:v>
                </c:pt>
                <c:pt idx="752">
                  <c:v>-11.629715174093322</c:v>
                </c:pt>
                <c:pt idx="753">
                  <c:v>-11.641968710107328</c:v>
                </c:pt>
                <c:pt idx="754">
                  <c:v>-11.654222246608704</c:v>
                </c:pt>
                <c:pt idx="755">
                  <c:v>-11.666475783597322</c:v>
                </c:pt>
                <c:pt idx="756">
                  <c:v>-11.678729321073057</c:v>
                </c:pt>
                <c:pt idx="757">
                  <c:v>-11.690982859035781</c:v>
                </c:pt>
                <c:pt idx="758">
                  <c:v>-11.703236397485369</c:v>
                </c:pt>
                <c:pt idx="759">
                  <c:v>-11.715489936421694</c:v>
                </c:pt>
                <c:pt idx="760">
                  <c:v>-11.72774347584463</c:v>
                </c:pt>
                <c:pt idx="761">
                  <c:v>-11.739997015754049</c:v>
                </c:pt>
                <c:pt idx="762">
                  <c:v>-11.752250556149827</c:v>
                </c:pt>
                <c:pt idx="763">
                  <c:v>-11.764504097031834</c:v>
                </c:pt>
                <c:pt idx="764">
                  <c:v>-11.776757638399946</c:v>
                </c:pt>
                <c:pt idx="765">
                  <c:v>-11.789011180254036</c:v>
                </c:pt>
                <c:pt idx="766">
                  <c:v>-11.801264722593977</c:v>
                </c:pt>
                <c:pt idx="767">
                  <c:v>-11.813518265419644</c:v>
                </c:pt>
                <c:pt idx="768">
                  <c:v>-11.825771808730908</c:v>
                </c:pt>
                <c:pt idx="769">
                  <c:v>-11.838025352527643</c:v>
                </c:pt>
                <c:pt idx="770">
                  <c:v>-11.850278896809723</c:v>
                </c:pt>
                <c:pt idx="771">
                  <c:v>-11.862532441577022</c:v>
                </c:pt>
                <c:pt idx="772">
                  <c:v>-11.874785986829414</c:v>
                </c:pt>
                <c:pt idx="773">
                  <c:v>-11.887039532566771</c:v>
                </c:pt>
                <c:pt idx="774">
                  <c:v>-11.899293078788968</c:v>
                </c:pt>
                <c:pt idx="775">
                  <c:v>-11.911546625495879</c:v>
                </c:pt>
                <c:pt idx="776">
                  <c:v>-11.923800172687375</c:v>
                </c:pt>
                <c:pt idx="777">
                  <c:v>-11.936053720363331</c:v>
                </c:pt>
                <c:pt idx="778">
                  <c:v>-11.948307268523621</c:v>
                </c:pt>
                <c:pt idx="779">
                  <c:v>-11.960560817168117</c:v>
                </c:pt>
                <c:pt idx="780">
                  <c:v>-11.972814366296694</c:v>
                </c:pt>
                <c:pt idx="781">
                  <c:v>-11.985067915909225</c:v>
                </c:pt>
                <c:pt idx="782">
                  <c:v>-11.997321466005582</c:v>
                </c:pt>
                <c:pt idx="783">
                  <c:v>-12.009575016585641</c:v>
                </c:pt>
                <c:pt idx="784">
                  <c:v>-12.021828567649274</c:v>
                </c:pt>
                <c:pt idx="785">
                  <c:v>-12.034082119196356</c:v>
                </c:pt>
                <c:pt idx="786">
                  <c:v>-12.046335671226759</c:v>
                </c:pt>
                <c:pt idx="787">
                  <c:v>-12.058589223740356</c:v>
                </c:pt>
                <c:pt idx="788">
                  <c:v>-12.070842776737022</c:v>
                </c:pt>
                <c:pt idx="789">
                  <c:v>-12.08309633021663</c:v>
                </c:pt>
                <c:pt idx="790">
                  <c:v>-12.095349884179054</c:v>
                </c:pt>
                <c:pt idx="791">
                  <c:v>-12.107603438624167</c:v>
                </c:pt>
                <c:pt idx="792">
                  <c:v>-12.119856993551844</c:v>
                </c:pt>
                <c:pt idx="793">
                  <c:v>-12.132110548961956</c:v>
                </c:pt>
                <c:pt idx="794">
                  <c:v>-12.144364104854377</c:v>
                </c:pt>
                <c:pt idx="795">
                  <c:v>-12.156617661228982</c:v>
                </c:pt>
                <c:pt idx="796">
                  <c:v>-12.168871218085643</c:v>
                </c:pt>
                <c:pt idx="797">
                  <c:v>-12.181124775424236</c:v>
                </c:pt>
                <c:pt idx="798">
                  <c:v>-12.193378333244633</c:v>
                </c:pt>
                <c:pt idx="799">
                  <c:v>-12.205631891546707</c:v>
                </c:pt>
                <c:pt idx="800">
                  <c:v>-12.217885450330332</c:v>
                </c:pt>
                <c:pt idx="801">
                  <c:v>-12.230139009595382</c:v>
                </c:pt>
                <c:pt idx="802">
                  <c:v>-12.24239256934173</c:v>
                </c:pt>
                <c:pt idx="803">
                  <c:v>-12.254646129569251</c:v>
                </c:pt>
                <c:pt idx="804">
                  <c:v>-12.266899690277816</c:v>
                </c:pt>
                <c:pt idx="805">
                  <c:v>-12.279153251467299</c:v>
                </c:pt>
                <c:pt idx="806">
                  <c:v>-12.291406813137575</c:v>
                </c:pt>
                <c:pt idx="807">
                  <c:v>-12.303660375288517</c:v>
                </c:pt>
                <c:pt idx="808">
                  <c:v>-12.31591393792</c:v>
                </c:pt>
                <c:pt idx="809">
                  <c:v>-12.328167501031896</c:v>
                </c:pt>
                <c:pt idx="810">
                  <c:v>-12.340421064624078</c:v>
                </c:pt>
                <c:pt idx="811">
                  <c:v>-12.35267462869642</c:v>
                </c:pt>
                <c:pt idx="812">
                  <c:v>-12.364928193248796</c:v>
                </c:pt>
                <c:pt idx="813">
                  <c:v>-12.377181758281079</c:v>
                </c:pt>
                <c:pt idx="814">
                  <c:v>-12.389435323793144</c:v>
                </c:pt>
                <c:pt idx="815">
                  <c:v>-12.401688889784865</c:v>
                </c:pt>
                <c:pt idx="816">
                  <c:v>-12.413942456256112</c:v>
                </c:pt>
                <c:pt idx="817">
                  <c:v>-12.426196023206762</c:v>
                </c:pt>
                <c:pt idx="818">
                  <c:v>-12.438449590636687</c:v>
                </c:pt>
                <c:pt idx="819">
                  <c:v>-12.45070315854576</c:v>
                </c:pt>
                <c:pt idx="820">
                  <c:v>-12.462956726933857</c:v>
                </c:pt>
                <c:pt idx="821">
                  <c:v>-12.475210295800849</c:v>
                </c:pt>
                <c:pt idx="822">
                  <c:v>-12.487463865146612</c:v>
                </c:pt>
                <c:pt idx="823">
                  <c:v>-12.499717434971018</c:v>
                </c:pt>
                <c:pt idx="824">
                  <c:v>-12.51197100527394</c:v>
                </c:pt>
                <c:pt idx="825">
                  <c:v>-12.524224576055254</c:v>
                </c:pt>
                <c:pt idx="826">
                  <c:v>-12.536478147314831</c:v>
                </c:pt>
                <c:pt idx="827">
                  <c:v>-12.548731719052547</c:v>
                </c:pt>
                <c:pt idx="828">
                  <c:v>-12.560985291268274</c:v>
                </c:pt>
                <c:pt idx="829">
                  <c:v>-12.573238863961885</c:v>
                </c:pt>
                <c:pt idx="830">
                  <c:v>-12.585492437133256</c:v>
                </c:pt>
                <c:pt idx="831">
                  <c:v>-12.597746010782259</c:v>
                </c:pt>
                <c:pt idx="832">
                  <c:v>-12.609999584908767</c:v>
                </c:pt>
                <c:pt idx="833">
                  <c:v>-12.622253159512654</c:v>
                </c:pt>
                <c:pt idx="834">
                  <c:v>-12.634506734593796</c:v>
                </c:pt>
                <c:pt idx="835">
                  <c:v>-12.646760310152063</c:v>
                </c:pt>
                <c:pt idx="836">
                  <c:v>-12.65901388618733</c:v>
                </c:pt>
                <c:pt idx="837">
                  <c:v>-12.671267462699472</c:v>
                </c:pt>
                <c:pt idx="838">
                  <c:v>-12.683521039688362</c:v>
                </c:pt>
                <c:pt idx="839">
                  <c:v>-12.695774617153871</c:v>
                </c:pt>
                <c:pt idx="840">
                  <c:v>-12.708028195095876</c:v>
                </c:pt>
                <c:pt idx="841">
                  <c:v>-12.72028177351425</c:v>
                </c:pt>
                <c:pt idx="842">
                  <c:v>-12.732535352408865</c:v>
                </c:pt>
                <c:pt idx="843">
                  <c:v>-12.744788931779597</c:v>
                </c:pt>
                <c:pt idx="844">
                  <c:v>-12.757042511626318</c:v>
                </c:pt>
                <c:pt idx="845">
                  <c:v>-12.769296091948902</c:v>
                </c:pt>
                <c:pt idx="846">
                  <c:v>-12.781549672747223</c:v>
                </c:pt>
                <c:pt idx="847">
                  <c:v>-12.793803254021153</c:v>
                </c:pt>
                <c:pt idx="848">
                  <c:v>-12.806056835770567</c:v>
                </c:pt>
                <c:pt idx="849">
                  <c:v>-12.818310417995338</c:v>
                </c:pt>
                <c:pt idx="850">
                  <c:v>-12.830564000695341</c:v>
                </c:pt>
                <c:pt idx="851">
                  <c:v>-12.842817583870449</c:v>
                </c:pt>
                <c:pt idx="852">
                  <c:v>-12.855071167520535</c:v>
                </c:pt>
                <c:pt idx="853">
                  <c:v>-12.867324751645473</c:v>
                </c:pt>
                <c:pt idx="854">
                  <c:v>-12.879578336245137</c:v>
                </c:pt>
                <c:pt idx="855">
                  <c:v>-12.891831921319401</c:v>
                </c:pt>
                <c:pt idx="856">
                  <c:v>-12.904085506868137</c:v>
                </c:pt>
                <c:pt idx="857">
                  <c:v>-12.916339092891221</c:v>
                </c:pt>
                <c:pt idx="858">
                  <c:v>-12.928592679388524</c:v>
                </c:pt>
                <c:pt idx="859">
                  <c:v>-12.940846266359921</c:v>
                </c:pt>
                <c:pt idx="860">
                  <c:v>-12.953099853805286</c:v>
                </c:pt>
                <c:pt idx="861">
                  <c:v>-12.965353441724492</c:v>
                </c:pt>
                <c:pt idx="862">
                  <c:v>-12.977607030117413</c:v>
                </c:pt>
                <c:pt idx="863">
                  <c:v>-12.989860618983924</c:v>
                </c:pt>
                <c:pt idx="864">
                  <c:v>-13.002114208323897</c:v>
                </c:pt>
                <c:pt idx="865">
                  <c:v>-13.014367798137206</c:v>
                </c:pt>
                <c:pt idx="866">
                  <c:v>-13.026621388423726</c:v>
                </c:pt>
                <c:pt idx="867">
                  <c:v>-13.038874979183328</c:v>
                </c:pt>
                <c:pt idx="868">
                  <c:v>-13.051128570415887</c:v>
                </c:pt>
                <c:pt idx="869">
                  <c:v>-13.063382162121277</c:v>
                </c:pt>
                <c:pt idx="870">
                  <c:v>-13.075635754299372</c:v>
                </c:pt>
                <c:pt idx="871">
                  <c:v>-13.087889346950044</c:v>
                </c:pt>
                <c:pt idx="872">
                  <c:v>-13.100142940073169</c:v>
                </c:pt>
                <c:pt idx="873">
                  <c:v>-13.112396533668619</c:v>
                </c:pt>
                <c:pt idx="874">
                  <c:v>-13.124650127736269</c:v>
                </c:pt>
                <c:pt idx="875">
                  <c:v>-13.13690372227599</c:v>
                </c:pt>
                <c:pt idx="876">
                  <c:v>-13.14915731728766</c:v>
                </c:pt>
                <c:pt idx="877">
                  <c:v>-13.161410912771149</c:v>
                </c:pt>
                <c:pt idx="878">
                  <c:v>-13.173664508726333</c:v>
                </c:pt>
                <c:pt idx="879">
                  <c:v>-13.185918105153084</c:v>
                </c:pt>
                <c:pt idx="880">
                  <c:v>-13.198171702051276</c:v>
                </c:pt>
                <c:pt idx="881">
                  <c:v>-13.210425299420784</c:v>
                </c:pt>
                <c:pt idx="882">
                  <c:v>-13.222678897261479</c:v>
                </c:pt>
                <c:pt idx="883">
                  <c:v>-13.234932495573238</c:v>
                </c:pt>
                <c:pt idx="884">
                  <c:v>-13.247186094355932</c:v>
                </c:pt>
                <c:pt idx="885">
                  <c:v>-13.259439693609437</c:v>
                </c:pt>
                <c:pt idx="886">
                  <c:v>-13.271693293333625</c:v>
                </c:pt>
                <c:pt idx="887">
                  <c:v>-13.28394689352837</c:v>
                </c:pt>
                <c:pt idx="888">
                  <c:v>-13.296200494193547</c:v>
                </c:pt>
                <c:pt idx="889">
                  <c:v>-13.308454095329029</c:v>
                </c:pt>
                <c:pt idx="890">
                  <c:v>-13.32070769693469</c:v>
                </c:pt>
                <c:pt idx="891">
                  <c:v>-13.332961299010401</c:v>
                </c:pt>
                <c:pt idx="892">
                  <c:v>-13.345214901556039</c:v>
                </c:pt>
                <c:pt idx="893">
                  <c:v>-13.357468504571477</c:v>
                </c:pt>
                <c:pt idx="894">
                  <c:v>-13.369722108056589</c:v>
                </c:pt>
                <c:pt idx="895">
                  <c:v>-13.381975712011247</c:v>
                </c:pt>
                <c:pt idx="896">
                  <c:v>-13.394229316435327</c:v>
                </c:pt>
                <c:pt idx="897">
                  <c:v>-13.406482921328701</c:v>
                </c:pt>
                <c:pt idx="898">
                  <c:v>-13.418736526691243</c:v>
                </c:pt>
                <c:pt idx="899">
                  <c:v>-13.430990132522826</c:v>
                </c:pt>
                <c:pt idx="900">
                  <c:v>-13.443243738823327</c:v>
                </c:pt>
                <c:pt idx="901">
                  <c:v>-13.455497345592617</c:v>
                </c:pt>
                <c:pt idx="902">
                  <c:v>-13.467750952830571</c:v>
                </c:pt>
                <c:pt idx="903">
                  <c:v>-13.48000456053706</c:v>
                </c:pt>
                <c:pt idx="904">
                  <c:v>-13.49225816871196</c:v>
                </c:pt>
                <c:pt idx="905">
                  <c:v>-13.504511777355145</c:v>
                </c:pt>
                <c:pt idx="906">
                  <c:v>-13.516765386466489</c:v>
                </c:pt>
                <c:pt idx="907">
                  <c:v>-13.529018996045863</c:v>
                </c:pt>
                <c:pt idx="908">
                  <c:v>-13.541272606093145</c:v>
                </c:pt>
                <c:pt idx="909">
                  <c:v>-13.553526216608205</c:v>
                </c:pt>
                <c:pt idx="910">
                  <c:v>-13.565779827590919</c:v>
                </c:pt>
                <c:pt idx="911">
                  <c:v>-13.57803343904116</c:v>
                </c:pt>
                <c:pt idx="912">
                  <c:v>-13.590287050958802</c:v>
                </c:pt>
                <c:pt idx="913">
                  <c:v>-13.602540663343717</c:v>
                </c:pt>
                <c:pt idx="914">
                  <c:v>-13.614794276195783</c:v>
                </c:pt>
                <c:pt idx="915">
                  <c:v>-13.62704788951487</c:v>
                </c:pt>
                <c:pt idx="916">
                  <c:v>-13.639301503300853</c:v>
                </c:pt>
                <c:pt idx="917">
                  <c:v>-13.651555117553606</c:v>
                </c:pt>
                <c:pt idx="918">
                  <c:v>-13.663808732273001</c:v>
                </c:pt>
                <c:pt idx="919">
                  <c:v>-13.676062347458913</c:v>
                </c:pt>
                <c:pt idx="920">
                  <c:v>-13.688315963111217</c:v>
                </c:pt>
                <c:pt idx="921">
                  <c:v>-13.700569579229786</c:v>
                </c:pt>
                <c:pt idx="922">
                  <c:v>-13.712823195814492</c:v>
                </c:pt>
                <c:pt idx="923">
                  <c:v>-13.725076812865211</c:v>
                </c:pt>
                <c:pt idx="924">
                  <c:v>-13.737330430381816</c:v>
                </c:pt>
                <c:pt idx="925">
                  <c:v>-13.749584048364181</c:v>
                </c:pt>
                <c:pt idx="926">
                  <c:v>-13.761837666812179</c:v>
                </c:pt>
                <c:pt idx="927">
                  <c:v>-13.774091285725685</c:v>
                </c:pt>
                <c:pt idx="928">
                  <c:v>-13.786344905104572</c:v>
                </c:pt>
                <c:pt idx="929">
                  <c:v>-13.798598524948714</c:v>
                </c:pt>
                <c:pt idx="930">
                  <c:v>-13.810852145257986</c:v>
                </c:pt>
                <c:pt idx="931">
                  <c:v>-13.82310576603226</c:v>
                </c:pt>
                <c:pt idx="932">
                  <c:v>-13.83535938727141</c:v>
                </c:pt>
                <c:pt idx="933">
                  <c:v>-13.84761300897531</c:v>
                </c:pt>
                <c:pt idx="934">
                  <c:v>-13.859866631143834</c:v>
                </c:pt>
                <c:pt idx="935">
                  <c:v>-13.872120253776856</c:v>
                </c:pt>
                <c:pt idx="936">
                  <c:v>-13.88437387687425</c:v>
                </c:pt>
                <c:pt idx="937">
                  <c:v>-13.896627500435889</c:v>
                </c:pt>
                <c:pt idx="938">
                  <c:v>-13.908881124461647</c:v>
                </c:pt>
                <c:pt idx="939">
                  <c:v>-13.921134748951397</c:v>
                </c:pt>
                <c:pt idx="940">
                  <c:v>-13.933388373905014</c:v>
                </c:pt>
                <c:pt idx="941">
                  <c:v>-13.945641999322373</c:v>
                </c:pt>
                <c:pt idx="942">
                  <c:v>-13.957895625203346</c:v>
                </c:pt>
                <c:pt idx="943">
                  <c:v>-13.970149251547806</c:v>
                </c:pt>
                <c:pt idx="944">
                  <c:v>-13.982402878355629</c:v>
                </c:pt>
                <c:pt idx="945">
                  <c:v>-13.994656505626688</c:v>
                </c:pt>
                <c:pt idx="946">
                  <c:v>-14.006910133360856</c:v>
                </c:pt>
                <c:pt idx="947">
                  <c:v>-14.019163761558008</c:v>
                </c:pt>
                <c:pt idx="948">
                  <c:v>-14.031417390218017</c:v>
                </c:pt>
                <c:pt idx="949">
                  <c:v>-14.043671019340758</c:v>
                </c:pt>
                <c:pt idx="950">
                  <c:v>-14.055924648926103</c:v>
                </c:pt>
                <c:pt idx="951">
                  <c:v>-14.068178278973928</c:v>
                </c:pt>
                <c:pt idx="952">
                  <c:v>-14.080431909484105</c:v>
                </c:pt>
                <c:pt idx="953">
                  <c:v>-14.092685540456509</c:v>
                </c:pt>
                <c:pt idx="954">
                  <c:v>-14.104939171891013</c:v>
                </c:pt>
                <c:pt idx="955">
                  <c:v>-14.117192803787491</c:v>
                </c:pt>
                <c:pt idx="956">
                  <c:v>-14.129446436145818</c:v>
                </c:pt>
                <c:pt idx="957">
                  <c:v>-14.141700068965866</c:v>
                </c:pt>
                <c:pt idx="958">
                  <c:v>-14.153953702247509</c:v>
                </c:pt>
                <c:pt idx="959">
                  <c:v>-14.166207335990622</c:v>
                </c:pt>
                <c:pt idx="960">
                  <c:v>-14.178460970195079</c:v>
                </c:pt>
                <c:pt idx="961">
                  <c:v>-14.190714604860753</c:v>
                </c:pt>
                <c:pt idx="962">
                  <c:v>-14.202968239987518</c:v>
                </c:pt>
                <c:pt idx="963">
                  <c:v>-14.215221875575248</c:v>
                </c:pt>
                <c:pt idx="964">
                  <c:v>-14.227475511623817</c:v>
                </c:pt>
                <c:pt idx="965">
                  <c:v>-14.239729148133099</c:v>
                </c:pt>
                <c:pt idx="966">
                  <c:v>-14.251982785102967</c:v>
                </c:pt>
                <c:pt idx="967">
                  <c:v>-14.264236422533296</c:v>
                </c:pt>
                <c:pt idx="968">
                  <c:v>-14.276490060423958</c:v>
                </c:pt>
                <c:pt idx="969">
                  <c:v>-14.288743698774828</c:v>
                </c:pt>
                <c:pt idx="970">
                  <c:v>-14.30099733758578</c:v>
                </c:pt>
                <c:pt idx="971">
                  <c:v>-14.31325097685669</c:v>
                </c:pt>
                <c:pt idx="972">
                  <c:v>-14.325504616587429</c:v>
                </c:pt>
                <c:pt idx="973">
                  <c:v>-14.337758256777871</c:v>
                </c:pt>
                <c:pt idx="974">
                  <c:v>-14.350011897427891</c:v>
                </c:pt>
                <c:pt idx="975">
                  <c:v>-14.362265538537361</c:v>
                </c:pt>
                <c:pt idx="976">
                  <c:v>-14.374519180106157</c:v>
                </c:pt>
                <c:pt idx="977">
                  <c:v>-14.386772822134152</c:v>
                </c:pt>
                <c:pt idx="978">
                  <c:v>-14.399026464621219</c:v>
                </c:pt>
                <c:pt idx="979">
                  <c:v>-14.411280107567233</c:v>
                </c:pt>
                <c:pt idx="980">
                  <c:v>-14.423533750972068</c:v>
                </c:pt>
                <c:pt idx="981">
                  <c:v>-14.435787394835598</c:v>
                </c:pt>
                <c:pt idx="982">
                  <c:v>-14.448041039157697</c:v>
                </c:pt>
                <c:pt idx="983">
                  <c:v>-14.460294683938239</c:v>
                </c:pt>
                <c:pt idx="984">
                  <c:v>-14.472548329177096</c:v>
                </c:pt>
                <c:pt idx="985">
                  <c:v>-14.484801974874143</c:v>
                </c:pt>
                <c:pt idx="986">
                  <c:v>-14.497055621029254</c:v>
                </c:pt>
                <c:pt idx="987">
                  <c:v>-14.509309267642303</c:v>
                </c:pt>
                <c:pt idx="988">
                  <c:v>-14.521562914713165</c:v>
                </c:pt>
                <c:pt idx="989">
                  <c:v>-14.533816562241713</c:v>
                </c:pt>
                <c:pt idx="990">
                  <c:v>-14.546070210227819</c:v>
                </c:pt>
                <c:pt idx="991">
                  <c:v>-14.558323858671359</c:v>
                </c:pt>
                <c:pt idx="992">
                  <c:v>-14.570577507572207</c:v>
                </c:pt>
                <c:pt idx="993">
                  <c:v>-14.582831156930236</c:v>
                </c:pt>
                <c:pt idx="994">
                  <c:v>-14.595084806745321</c:v>
                </c:pt>
                <c:pt idx="995">
                  <c:v>-14.607338457017335</c:v>
                </c:pt>
                <c:pt idx="996">
                  <c:v>-14.619592107746151</c:v>
                </c:pt>
                <c:pt idx="997">
                  <c:v>-14.631845758931645</c:v>
                </c:pt>
                <c:pt idx="998">
                  <c:v>-14.644099410573689</c:v>
                </c:pt>
                <c:pt idx="999">
                  <c:v>-14.65635306267216</c:v>
                </c:pt>
                <c:pt idx="1000">
                  <c:v>-14.668606715226929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1-4567-B7A1-067915120221}"/>
            </c:ext>
          </c:extLst>
        </c:ser>
        <c:ser>
          <c:idx val="1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5.7</c:v>
                </c:pt>
                <c:pt idx="1">
                  <c:v>5.71</c:v>
                </c:pt>
                <c:pt idx="2">
                  <c:v>5.72</c:v>
                </c:pt>
                <c:pt idx="3">
                  <c:v>5.7299999999999995</c:v>
                </c:pt>
                <c:pt idx="4">
                  <c:v>5.7399999999999993</c:v>
                </c:pt>
                <c:pt idx="5">
                  <c:v>5.7499999999999991</c:v>
                </c:pt>
                <c:pt idx="6">
                  <c:v>5.7599999999999989</c:v>
                </c:pt>
                <c:pt idx="7">
                  <c:v>5.7699999999999987</c:v>
                </c:pt>
                <c:pt idx="8">
                  <c:v>5.7799999999999985</c:v>
                </c:pt>
                <c:pt idx="9">
                  <c:v>5.7899999999999983</c:v>
                </c:pt>
                <c:pt idx="10">
                  <c:v>5.799999999999998</c:v>
                </c:pt>
                <c:pt idx="11">
                  <c:v>5.8099999999999978</c:v>
                </c:pt>
                <c:pt idx="12">
                  <c:v>5.8199999999999976</c:v>
                </c:pt>
                <c:pt idx="13">
                  <c:v>5.8299999999999974</c:v>
                </c:pt>
                <c:pt idx="14">
                  <c:v>5.8399999999999972</c:v>
                </c:pt>
                <c:pt idx="15">
                  <c:v>5.849999999999997</c:v>
                </c:pt>
                <c:pt idx="16">
                  <c:v>5.8599999999999968</c:v>
                </c:pt>
                <c:pt idx="17">
                  <c:v>5.8699999999999966</c:v>
                </c:pt>
                <c:pt idx="18">
                  <c:v>5.8799999999999963</c:v>
                </c:pt>
                <c:pt idx="19">
                  <c:v>5.8899999999999961</c:v>
                </c:pt>
                <c:pt idx="20">
                  <c:v>5.8999999999999959</c:v>
                </c:pt>
                <c:pt idx="21">
                  <c:v>5.9099999999999957</c:v>
                </c:pt>
                <c:pt idx="22">
                  <c:v>5.9199999999999955</c:v>
                </c:pt>
                <c:pt idx="23">
                  <c:v>5.9299999999999953</c:v>
                </c:pt>
                <c:pt idx="24">
                  <c:v>5.9399999999999951</c:v>
                </c:pt>
                <c:pt idx="25">
                  <c:v>5.9499999999999948</c:v>
                </c:pt>
                <c:pt idx="26">
                  <c:v>5.9599999999999946</c:v>
                </c:pt>
                <c:pt idx="27">
                  <c:v>5.9699999999999944</c:v>
                </c:pt>
                <c:pt idx="28">
                  <c:v>5.9799999999999942</c:v>
                </c:pt>
                <c:pt idx="29">
                  <c:v>5.989999999999994</c:v>
                </c:pt>
                <c:pt idx="30">
                  <c:v>5.9999999999999938</c:v>
                </c:pt>
                <c:pt idx="31">
                  <c:v>6.0099999999999936</c:v>
                </c:pt>
                <c:pt idx="32">
                  <c:v>6.0199999999999934</c:v>
                </c:pt>
                <c:pt idx="33">
                  <c:v>6.0299999999999931</c:v>
                </c:pt>
                <c:pt idx="34">
                  <c:v>6.0399999999999929</c:v>
                </c:pt>
                <c:pt idx="35">
                  <c:v>6.0499999999999927</c:v>
                </c:pt>
                <c:pt idx="36">
                  <c:v>6.0599999999999925</c:v>
                </c:pt>
                <c:pt idx="37">
                  <c:v>6.0699999999999923</c:v>
                </c:pt>
                <c:pt idx="38">
                  <c:v>6.0799999999999921</c:v>
                </c:pt>
                <c:pt idx="39">
                  <c:v>6.0899999999999919</c:v>
                </c:pt>
                <c:pt idx="40">
                  <c:v>6.0999999999999917</c:v>
                </c:pt>
                <c:pt idx="41">
                  <c:v>6.1099999999999914</c:v>
                </c:pt>
                <c:pt idx="42">
                  <c:v>6.1199999999999912</c:v>
                </c:pt>
                <c:pt idx="43">
                  <c:v>6.129999999999991</c:v>
                </c:pt>
                <c:pt idx="44">
                  <c:v>6.1399999999999908</c:v>
                </c:pt>
                <c:pt idx="45">
                  <c:v>6.1499999999999906</c:v>
                </c:pt>
                <c:pt idx="46">
                  <c:v>6.1599999999999904</c:v>
                </c:pt>
                <c:pt idx="47">
                  <c:v>6.1699999999999902</c:v>
                </c:pt>
                <c:pt idx="48">
                  <c:v>6.1799999999999899</c:v>
                </c:pt>
                <c:pt idx="49">
                  <c:v>6.1899999999999897</c:v>
                </c:pt>
                <c:pt idx="50">
                  <c:v>6.1999999999999895</c:v>
                </c:pt>
                <c:pt idx="51">
                  <c:v>6.2099999999999893</c:v>
                </c:pt>
                <c:pt idx="52">
                  <c:v>6.2199999999999891</c:v>
                </c:pt>
                <c:pt idx="53">
                  <c:v>6.2299999999999889</c:v>
                </c:pt>
                <c:pt idx="54">
                  <c:v>6.2399999999999887</c:v>
                </c:pt>
                <c:pt idx="55">
                  <c:v>6.2499999999999885</c:v>
                </c:pt>
                <c:pt idx="56">
                  <c:v>6.2599999999999882</c:v>
                </c:pt>
                <c:pt idx="57">
                  <c:v>6.269999999999988</c:v>
                </c:pt>
                <c:pt idx="58">
                  <c:v>6.2799999999999878</c:v>
                </c:pt>
                <c:pt idx="59">
                  <c:v>6.2899999999999876</c:v>
                </c:pt>
                <c:pt idx="60">
                  <c:v>6.2999999999999874</c:v>
                </c:pt>
                <c:pt idx="61">
                  <c:v>6.3099999999999872</c:v>
                </c:pt>
                <c:pt idx="62">
                  <c:v>6.319999999999987</c:v>
                </c:pt>
                <c:pt idx="63">
                  <c:v>6.3299999999999867</c:v>
                </c:pt>
                <c:pt idx="64">
                  <c:v>6.3399999999999865</c:v>
                </c:pt>
                <c:pt idx="65">
                  <c:v>6.3499999999999863</c:v>
                </c:pt>
                <c:pt idx="66">
                  <c:v>6.3599999999999861</c:v>
                </c:pt>
                <c:pt idx="67">
                  <c:v>6.3699999999999859</c:v>
                </c:pt>
                <c:pt idx="68">
                  <c:v>6.3799999999999857</c:v>
                </c:pt>
                <c:pt idx="69">
                  <c:v>6.3899999999999855</c:v>
                </c:pt>
                <c:pt idx="70">
                  <c:v>6.3999999999999853</c:v>
                </c:pt>
                <c:pt idx="71">
                  <c:v>6.409999999999985</c:v>
                </c:pt>
                <c:pt idx="72">
                  <c:v>6.4199999999999848</c:v>
                </c:pt>
                <c:pt idx="73">
                  <c:v>6.4299999999999846</c:v>
                </c:pt>
                <c:pt idx="74">
                  <c:v>6.4399999999999844</c:v>
                </c:pt>
                <c:pt idx="75">
                  <c:v>6.4499999999999842</c:v>
                </c:pt>
                <c:pt idx="76">
                  <c:v>6.459999999999984</c:v>
                </c:pt>
                <c:pt idx="77">
                  <c:v>6.4699999999999838</c:v>
                </c:pt>
                <c:pt idx="78">
                  <c:v>6.4799999999999836</c:v>
                </c:pt>
                <c:pt idx="79">
                  <c:v>6.4899999999999833</c:v>
                </c:pt>
                <c:pt idx="80">
                  <c:v>6.4999999999999831</c:v>
                </c:pt>
                <c:pt idx="81">
                  <c:v>6.5099999999999829</c:v>
                </c:pt>
                <c:pt idx="82">
                  <c:v>6.5199999999999827</c:v>
                </c:pt>
                <c:pt idx="83">
                  <c:v>6.5299999999999825</c:v>
                </c:pt>
                <c:pt idx="84">
                  <c:v>6.5399999999999823</c:v>
                </c:pt>
                <c:pt idx="85">
                  <c:v>6.5499999999999821</c:v>
                </c:pt>
                <c:pt idx="86">
                  <c:v>6.5599999999999818</c:v>
                </c:pt>
                <c:pt idx="87">
                  <c:v>6.5699999999999816</c:v>
                </c:pt>
                <c:pt idx="88">
                  <c:v>6.5799999999999814</c:v>
                </c:pt>
                <c:pt idx="89">
                  <c:v>6.5899999999999812</c:v>
                </c:pt>
                <c:pt idx="90">
                  <c:v>6.599999999999981</c:v>
                </c:pt>
                <c:pt idx="91">
                  <c:v>6.6099999999999808</c:v>
                </c:pt>
                <c:pt idx="92">
                  <c:v>6.6199999999999806</c:v>
                </c:pt>
                <c:pt idx="93">
                  <c:v>6.6299999999999804</c:v>
                </c:pt>
                <c:pt idx="94">
                  <c:v>6.6399999999999801</c:v>
                </c:pt>
                <c:pt idx="95">
                  <c:v>6.6499999999999799</c:v>
                </c:pt>
                <c:pt idx="96">
                  <c:v>6.6599999999999797</c:v>
                </c:pt>
                <c:pt idx="97">
                  <c:v>6.6699999999999795</c:v>
                </c:pt>
                <c:pt idx="98">
                  <c:v>6.6799999999999793</c:v>
                </c:pt>
                <c:pt idx="99">
                  <c:v>6.6899999999999791</c:v>
                </c:pt>
                <c:pt idx="100">
                  <c:v>6.6999999999999789</c:v>
                </c:pt>
                <c:pt idx="101">
                  <c:v>6.7099999999999786</c:v>
                </c:pt>
                <c:pt idx="102">
                  <c:v>6.7199999999999784</c:v>
                </c:pt>
                <c:pt idx="103">
                  <c:v>6.7299999999999782</c:v>
                </c:pt>
                <c:pt idx="104">
                  <c:v>6.739999999999978</c:v>
                </c:pt>
                <c:pt idx="105">
                  <c:v>6.7499999999999778</c:v>
                </c:pt>
                <c:pt idx="106">
                  <c:v>6.7599999999999776</c:v>
                </c:pt>
                <c:pt idx="107">
                  <c:v>6.7699999999999774</c:v>
                </c:pt>
                <c:pt idx="108">
                  <c:v>6.7799999999999772</c:v>
                </c:pt>
                <c:pt idx="109">
                  <c:v>6.7899999999999769</c:v>
                </c:pt>
                <c:pt idx="110">
                  <c:v>6.7999999999999767</c:v>
                </c:pt>
                <c:pt idx="111">
                  <c:v>6.8099999999999765</c:v>
                </c:pt>
                <c:pt idx="112">
                  <c:v>6.8199999999999763</c:v>
                </c:pt>
                <c:pt idx="113">
                  <c:v>6.8299999999999761</c:v>
                </c:pt>
                <c:pt idx="114">
                  <c:v>6.8399999999999759</c:v>
                </c:pt>
                <c:pt idx="115">
                  <c:v>6.8499999999999757</c:v>
                </c:pt>
                <c:pt idx="116">
                  <c:v>6.8599999999999755</c:v>
                </c:pt>
                <c:pt idx="117">
                  <c:v>6.8699999999999752</c:v>
                </c:pt>
                <c:pt idx="118">
                  <c:v>6.879999999999975</c:v>
                </c:pt>
                <c:pt idx="119">
                  <c:v>6.8899999999999748</c:v>
                </c:pt>
                <c:pt idx="120">
                  <c:v>6.8999999999999746</c:v>
                </c:pt>
                <c:pt idx="121">
                  <c:v>6.9099999999999744</c:v>
                </c:pt>
                <c:pt idx="122">
                  <c:v>6.9199999999999742</c:v>
                </c:pt>
                <c:pt idx="123">
                  <c:v>6.929999999999974</c:v>
                </c:pt>
                <c:pt idx="124">
                  <c:v>6.9399999999999737</c:v>
                </c:pt>
                <c:pt idx="125">
                  <c:v>6.9499999999999735</c:v>
                </c:pt>
                <c:pt idx="126">
                  <c:v>6.9599999999999733</c:v>
                </c:pt>
                <c:pt idx="127">
                  <c:v>6.9699999999999731</c:v>
                </c:pt>
                <c:pt idx="128">
                  <c:v>6.9799999999999729</c:v>
                </c:pt>
                <c:pt idx="129">
                  <c:v>6.9899999999999727</c:v>
                </c:pt>
                <c:pt idx="130">
                  <c:v>6.9999999999999725</c:v>
                </c:pt>
                <c:pt idx="131">
                  <c:v>7.0099999999999723</c:v>
                </c:pt>
                <c:pt idx="132">
                  <c:v>7.019999999999972</c:v>
                </c:pt>
                <c:pt idx="133">
                  <c:v>7.0299999999999718</c:v>
                </c:pt>
                <c:pt idx="134">
                  <c:v>7.0399999999999716</c:v>
                </c:pt>
                <c:pt idx="135">
                  <c:v>7.0499999999999714</c:v>
                </c:pt>
                <c:pt idx="136">
                  <c:v>7.0599999999999712</c:v>
                </c:pt>
                <c:pt idx="137">
                  <c:v>7.069999999999971</c:v>
                </c:pt>
                <c:pt idx="138">
                  <c:v>7.0799999999999708</c:v>
                </c:pt>
                <c:pt idx="139">
                  <c:v>7.0899999999999705</c:v>
                </c:pt>
                <c:pt idx="140">
                  <c:v>7.0999999999999703</c:v>
                </c:pt>
                <c:pt idx="141">
                  <c:v>7.1099999999999701</c:v>
                </c:pt>
                <c:pt idx="142">
                  <c:v>7.1199999999999699</c:v>
                </c:pt>
                <c:pt idx="143">
                  <c:v>7.1299999999999697</c:v>
                </c:pt>
                <c:pt idx="144">
                  <c:v>7.1399999999999695</c:v>
                </c:pt>
                <c:pt idx="145">
                  <c:v>7.1499999999999693</c:v>
                </c:pt>
                <c:pt idx="146">
                  <c:v>7.1599999999999691</c:v>
                </c:pt>
                <c:pt idx="147">
                  <c:v>7.1699999999999688</c:v>
                </c:pt>
                <c:pt idx="148">
                  <c:v>7.1799999999999686</c:v>
                </c:pt>
                <c:pt idx="149">
                  <c:v>7.1899999999999684</c:v>
                </c:pt>
                <c:pt idx="150">
                  <c:v>7.1999999999999682</c:v>
                </c:pt>
                <c:pt idx="151">
                  <c:v>7.209999999999968</c:v>
                </c:pt>
                <c:pt idx="152">
                  <c:v>7.2199999999999678</c:v>
                </c:pt>
                <c:pt idx="153">
                  <c:v>7.2299999999999676</c:v>
                </c:pt>
                <c:pt idx="154">
                  <c:v>7.2399999999999674</c:v>
                </c:pt>
                <c:pt idx="155">
                  <c:v>7.2499999999999671</c:v>
                </c:pt>
                <c:pt idx="156">
                  <c:v>7.2599999999999669</c:v>
                </c:pt>
                <c:pt idx="157">
                  <c:v>7.2699999999999667</c:v>
                </c:pt>
                <c:pt idx="158">
                  <c:v>7.2799999999999665</c:v>
                </c:pt>
                <c:pt idx="159">
                  <c:v>7.2899999999999663</c:v>
                </c:pt>
                <c:pt idx="160">
                  <c:v>7.2999999999999661</c:v>
                </c:pt>
                <c:pt idx="161">
                  <c:v>7.3099999999999659</c:v>
                </c:pt>
                <c:pt idx="162">
                  <c:v>7.3199999999999656</c:v>
                </c:pt>
                <c:pt idx="163">
                  <c:v>7.3299999999999654</c:v>
                </c:pt>
                <c:pt idx="164">
                  <c:v>7.3399999999999652</c:v>
                </c:pt>
                <c:pt idx="165">
                  <c:v>7.349999999999965</c:v>
                </c:pt>
                <c:pt idx="166">
                  <c:v>7.3599999999999648</c:v>
                </c:pt>
                <c:pt idx="167">
                  <c:v>7.3699999999999646</c:v>
                </c:pt>
                <c:pt idx="168">
                  <c:v>7.3799999999999644</c:v>
                </c:pt>
                <c:pt idx="169">
                  <c:v>7.3899999999999642</c:v>
                </c:pt>
                <c:pt idx="170">
                  <c:v>7.3999999999999639</c:v>
                </c:pt>
                <c:pt idx="171">
                  <c:v>7.4099999999999637</c:v>
                </c:pt>
                <c:pt idx="172">
                  <c:v>7.4199999999999635</c:v>
                </c:pt>
                <c:pt idx="173">
                  <c:v>7.4299999999999633</c:v>
                </c:pt>
                <c:pt idx="174">
                  <c:v>7.4399999999999631</c:v>
                </c:pt>
                <c:pt idx="175">
                  <c:v>7.4499999999999629</c:v>
                </c:pt>
                <c:pt idx="176">
                  <c:v>7.4599999999999627</c:v>
                </c:pt>
                <c:pt idx="177">
                  <c:v>7.4699999999999624</c:v>
                </c:pt>
                <c:pt idx="178">
                  <c:v>7.4799999999999622</c:v>
                </c:pt>
                <c:pt idx="179">
                  <c:v>7.489999999999962</c:v>
                </c:pt>
                <c:pt idx="180">
                  <c:v>7.4999999999999618</c:v>
                </c:pt>
                <c:pt idx="181">
                  <c:v>7.5099999999999616</c:v>
                </c:pt>
                <c:pt idx="182">
                  <c:v>7.5199999999999614</c:v>
                </c:pt>
                <c:pt idx="183">
                  <c:v>7.5299999999999612</c:v>
                </c:pt>
                <c:pt idx="184">
                  <c:v>7.539999999999961</c:v>
                </c:pt>
                <c:pt idx="185">
                  <c:v>7.5499999999999607</c:v>
                </c:pt>
                <c:pt idx="186">
                  <c:v>7.5599999999999605</c:v>
                </c:pt>
                <c:pt idx="187">
                  <c:v>7.5699999999999603</c:v>
                </c:pt>
                <c:pt idx="188">
                  <c:v>7.5799999999999601</c:v>
                </c:pt>
                <c:pt idx="189">
                  <c:v>7.5899999999999599</c:v>
                </c:pt>
                <c:pt idx="190">
                  <c:v>7.5999999999999597</c:v>
                </c:pt>
                <c:pt idx="191">
                  <c:v>7.6099999999999595</c:v>
                </c:pt>
                <c:pt idx="192">
                  <c:v>7.6199999999999593</c:v>
                </c:pt>
                <c:pt idx="193">
                  <c:v>7.629999999999959</c:v>
                </c:pt>
                <c:pt idx="194">
                  <c:v>7.6399999999999588</c:v>
                </c:pt>
                <c:pt idx="195">
                  <c:v>7.6499999999999586</c:v>
                </c:pt>
                <c:pt idx="196">
                  <c:v>7.6599999999999584</c:v>
                </c:pt>
                <c:pt idx="197">
                  <c:v>7.6699999999999582</c:v>
                </c:pt>
                <c:pt idx="198">
                  <c:v>7.679999999999958</c:v>
                </c:pt>
                <c:pt idx="199">
                  <c:v>7.6899999999999578</c:v>
                </c:pt>
                <c:pt idx="200">
                  <c:v>7.6999999999999575</c:v>
                </c:pt>
                <c:pt idx="201">
                  <c:v>7.7999999999999572</c:v>
                </c:pt>
                <c:pt idx="202">
                  <c:v>7.8999999999999568</c:v>
                </c:pt>
                <c:pt idx="203">
                  <c:v>7.9999999999999565</c:v>
                </c:pt>
                <c:pt idx="204">
                  <c:v>8.099999999999957</c:v>
                </c:pt>
                <c:pt idx="205">
                  <c:v>8.1999999999999567</c:v>
                </c:pt>
                <c:pt idx="206">
                  <c:v>8.2999999999999563</c:v>
                </c:pt>
                <c:pt idx="207">
                  <c:v>8.3999999999999559</c:v>
                </c:pt>
                <c:pt idx="208">
                  <c:v>8.4999999999999556</c:v>
                </c:pt>
                <c:pt idx="209">
                  <c:v>8.5999999999999552</c:v>
                </c:pt>
                <c:pt idx="210">
                  <c:v>8.6999999999999549</c:v>
                </c:pt>
                <c:pt idx="211">
                  <c:v>8.7999999999999545</c:v>
                </c:pt>
                <c:pt idx="212">
                  <c:v>8.8999999999999542</c:v>
                </c:pt>
                <c:pt idx="213">
                  <c:v>8.9999999999999538</c:v>
                </c:pt>
                <c:pt idx="214">
                  <c:v>9.0999999999999535</c:v>
                </c:pt>
                <c:pt idx="215">
                  <c:v>9.1999999999999531</c:v>
                </c:pt>
                <c:pt idx="216">
                  <c:v>9.2999999999999527</c:v>
                </c:pt>
                <c:pt idx="217">
                  <c:v>9.3999999999999524</c:v>
                </c:pt>
                <c:pt idx="218">
                  <c:v>9.499999999999952</c:v>
                </c:pt>
                <c:pt idx="219">
                  <c:v>9.5999999999999517</c:v>
                </c:pt>
                <c:pt idx="220">
                  <c:v>9.6999999999999513</c:v>
                </c:pt>
                <c:pt idx="221">
                  <c:v>9.799999999999951</c:v>
                </c:pt>
                <c:pt idx="222">
                  <c:v>9.8999999999999506</c:v>
                </c:pt>
                <c:pt idx="223">
                  <c:v>9.9999999999999503</c:v>
                </c:pt>
                <c:pt idx="224">
                  <c:v>10.09999999999995</c:v>
                </c:pt>
                <c:pt idx="225">
                  <c:v>10.19999999999995</c:v>
                </c:pt>
                <c:pt idx="226">
                  <c:v>10.299999999999949</c:v>
                </c:pt>
                <c:pt idx="227">
                  <c:v>10.399999999999949</c:v>
                </c:pt>
                <c:pt idx="228">
                  <c:v>10.499999999999948</c:v>
                </c:pt>
                <c:pt idx="229">
                  <c:v>10.599999999999948</c:v>
                </c:pt>
                <c:pt idx="230">
                  <c:v>10.699999999999948</c:v>
                </c:pt>
                <c:pt idx="231">
                  <c:v>10.799999999999947</c:v>
                </c:pt>
                <c:pt idx="232">
                  <c:v>10.899999999999947</c:v>
                </c:pt>
                <c:pt idx="233">
                  <c:v>10.999999999999947</c:v>
                </c:pt>
                <c:pt idx="234">
                  <c:v>11.099999999999946</c:v>
                </c:pt>
                <c:pt idx="235">
                  <c:v>11.199999999999946</c:v>
                </c:pt>
                <c:pt idx="236">
                  <c:v>11.299999999999946</c:v>
                </c:pt>
                <c:pt idx="237">
                  <c:v>11.399999999999945</c:v>
                </c:pt>
                <c:pt idx="238">
                  <c:v>11.499999999999945</c:v>
                </c:pt>
                <c:pt idx="239">
                  <c:v>11.599999999999945</c:v>
                </c:pt>
                <c:pt idx="240">
                  <c:v>11.699999999999944</c:v>
                </c:pt>
                <c:pt idx="241">
                  <c:v>11.799999999999944</c:v>
                </c:pt>
                <c:pt idx="242">
                  <c:v>11.899999999999944</c:v>
                </c:pt>
                <c:pt idx="243">
                  <c:v>11.999999999999943</c:v>
                </c:pt>
                <c:pt idx="244">
                  <c:v>12.099999999999943</c:v>
                </c:pt>
                <c:pt idx="245">
                  <c:v>12.199999999999942</c:v>
                </c:pt>
                <c:pt idx="246">
                  <c:v>12.299999999999942</c:v>
                </c:pt>
                <c:pt idx="247">
                  <c:v>12.399999999999942</c:v>
                </c:pt>
                <c:pt idx="248">
                  <c:v>12.499999999999941</c:v>
                </c:pt>
                <c:pt idx="249">
                  <c:v>12.599999999999941</c:v>
                </c:pt>
                <c:pt idx="250">
                  <c:v>12.699999999999941</c:v>
                </c:pt>
                <c:pt idx="251">
                  <c:v>12.79999999999994</c:v>
                </c:pt>
                <c:pt idx="252">
                  <c:v>12.89999999999994</c:v>
                </c:pt>
                <c:pt idx="253">
                  <c:v>12.99999999999994</c:v>
                </c:pt>
                <c:pt idx="254">
                  <c:v>13.099999999999939</c:v>
                </c:pt>
                <c:pt idx="255">
                  <c:v>13.199999999999939</c:v>
                </c:pt>
                <c:pt idx="256">
                  <c:v>13.299999999999939</c:v>
                </c:pt>
                <c:pt idx="257">
                  <c:v>13.399999999999938</c:v>
                </c:pt>
                <c:pt idx="258">
                  <c:v>13.499999999999938</c:v>
                </c:pt>
                <c:pt idx="259">
                  <c:v>13.599999999999937</c:v>
                </c:pt>
                <c:pt idx="260">
                  <c:v>13.699999999999937</c:v>
                </c:pt>
                <c:pt idx="261">
                  <c:v>13.799999999999937</c:v>
                </c:pt>
                <c:pt idx="262">
                  <c:v>13.899999999999936</c:v>
                </c:pt>
                <c:pt idx="263">
                  <c:v>13.999999999999936</c:v>
                </c:pt>
                <c:pt idx="264">
                  <c:v>14.099999999999936</c:v>
                </c:pt>
                <c:pt idx="265">
                  <c:v>14.199999999999935</c:v>
                </c:pt>
                <c:pt idx="266">
                  <c:v>14.299999999999935</c:v>
                </c:pt>
                <c:pt idx="267">
                  <c:v>14.399999999999935</c:v>
                </c:pt>
                <c:pt idx="268">
                  <c:v>14.499999999999934</c:v>
                </c:pt>
                <c:pt idx="269">
                  <c:v>14.599999999999934</c:v>
                </c:pt>
                <c:pt idx="270">
                  <c:v>14.699999999999934</c:v>
                </c:pt>
                <c:pt idx="271">
                  <c:v>14.799999999999933</c:v>
                </c:pt>
                <c:pt idx="272">
                  <c:v>14.899999999999933</c:v>
                </c:pt>
                <c:pt idx="273">
                  <c:v>14.999999999999932</c:v>
                </c:pt>
                <c:pt idx="274">
                  <c:v>15.099999999999932</c:v>
                </c:pt>
                <c:pt idx="275">
                  <c:v>15.199999999999932</c:v>
                </c:pt>
                <c:pt idx="276">
                  <c:v>15.299999999999931</c:v>
                </c:pt>
                <c:pt idx="277">
                  <c:v>15.399999999999931</c:v>
                </c:pt>
                <c:pt idx="278">
                  <c:v>15.499999999999931</c:v>
                </c:pt>
                <c:pt idx="279">
                  <c:v>15.59999999999993</c:v>
                </c:pt>
                <c:pt idx="280">
                  <c:v>15.69999999999993</c:v>
                </c:pt>
                <c:pt idx="281">
                  <c:v>15.79999999999993</c:v>
                </c:pt>
                <c:pt idx="282">
                  <c:v>15.899999999999929</c:v>
                </c:pt>
                <c:pt idx="283">
                  <c:v>15.999999999999929</c:v>
                </c:pt>
                <c:pt idx="284">
                  <c:v>16.09999999999993</c:v>
                </c:pt>
                <c:pt idx="285">
                  <c:v>16.199999999999932</c:v>
                </c:pt>
                <c:pt idx="286">
                  <c:v>16.299999999999933</c:v>
                </c:pt>
                <c:pt idx="287">
                  <c:v>16.399999999999935</c:v>
                </c:pt>
                <c:pt idx="288">
                  <c:v>16.499999999999936</c:v>
                </c:pt>
                <c:pt idx="289">
                  <c:v>16.599999999999937</c:v>
                </c:pt>
                <c:pt idx="290">
                  <c:v>16.699999999999939</c:v>
                </c:pt>
                <c:pt idx="291">
                  <c:v>16.79999999999994</c:v>
                </c:pt>
                <c:pt idx="292">
                  <c:v>16.899999999999942</c:v>
                </c:pt>
                <c:pt idx="293">
                  <c:v>16.999999999999943</c:v>
                </c:pt>
                <c:pt idx="294">
                  <c:v>17.099999999999945</c:v>
                </c:pt>
                <c:pt idx="295">
                  <c:v>17.199999999999946</c:v>
                </c:pt>
                <c:pt idx="296">
                  <c:v>17.299999999999947</c:v>
                </c:pt>
                <c:pt idx="297">
                  <c:v>17.399999999999949</c:v>
                </c:pt>
                <c:pt idx="298">
                  <c:v>17.49999999999995</c:v>
                </c:pt>
                <c:pt idx="299">
                  <c:v>17.599999999999952</c:v>
                </c:pt>
                <c:pt idx="300">
                  <c:v>17.699999999999953</c:v>
                </c:pt>
                <c:pt idx="301">
                  <c:v>17.799999999999955</c:v>
                </c:pt>
                <c:pt idx="302">
                  <c:v>17.899999999999956</c:v>
                </c:pt>
                <c:pt idx="303">
                  <c:v>17.999999999999957</c:v>
                </c:pt>
                <c:pt idx="304">
                  <c:v>18.099999999999959</c:v>
                </c:pt>
                <c:pt idx="305">
                  <c:v>18.19999999999996</c:v>
                </c:pt>
                <c:pt idx="306">
                  <c:v>18.299999999999962</c:v>
                </c:pt>
                <c:pt idx="307">
                  <c:v>18.399999999999963</c:v>
                </c:pt>
                <c:pt idx="308">
                  <c:v>18.499999999999964</c:v>
                </c:pt>
                <c:pt idx="309">
                  <c:v>18.599999999999966</c:v>
                </c:pt>
                <c:pt idx="310">
                  <c:v>18.699999999999967</c:v>
                </c:pt>
                <c:pt idx="311">
                  <c:v>18.799999999999969</c:v>
                </c:pt>
                <c:pt idx="312">
                  <c:v>18.89999999999997</c:v>
                </c:pt>
                <c:pt idx="313">
                  <c:v>18.999999999999972</c:v>
                </c:pt>
                <c:pt idx="314">
                  <c:v>19.099999999999973</c:v>
                </c:pt>
                <c:pt idx="315">
                  <c:v>19.199999999999974</c:v>
                </c:pt>
                <c:pt idx="316">
                  <c:v>19.299999999999976</c:v>
                </c:pt>
                <c:pt idx="317">
                  <c:v>19.399999999999977</c:v>
                </c:pt>
                <c:pt idx="318">
                  <c:v>19.499999999999979</c:v>
                </c:pt>
                <c:pt idx="319">
                  <c:v>19.59999999999998</c:v>
                </c:pt>
                <c:pt idx="320">
                  <c:v>19.699999999999982</c:v>
                </c:pt>
                <c:pt idx="321">
                  <c:v>19.799999999999983</c:v>
                </c:pt>
                <c:pt idx="322">
                  <c:v>19.899999999999984</c:v>
                </c:pt>
                <c:pt idx="323">
                  <c:v>19.999999999999986</c:v>
                </c:pt>
                <c:pt idx="324">
                  <c:v>20.099999999999987</c:v>
                </c:pt>
                <c:pt idx="325">
                  <c:v>20.199999999999989</c:v>
                </c:pt>
                <c:pt idx="326">
                  <c:v>20.29999999999999</c:v>
                </c:pt>
                <c:pt idx="327">
                  <c:v>20.399999999999991</c:v>
                </c:pt>
                <c:pt idx="328">
                  <c:v>20.499999999999993</c:v>
                </c:pt>
                <c:pt idx="329">
                  <c:v>20.599999999999994</c:v>
                </c:pt>
                <c:pt idx="330">
                  <c:v>20.699999999999996</c:v>
                </c:pt>
                <c:pt idx="331">
                  <c:v>20.799999999999997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21.200000000000003</c:v>
                </c:pt>
                <c:pt idx="336">
                  <c:v>21.300000000000004</c:v>
                </c:pt>
                <c:pt idx="337">
                  <c:v>21.400000000000006</c:v>
                </c:pt>
                <c:pt idx="338">
                  <c:v>21.500000000000007</c:v>
                </c:pt>
                <c:pt idx="339">
                  <c:v>21.600000000000009</c:v>
                </c:pt>
                <c:pt idx="340">
                  <c:v>21.70000000000001</c:v>
                </c:pt>
                <c:pt idx="341">
                  <c:v>21.800000000000011</c:v>
                </c:pt>
                <c:pt idx="342">
                  <c:v>21.900000000000013</c:v>
                </c:pt>
                <c:pt idx="343">
                  <c:v>22.000000000000014</c:v>
                </c:pt>
                <c:pt idx="344">
                  <c:v>22.100000000000016</c:v>
                </c:pt>
                <c:pt idx="345">
                  <c:v>22.200000000000017</c:v>
                </c:pt>
                <c:pt idx="346">
                  <c:v>22.300000000000018</c:v>
                </c:pt>
                <c:pt idx="347">
                  <c:v>22.40000000000002</c:v>
                </c:pt>
                <c:pt idx="348">
                  <c:v>22.500000000000021</c:v>
                </c:pt>
                <c:pt idx="349">
                  <c:v>22.600000000000023</c:v>
                </c:pt>
                <c:pt idx="350">
                  <c:v>22.700000000000024</c:v>
                </c:pt>
                <c:pt idx="351">
                  <c:v>22.800000000000026</c:v>
                </c:pt>
                <c:pt idx="352">
                  <c:v>22.900000000000027</c:v>
                </c:pt>
                <c:pt idx="353">
                  <c:v>23.000000000000028</c:v>
                </c:pt>
                <c:pt idx="354">
                  <c:v>23.10000000000003</c:v>
                </c:pt>
                <c:pt idx="355">
                  <c:v>23.200000000000031</c:v>
                </c:pt>
                <c:pt idx="356">
                  <c:v>23.300000000000033</c:v>
                </c:pt>
                <c:pt idx="357">
                  <c:v>23.400000000000034</c:v>
                </c:pt>
                <c:pt idx="358">
                  <c:v>23.500000000000036</c:v>
                </c:pt>
                <c:pt idx="359">
                  <c:v>23.600000000000037</c:v>
                </c:pt>
                <c:pt idx="360">
                  <c:v>23.700000000000038</c:v>
                </c:pt>
                <c:pt idx="361">
                  <c:v>23.80000000000004</c:v>
                </c:pt>
                <c:pt idx="362">
                  <c:v>23.900000000000041</c:v>
                </c:pt>
                <c:pt idx="363">
                  <c:v>24.000000000000043</c:v>
                </c:pt>
                <c:pt idx="364">
                  <c:v>24.100000000000044</c:v>
                </c:pt>
                <c:pt idx="365">
                  <c:v>24.200000000000045</c:v>
                </c:pt>
                <c:pt idx="366">
                  <c:v>24.300000000000047</c:v>
                </c:pt>
                <c:pt idx="367">
                  <c:v>24.400000000000048</c:v>
                </c:pt>
                <c:pt idx="368">
                  <c:v>24.50000000000005</c:v>
                </c:pt>
                <c:pt idx="369">
                  <c:v>24.600000000000051</c:v>
                </c:pt>
                <c:pt idx="370">
                  <c:v>24.700000000000053</c:v>
                </c:pt>
                <c:pt idx="371">
                  <c:v>24.800000000000054</c:v>
                </c:pt>
                <c:pt idx="372">
                  <c:v>24.900000000000055</c:v>
                </c:pt>
                <c:pt idx="373">
                  <c:v>25.000000000000057</c:v>
                </c:pt>
                <c:pt idx="374">
                  <c:v>25.100000000000058</c:v>
                </c:pt>
                <c:pt idx="375">
                  <c:v>25.20000000000006</c:v>
                </c:pt>
                <c:pt idx="376">
                  <c:v>25.300000000000061</c:v>
                </c:pt>
                <c:pt idx="377">
                  <c:v>25.400000000000063</c:v>
                </c:pt>
                <c:pt idx="378">
                  <c:v>25.500000000000064</c:v>
                </c:pt>
                <c:pt idx="379">
                  <c:v>25.600000000000065</c:v>
                </c:pt>
                <c:pt idx="380">
                  <c:v>25.700000000000067</c:v>
                </c:pt>
                <c:pt idx="381">
                  <c:v>25.800000000000068</c:v>
                </c:pt>
                <c:pt idx="382">
                  <c:v>25.90000000000007</c:v>
                </c:pt>
                <c:pt idx="383">
                  <c:v>26.000000000000071</c:v>
                </c:pt>
                <c:pt idx="384">
                  <c:v>26.100000000000072</c:v>
                </c:pt>
                <c:pt idx="385">
                  <c:v>26.200000000000074</c:v>
                </c:pt>
                <c:pt idx="386">
                  <c:v>26.300000000000075</c:v>
                </c:pt>
                <c:pt idx="387">
                  <c:v>26.400000000000077</c:v>
                </c:pt>
                <c:pt idx="388">
                  <c:v>26.500000000000078</c:v>
                </c:pt>
                <c:pt idx="389">
                  <c:v>26.60000000000008</c:v>
                </c:pt>
                <c:pt idx="390">
                  <c:v>26.700000000000081</c:v>
                </c:pt>
                <c:pt idx="391">
                  <c:v>26.800000000000082</c:v>
                </c:pt>
                <c:pt idx="392">
                  <c:v>26.900000000000084</c:v>
                </c:pt>
                <c:pt idx="393">
                  <c:v>27.000000000000085</c:v>
                </c:pt>
                <c:pt idx="394">
                  <c:v>27.100000000000087</c:v>
                </c:pt>
                <c:pt idx="395">
                  <c:v>27.200000000000088</c:v>
                </c:pt>
                <c:pt idx="396">
                  <c:v>27.30000000000009</c:v>
                </c:pt>
                <c:pt idx="397">
                  <c:v>27.400000000000091</c:v>
                </c:pt>
                <c:pt idx="398">
                  <c:v>27.500000000000092</c:v>
                </c:pt>
                <c:pt idx="399">
                  <c:v>27.600000000000094</c:v>
                </c:pt>
                <c:pt idx="400">
                  <c:v>27.700000000000095</c:v>
                </c:pt>
                <c:pt idx="401">
                  <c:v>27.800000000000097</c:v>
                </c:pt>
                <c:pt idx="402">
                  <c:v>27.900000000000098</c:v>
                </c:pt>
                <c:pt idx="403">
                  <c:v>28.000000000000099</c:v>
                </c:pt>
                <c:pt idx="404">
                  <c:v>28.100000000000101</c:v>
                </c:pt>
                <c:pt idx="405">
                  <c:v>28.200000000000102</c:v>
                </c:pt>
                <c:pt idx="406">
                  <c:v>28.300000000000104</c:v>
                </c:pt>
                <c:pt idx="407">
                  <c:v>28.400000000000105</c:v>
                </c:pt>
                <c:pt idx="408">
                  <c:v>28.500000000000107</c:v>
                </c:pt>
                <c:pt idx="409">
                  <c:v>28.600000000000108</c:v>
                </c:pt>
                <c:pt idx="410">
                  <c:v>28.700000000000109</c:v>
                </c:pt>
                <c:pt idx="411">
                  <c:v>28.800000000000111</c:v>
                </c:pt>
                <c:pt idx="412">
                  <c:v>28.900000000000112</c:v>
                </c:pt>
                <c:pt idx="413">
                  <c:v>29.000000000000114</c:v>
                </c:pt>
                <c:pt idx="414">
                  <c:v>29.100000000000115</c:v>
                </c:pt>
                <c:pt idx="415">
                  <c:v>29.200000000000117</c:v>
                </c:pt>
                <c:pt idx="416">
                  <c:v>29.300000000000118</c:v>
                </c:pt>
                <c:pt idx="417">
                  <c:v>29.400000000000119</c:v>
                </c:pt>
                <c:pt idx="418">
                  <c:v>29.500000000000121</c:v>
                </c:pt>
                <c:pt idx="419">
                  <c:v>29.600000000000122</c:v>
                </c:pt>
                <c:pt idx="420">
                  <c:v>29.700000000000124</c:v>
                </c:pt>
                <c:pt idx="421">
                  <c:v>29.800000000000125</c:v>
                </c:pt>
                <c:pt idx="422">
                  <c:v>29.900000000000126</c:v>
                </c:pt>
                <c:pt idx="423">
                  <c:v>30.000000000000128</c:v>
                </c:pt>
                <c:pt idx="424">
                  <c:v>30.100000000000129</c:v>
                </c:pt>
                <c:pt idx="425">
                  <c:v>30.200000000000131</c:v>
                </c:pt>
                <c:pt idx="426">
                  <c:v>30.300000000000132</c:v>
                </c:pt>
                <c:pt idx="427">
                  <c:v>30.400000000000134</c:v>
                </c:pt>
                <c:pt idx="428">
                  <c:v>30.500000000000135</c:v>
                </c:pt>
                <c:pt idx="429">
                  <c:v>30.600000000000136</c:v>
                </c:pt>
                <c:pt idx="430">
                  <c:v>30.700000000000138</c:v>
                </c:pt>
                <c:pt idx="431">
                  <c:v>30.800000000000139</c:v>
                </c:pt>
                <c:pt idx="432">
                  <c:v>30.900000000000141</c:v>
                </c:pt>
                <c:pt idx="433">
                  <c:v>31.000000000000142</c:v>
                </c:pt>
                <c:pt idx="434">
                  <c:v>31.100000000000144</c:v>
                </c:pt>
                <c:pt idx="435">
                  <c:v>31.200000000000145</c:v>
                </c:pt>
                <c:pt idx="436">
                  <c:v>31.300000000000146</c:v>
                </c:pt>
                <c:pt idx="437">
                  <c:v>31.400000000000148</c:v>
                </c:pt>
                <c:pt idx="438">
                  <c:v>31.500000000000149</c:v>
                </c:pt>
                <c:pt idx="439">
                  <c:v>31.600000000000151</c:v>
                </c:pt>
                <c:pt idx="440">
                  <c:v>31.700000000000152</c:v>
                </c:pt>
                <c:pt idx="441">
                  <c:v>31.800000000000153</c:v>
                </c:pt>
                <c:pt idx="442">
                  <c:v>31.900000000000155</c:v>
                </c:pt>
                <c:pt idx="443">
                  <c:v>32.000000000000156</c:v>
                </c:pt>
                <c:pt idx="444">
                  <c:v>32.100000000000158</c:v>
                </c:pt>
                <c:pt idx="445">
                  <c:v>32.200000000000159</c:v>
                </c:pt>
                <c:pt idx="446">
                  <c:v>32.300000000000161</c:v>
                </c:pt>
                <c:pt idx="447">
                  <c:v>32.400000000000162</c:v>
                </c:pt>
                <c:pt idx="448">
                  <c:v>32.500000000000163</c:v>
                </c:pt>
                <c:pt idx="449">
                  <c:v>32.600000000000165</c:v>
                </c:pt>
                <c:pt idx="450">
                  <c:v>32.700000000000166</c:v>
                </c:pt>
                <c:pt idx="451">
                  <c:v>32.800000000000168</c:v>
                </c:pt>
                <c:pt idx="452">
                  <c:v>32.900000000000169</c:v>
                </c:pt>
                <c:pt idx="453">
                  <c:v>33.000000000000171</c:v>
                </c:pt>
                <c:pt idx="454">
                  <c:v>33.100000000000172</c:v>
                </c:pt>
                <c:pt idx="455">
                  <c:v>33.200000000000173</c:v>
                </c:pt>
                <c:pt idx="456">
                  <c:v>33.300000000000175</c:v>
                </c:pt>
                <c:pt idx="457">
                  <c:v>33.400000000000176</c:v>
                </c:pt>
                <c:pt idx="458">
                  <c:v>33.500000000000178</c:v>
                </c:pt>
                <c:pt idx="459">
                  <c:v>33.600000000000179</c:v>
                </c:pt>
                <c:pt idx="460">
                  <c:v>33.70000000000018</c:v>
                </c:pt>
                <c:pt idx="461">
                  <c:v>33.800000000000182</c:v>
                </c:pt>
                <c:pt idx="462">
                  <c:v>33.900000000000183</c:v>
                </c:pt>
                <c:pt idx="463">
                  <c:v>34.000000000000185</c:v>
                </c:pt>
                <c:pt idx="464">
                  <c:v>34.100000000000186</c:v>
                </c:pt>
                <c:pt idx="465">
                  <c:v>34.200000000000188</c:v>
                </c:pt>
                <c:pt idx="466">
                  <c:v>34.300000000000189</c:v>
                </c:pt>
                <c:pt idx="467">
                  <c:v>34.40000000000019</c:v>
                </c:pt>
                <c:pt idx="468">
                  <c:v>34.500000000000192</c:v>
                </c:pt>
                <c:pt idx="469">
                  <c:v>34.600000000000193</c:v>
                </c:pt>
                <c:pt idx="470">
                  <c:v>34.700000000000195</c:v>
                </c:pt>
                <c:pt idx="471">
                  <c:v>34.800000000000196</c:v>
                </c:pt>
                <c:pt idx="472">
                  <c:v>34.900000000000198</c:v>
                </c:pt>
                <c:pt idx="473">
                  <c:v>35.000000000000199</c:v>
                </c:pt>
                <c:pt idx="474">
                  <c:v>35.1000000000002</c:v>
                </c:pt>
                <c:pt idx="475">
                  <c:v>35.200000000000202</c:v>
                </c:pt>
                <c:pt idx="476">
                  <c:v>35.300000000000203</c:v>
                </c:pt>
                <c:pt idx="477">
                  <c:v>35.400000000000205</c:v>
                </c:pt>
                <c:pt idx="478">
                  <c:v>35.500000000000206</c:v>
                </c:pt>
                <c:pt idx="479">
                  <c:v>35.600000000000207</c:v>
                </c:pt>
                <c:pt idx="480">
                  <c:v>35.700000000000209</c:v>
                </c:pt>
                <c:pt idx="481">
                  <c:v>35.80000000000021</c:v>
                </c:pt>
                <c:pt idx="482">
                  <c:v>35.900000000000212</c:v>
                </c:pt>
                <c:pt idx="483">
                  <c:v>36.000000000000213</c:v>
                </c:pt>
                <c:pt idx="484">
                  <c:v>36.100000000000215</c:v>
                </c:pt>
                <c:pt idx="485">
                  <c:v>36.200000000000216</c:v>
                </c:pt>
                <c:pt idx="486">
                  <c:v>36.300000000000217</c:v>
                </c:pt>
                <c:pt idx="487">
                  <c:v>36.400000000000219</c:v>
                </c:pt>
                <c:pt idx="488">
                  <c:v>36.50000000000022</c:v>
                </c:pt>
                <c:pt idx="489">
                  <c:v>36.600000000000222</c:v>
                </c:pt>
                <c:pt idx="490">
                  <c:v>36.700000000000223</c:v>
                </c:pt>
                <c:pt idx="491">
                  <c:v>36.800000000000225</c:v>
                </c:pt>
                <c:pt idx="492">
                  <c:v>36.900000000000226</c:v>
                </c:pt>
                <c:pt idx="493">
                  <c:v>37.000000000000227</c:v>
                </c:pt>
                <c:pt idx="494">
                  <c:v>37.100000000000229</c:v>
                </c:pt>
                <c:pt idx="495">
                  <c:v>37.20000000000023</c:v>
                </c:pt>
                <c:pt idx="496">
                  <c:v>37.300000000000232</c:v>
                </c:pt>
                <c:pt idx="497">
                  <c:v>37.400000000000233</c:v>
                </c:pt>
                <c:pt idx="498">
                  <c:v>37.500000000000234</c:v>
                </c:pt>
                <c:pt idx="499">
                  <c:v>37.600000000000236</c:v>
                </c:pt>
                <c:pt idx="500">
                  <c:v>37.700000000000237</c:v>
                </c:pt>
                <c:pt idx="501">
                  <c:v>37.800000000000239</c:v>
                </c:pt>
                <c:pt idx="502">
                  <c:v>37.90000000000024</c:v>
                </c:pt>
                <c:pt idx="503">
                  <c:v>38.000000000000242</c:v>
                </c:pt>
                <c:pt idx="504">
                  <c:v>38.100000000000243</c:v>
                </c:pt>
                <c:pt idx="505">
                  <c:v>38.200000000000244</c:v>
                </c:pt>
                <c:pt idx="506">
                  <c:v>38.300000000000246</c:v>
                </c:pt>
                <c:pt idx="507">
                  <c:v>38.400000000000247</c:v>
                </c:pt>
                <c:pt idx="508">
                  <c:v>38.500000000000249</c:v>
                </c:pt>
                <c:pt idx="509">
                  <c:v>38.60000000000025</c:v>
                </c:pt>
                <c:pt idx="510">
                  <c:v>38.700000000000252</c:v>
                </c:pt>
                <c:pt idx="511">
                  <c:v>38.800000000000253</c:v>
                </c:pt>
                <c:pt idx="512">
                  <c:v>38.900000000000254</c:v>
                </c:pt>
                <c:pt idx="513">
                  <c:v>39.000000000000256</c:v>
                </c:pt>
                <c:pt idx="514">
                  <c:v>39.100000000000257</c:v>
                </c:pt>
                <c:pt idx="515">
                  <c:v>39.200000000000259</c:v>
                </c:pt>
                <c:pt idx="516">
                  <c:v>39.30000000000026</c:v>
                </c:pt>
                <c:pt idx="517">
                  <c:v>39.400000000000261</c:v>
                </c:pt>
                <c:pt idx="518">
                  <c:v>39.500000000000263</c:v>
                </c:pt>
                <c:pt idx="519">
                  <c:v>39.600000000000264</c:v>
                </c:pt>
                <c:pt idx="520">
                  <c:v>39.700000000000266</c:v>
                </c:pt>
                <c:pt idx="521">
                  <c:v>39.800000000000267</c:v>
                </c:pt>
                <c:pt idx="522">
                  <c:v>39.900000000000269</c:v>
                </c:pt>
                <c:pt idx="523">
                  <c:v>40.00000000000027</c:v>
                </c:pt>
                <c:pt idx="524">
                  <c:v>40.100000000000271</c:v>
                </c:pt>
                <c:pt idx="525">
                  <c:v>40.200000000000273</c:v>
                </c:pt>
                <c:pt idx="526">
                  <c:v>40.300000000000274</c:v>
                </c:pt>
                <c:pt idx="527">
                  <c:v>40.400000000000276</c:v>
                </c:pt>
                <c:pt idx="528">
                  <c:v>40.500000000000277</c:v>
                </c:pt>
                <c:pt idx="529">
                  <c:v>40.600000000000279</c:v>
                </c:pt>
                <c:pt idx="530">
                  <c:v>40.70000000000028</c:v>
                </c:pt>
                <c:pt idx="531">
                  <c:v>40.800000000000281</c:v>
                </c:pt>
                <c:pt idx="532">
                  <c:v>40.900000000000283</c:v>
                </c:pt>
                <c:pt idx="533">
                  <c:v>41.000000000000284</c:v>
                </c:pt>
                <c:pt idx="534">
                  <c:v>41.100000000000286</c:v>
                </c:pt>
                <c:pt idx="535">
                  <c:v>41.200000000000287</c:v>
                </c:pt>
                <c:pt idx="536">
                  <c:v>41.300000000000288</c:v>
                </c:pt>
                <c:pt idx="537">
                  <c:v>41.40000000000029</c:v>
                </c:pt>
                <c:pt idx="538">
                  <c:v>41.500000000000291</c:v>
                </c:pt>
                <c:pt idx="539">
                  <c:v>41.600000000000293</c:v>
                </c:pt>
                <c:pt idx="540">
                  <c:v>41.700000000000294</c:v>
                </c:pt>
                <c:pt idx="541">
                  <c:v>41.800000000000296</c:v>
                </c:pt>
                <c:pt idx="542">
                  <c:v>41.900000000000297</c:v>
                </c:pt>
                <c:pt idx="543">
                  <c:v>42.000000000000298</c:v>
                </c:pt>
                <c:pt idx="544">
                  <c:v>42.1000000000003</c:v>
                </c:pt>
                <c:pt idx="545">
                  <c:v>42.200000000000301</c:v>
                </c:pt>
                <c:pt idx="546">
                  <c:v>42.300000000000303</c:v>
                </c:pt>
                <c:pt idx="547">
                  <c:v>42.400000000000304</c:v>
                </c:pt>
                <c:pt idx="548">
                  <c:v>42.500000000000306</c:v>
                </c:pt>
                <c:pt idx="549">
                  <c:v>42.600000000000307</c:v>
                </c:pt>
                <c:pt idx="550">
                  <c:v>42.700000000000308</c:v>
                </c:pt>
                <c:pt idx="551">
                  <c:v>42.80000000000031</c:v>
                </c:pt>
                <c:pt idx="552">
                  <c:v>42.900000000000311</c:v>
                </c:pt>
                <c:pt idx="553">
                  <c:v>43.000000000000313</c:v>
                </c:pt>
                <c:pt idx="554">
                  <c:v>43.100000000000314</c:v>
                </c:pt>
                <c:pt idx="555">
                  <c:v>43.200000000000315</c:v>
                </c:pt>
                <c:pt idx="556">
                  <c:v>43.300000000000317</c:v>
                </c:pt>
                <c:pt idx="557">
                  <c:v>43.400000000000318</c:v>
                </c:pt>
                <c:pt idx="558">
                  <c:v>43.50000000000032</c:v>
                </c:pt>
                <c:pt idx="559">
                  <c:v>43.600000000000321</c:v>
                </c:pt>
                <c:pt idx="560">
                  <c:v>43.700000000000323</c:v>
                </c:pt>
                <c:pt idx="561">
                  <c:v>43.800000000000324</c:v>
                </c:pt>
                <c:pt idx="562">
                  <c:v>43.900000000000325</c:v>
                </c:pt>
                <c:pt idx="563">
                  <c:v>44.000000000000327</c:v>
                </c:pt>
                <c:pt idx="564">
                  <c:v>44.100000000000328</c:v>
                </c:pt>
                <c:pt idx="565">
                  <c:v>44.20000000000033</c:v>
                </c:pt>
                <c:pt idx="566">
                  <c:v>44.300000000000331</c:v>
                </c:pt>
                <c:pt idx="567">
                  <c:v>44.400000000000333</c:v>
                </c:pt>
                <c:pt idx="568">
                  <c:v>44.500000000000334</c:v>
                </c:pt>
                <c:pt idx="569">
                  <c:v>44.600000000000335</c:v>
                </c:pt>
                <c:pt idx="570">
                  <c:v>44.700000000000337</c:v>
                </c:pt>
                <c:pt idx="571">
                  <c:v>44.800000000000338</c:v>
                </c:pt>
                <c:pt idx="572">
                  <c:v>44.90000000000034</c:v>
                </c:pt>
                <c:pt idx="573">
                  <c:v>45.000000000000341</c:v>
                </c:pt>
                <c:pt idx="574">
                  <c:v>45.100000000000342</c:v>
                </c:pt>
                <c:pt idx="575">
                  <c:v>45.200000000000344</c:v>
                </c:pt>
                <c:pt idx="576">
                  <c:v>45.300000000000345</c:v>
                </c:pt>
                <c:pt idx="577">
                  <c:v>45.400000000000347</c:v>
                </c:pt>
                <c:pt idx="578">
                  <c:v>45.500000000000348</c:v>
                </c:pt>
                <c:pt idx="579">
                  <c:v>45.60000000000035</c:v>
                </c:pt>
                <c:pt idx="580">
                  <c:v>45.700000000000351</c:v>
                </c:pt>
                <c:pt idx="581">
                  <c:v>45.800000000000352</c:v>
                </c:pt>
                <c:pt idx="582">
                  <c:v>45.900000000000354</c:v>
                </c:pt>
                <c:pt idx="583">
                  <c:v>46.000000000000355</c:v>
                </c:pt>
                <c:pt idx="584">
                  <c:v>46.100000000000357</c:v>
                </c:pt>
                <c:pt idx="585">
                  <c:v>46.200000000000358</c:v>
                </c:pt>
                <c:pt idx="586">
                  <c:v>46.30000000000036</c:v>
                </c:pt>
                <c:pt idx="587">
                  <c:v>46.400000000000361</c:v>
                </c:pt>
                <c:pt idx="588">
                  <c:v>46.500000000000362</c:v>
                </c:pt>
                <c:pt idx="589">
                  <c:v>46.600000000000364</c:v>
                </c:pt>
                <c:pt idx="590">
                  <c:v>46.700000000000365</c:v>
                </c:pt>
                <c:pt idx="591">
                  <c:v>46.800000000000367</c:v>
                </c:pt>
                <c:pt idx="592">
                  <c:v>46.900000000000368</c:v>
                </c:pt>
                <c:pt idx="593">
                  <c:v>47.000000000000369</c:v>
                </c:pt>
                <c:pt idx="594">
                  <c:v>47.100000000000371</c:v>
                </c:pt>
                <c:pt idx="595">
                  <c:v>47.100100000000374</c:v>
                </c:pt>
                <c:pt idx="596">
                  <c:v>47.100200000000378</c:v>
                </c:pt>
                <c:pt idx="597">
                  <c:v>47.100300000000381</c:v>
                </c:pt>
                <c:pt idx="598">
                  <c:v>47.100400000000384</c:v>
                </c:pt>
                <c:pt idx="599">
                  <c:v>47.100500000000388</c:v>
                </c:pt>
                <c:pt idx="600">
                  <c:v>47.100600000000391</c:v>
                </c:pt>
                <c:pt idx="601">
                  <c:v>47.100700000000394</c:v>
                </c:pt>
                <c:pt idx="602">
                  <c:v>47.100800000000397</c:v>
                </c:pt>
                <c:pt idx="603">
                  <c:v>47.100900000000401</c:v>
                </c:pt>
                <c:pt idx="604">
                  <c:v>47.101000000000404</c:v>
                </c:pt>
                <c:pt idx="605">
                  <c:v>47.101100000000407</c:v>
                </c:pt>
                <c:pt idx="606">
                  <c:v>47.101200000000411</c:v>
                </c:pt>
                <c:pt idx="607">
                  <c:v>47.101300000000414</c:v>
                </c:pt>
                <c:pt idx="608">
                  <c:v>47.101400000000417</c:v>
                </c:pt>
                <c:pt idx="609">
                  <c:v>47.101500000000421</c:v>
                </c:pt>
                <c:pt idx="610">
                  <c:v>47.101600000000424</c:v>
                </c:pt>
                <c:pt idx="611">
                  <c:v>47.101700000000427</c:v>
                </c:pt>
                <c:pt idx="612">
                  <c:v>47.101800000000431</c:v>
                </c:pt>
                <c:pt idx="613">
                  <c:v>47.101900000000434</c:v>
                </c:pt>
                <c:pt idx="614">
                  <c:v>47.102000000000437</c:v>
                </c:pt>
                <c:pt idx="615">
                  <c:v>47.102100000000441</c:v>
                </c:pt>
                <c:pt idx="616">
                  <c:v>47.102200000000444</c:v>
                </c:pt>
                <c:pt idx="617">
                  <c:v>47.102300000000447</c:v>
                </c:pt>
                <c:pt idx="618">
                  <c:v>47.102400000000451</c:v>
                </c:pt>
                <c:pt idx="619">
                  <c:v>47.102500000000454</c:v>
                </c:pt>
                <c:pt idx="620">
                  <c:v>47.102600000000457</c:v>
                </c:pt>
                <c:pt idx="621">
                  <c:v>47.102700000000461</c:v>
                </c:pt>
                <c:pt idx="622">
                  <c:v>47.102800000000464</c:v>
                </c:pt>
                <c:pt idx="623">
                  <c:v>47.102900000000467</c:v>
                </c:pt>
                <c:pt idx="624">
                  <c:v>47.10300000000047</c:v>
                </c:pt>
                <c:pt idx="625">
                  <c:v>47.103100000000474</c:v>
                </c:pt>
                <c:pt idx="626">
                  <c:v>47.103200000000477</c:v>
                </c:pt>
                <c:pt idx="627">
                  <c:v>47.10330000000048</c:v>
                </c:pt>
                <c:pt idx="628">
                  <c:v>47.103400000000484</c:v>
                </c:pt>
                <c:pt idx="629">
                  <c:v>47.103500000000487</c:v>
                </c:pt>
                <c:pt idx="630">
                  <c:v>47.10360000000049</c:v>
                </c:pt>
                <c:pt idx="631">
                  <c:v>47.103700000000494</c:v>
                </c:pt>
                <c:pt idx="632">
                  <c:v>47.103800000000497</c:v>
                </c:pt>
                <c:pt idx="633">
                  <c:v>47.1039000000005</c:v>
                </c:pt>
                <c:pt idx="634">
                  <c:v>47.104000000000504</c:v>
                </c:pt>
                <c:pt idx="635">
                  <c:v>47.104100000000507</c:v>
                </c:pt>
                <c:pt idx="636">
                  <c:v>47.10420000000051</c:v>
                </c:pt>
                <c:pt idx="637">
                  <c:v>47.104300000000514</c:v>
                </c:pt>
                <c:pt idx="638">
                  <c:v>47.104400000000517</c:v>
                </c:pt>
                <c:pt idx="639">
                  <c:v>47.10450000000052</c:v>
                </c:pt>
                <c:pt idx="640">
                  <c:v>47.104600000000524</c:v>
                </c:pt>
                <c:pt idx="641">
                  <c:v>47.104700000000527</c:v>
                </c:pt>
                <c:pt idx="642">
                  <c:v>47.10480000000053</c:v>
                </c:pt>
                <c:pt idx="643">
                  <c:v>47.104900000000534</c:v>
                </c:pt>
                <c:pt idx="644">
                  <c:v>47.105000000000537</c:v>
                </c:pt>
                <c:pt idx="645">
                  <c:v>47.10510000000054</c:v>
                </c:pt>
                <c:pt idx="646">
                  <c:v>47.105200000000544</c:v>
                </c:pt>
                <c:pt idx="647">
                  <c:v>47.105300000000547</c:v>
                </c:pt>
                <c:pt idx="648">
                  <c:v>47.10540000000055</c:v>
                </c:pt>
                <c:pt idx="649">
                  <c:v>47.105500000000553</c:v>
                </c:pt>
                <c:pt idx="650">
                  <c:v>47.105600000000557</c:v>
                </c:pt>
                <c:pt idx="651">
                  <c:v>47.10570000000056</c:v>
                </c:pt>
                <c:pt idx="652">
                  <c:v>47.105800000000563</c:v>
                </c:pt>
                <c:pt idx="653">
                  <c:v>47.105900000000567</c:v>
                </c:pt>
                <c:pt idx="654">
                  <c:v>47.10600000000057</c:v>
                </c:pt>
                <c:pt idx="655">
                  <c:v>47.106100000000573</c:v>
                </c:pt>
                <c:pt idx="656">
                  <c:v>47.106200000000577</c:v>
                </c:pt>
                <c:pt idx="657">
                  <c:v>47.10630000000058</c:v>
                </c:pt>
                <c:pt idx="658">
                  <c:v>47.106400000000583</c:v>
                </c:pt>
                <c:pt idx="659">
                  <c:v>47.106500000000587</c:v>
                </c:pt>
                <c:pt idx="660">
                  <c:v>47.10660000000059</c:v>
                </c:pt>
                <c:pt idx="661">
                  <c:v>47.106700000000593</c:v>
                </c:pt>
                <c:pt idx="662">
                  <c:v>47.106800000000597</c:v>
                </c:pt>
                <c:pt idx="663">
                  <c:v>47.1069000000006</c:v>
                </c:pt>
                <c:pt idx="664">
                  <c:v>47.107000000000603</c:v>
                </c:pt>
                <c:pt idx="665">
                  <c:v>47.107100000000607</c:v>
                </c:pt>
                <c:pt idx="666">
                  <c:v>47.10720000000061</c:v>
                </c:pt>
                <c:pt idx="667">
                  <c:v>47.107300000000613</c:v>
                </c:pt>
                <c:pt idx="668">
                  <c:v>47.107400000000617</c:v>
                </c:pt>
                <c:pt idx="669">
                  <c:v>47.10750000000062</c:v>
                </c:pt>
                <c:pt idx="670">
                  <c:v>47.107600000000623</c:v>
                </c:pt>
                <c:pt idx="671">
                  <c:v>47.107700000000627</c:v>
                </c:pt>
                <c:pt idx="672">
                  <c:v>47.10780000000063</c:v>
                </c:pt>
                <c:pt idx="673">
                  <c:v>47.107900000000633</c:v>
                </c:pt>
                <c:pt idx="674">
                  <c:v>47.108000000000636</c:v>
                </c:pt>
                <c:pt idx="675">
                  <c:v>47.10810000000064</c:v>
                </c:pt>
                <c:pt idx="676">
                  <c:v>47.108200000000643</c:v>
                </c:pt>
                <c:pt idx="677">
                  <c:v>47.108300000000646</c:v>
                </c:pt>
                <c:pt idx="678">
                  <c:v>47.10840000000065</c:v>
                </c:pt>
                <c:pt idx="679">
                  <c:v>47.108500000000653</c:v>
                </c:pt>
                <c:pt idx="680">
                  <c:v>47.108600000000656</c:v>
                </c:pt>
                <c:pt idx="681">
                  <c:v>47.10870000000066</c:v>
                </c:pt>
                <c:pt idx="682">
                  <c:v>47.108800000000663</c:v>
                </c:pt>
                <c:pt idx="683">
                  <c:v>47.108900000000666</c:v>
                </c:pt>
                <c:pt idx="684">
                  <c:v>47.10900000000067</c:v>
                </c:pt>
                <c:pt idx="685">
                  <c:v>47.109100000000673</c:v>
                </c:pt>
                <c:pt idx="686">
                  <c:v>47.109200000000676</c:v>
                </c:pt>
                <c:pt idx="687">
                  <c:v>47.10930000000068</c:v>
                </c:pt>
                <c:pt idx="688">
                  <c:v>47.109400000000683</c:v>
                </c:pt>
                <c:pt idx="689">
                  <c:v>47.109500000000686</c:v>
                </c:pt>
                <c:pt idx="690">
                  <c:v>47.10960000000069</c:v>
                </c:pt>
                <c:pt idx="691">
                  <c:v>47.109700000000693</c:v>
                </c:pt>
                <c:pt idx="692">
                  <c:v>47.109800000000696</c:v>
                </c:pt>
                <c:pt idx="693">
                  <c:v>47.1099000000007</c:v>
                </c:pt>
                <c:pt idx="694">
                  <c:v>47.110000000000703</c:v>
                </c:pt>
                <c:pt idx="695">
                  <c:v>47.110100000000706</c:v>
                </c:pt>
                <c:pt idx="696">
                  <c:v>47.11020000000071</c:v>
                </c:pt>
                <c:pt idx="697">
                  <c:v>47.110300000000713</c:v>
                </c:pt>
                <c:pt idx="698">
                  <c:v>47.110400000000716</c:v>
                </c:pt>
                <c:pt idx="699">
                  <c:v>47.110500000000719</c:v>
                </c:pt>
                <c:pt idx="700">
                  <c:v>47.110600000000723</c:v>
                </c:pt>
                <c:pt idx="701">
                  <c:v>47.110700000000726</c:v>
                </c:pt>
                <c:pt idx="702">
                  <c:v>47.110800000000729</c:v>
                </c:pt>
                <c:pt idx="703">
                  <c:v>47.110900000000733</c:v>
                </c:pt>
                <c:pt idx="704">
                  <c:v>47.111000000000736</c:v>
                </c:pt>
                <c:pt idx="705">
                  <c:v>47.111100000000739</c:v>
                </c:pt>
                <c:pt idx="706">
                  <c:v>47.111200000000743</c:v>
                </c:pt>
                <c:pt idx="707">
                  <c:v>47.111300000000746</c:v>
                </c:pt>
                <c:pt idx="708">
                  <c:v>47.111400000000749</c:v>
                </c:pt>
                <c:pt idx="709">
                  <c:v>47.111500000000753</c:v>
                </c:pt>
                <c:pt idx="710">
                  <c:v>47.111600000000756</c:v>
                </c:pt>
                <c:pt idx="711">
                  <c:v>47.111700000000759</c:v>
                </c:pt>
                <c:pt idx="712">
                  <c:v>47.111800000000763</c:v>
                </c:pt>
                <c:pt idx="713">
                  <c:v>47.111900000000766</c:v>
                </c:pt>
                <c:pt idx="714">
                  <c:v>47.112000000000769</c:v>
                </c:pt>
                <c:pt idx="715">
                  <c:v>47.112100000000773</c:v>
                </c:pt>
                <c:pt idx="716">
                  <c:v>47.112200000000776</c:v>
                </c:pt>
                <c:pt idx="717">
                  <c:v>47.112300000000779</c:v>
                </c:pt>
                <c:pt idx="718">
                  <c:v>47.112400000000783</c:v>
                </c:pt>
                <c:pt idx="719">
                  <c:v>47.112500000000786</c:v>
                </c:pt>
                <c:pt idx="720">
                  <c:v>47.112600000000789</c:v>
                </c:pt>
                <c:pt idx="721">
                  <c:v>47.112700000000792</c:v>
                </c:pt>
                <c:pt idx="722">
                  <c:v>47.112800000000796</c:v>
                </c:pt>
                <c:pt idx="723">
                  <c:v>47.112900000000799</c:v>
                </c:pt>
                <c:pt idx="724">
                  <c:v>47.113000000000802</c:v>
                </c:pt>
                <c:pt idx="725">
                  <c:v>47.113100000000806</c:v>
                </c:pt>
                <c:pt idx="726">
                  <c:v>47.113200000000809</c:v>
                </c:pt>
                <c:pt idx="727">
                  <c:v>47.113300000000812</c:v>
                </c:pt>
                <c:pt idx="728">
                  <c:v>47.113400000000816</c:v>
                </c:pt>
                <c:pt idx="729">
                  <c:v>47.113500000000819</c:v>
                </c:pt>
                <c:pt idx="730">
                  <c:v>47.113600000000822</c:v>
                </c:pt>
                <c:pt idx="731">
                  <c:v>47.113700000000826</c:v>
                </c:pt>
                <c:pt idx="732">
                  <c:v>47.113800000000829</c:v>
                </c:pt>
                <c:pt idx="733">
                  <c:v>47.113900000000832</c:v>
                </c:pt>
                <c:pt idx="734">
                  <c:v>47.114000000000836</c:v>
                </c:pt>
                <c:pt idx="735">
                  <c:v>47.114100000000839</c:v>
                </c:pt>
                <c:pt idx="736">
                  <c:v>47.114200000000842</c:v>
                </c:pt>
                <c:pt idx="737">
                  <c:v>47.114300000000846</c:v>
                </c:pt>
                <c:pt idx="738">
                  <c:v>47.114400000000849</c:v>
                </c:pt>
                <c:pt idx="739">
                  <c:v>47.114500000000852</c:v>
                </c:pt>
                <c:pt idx="740">
                  <c:v>47.114600000000856</c:v>
                </c:pt>
                <c:pt idx="741">
                  <c:v>47.114700000000859</c:v>
                </c:pt>
                <c:pt idx="742">
                  <c:v>47.114800000000862</c:v>
                </c:pt>
                <c:pt idx="743">
                  <c:v>47.114900000000866</c:v>
                </c:pt>
                <c:pt idx="744">
                  <c:v>47.115000000000869</c:v>
                </c:pt>
                <c:pt idx="745">
                  <c:v>47.115100000000872</c:v>
                </c:pt>
                <c:pt idx="746">
                  <c:v>47.115200000000875</c:v>
                </c:pt>
                <c:pt idx="747">
                  <c:v>47.115300000000879</c:v>
                </c:pt>
                <c:pt idx="748">
                  <c:v>47.115400000000882</c:v>
                </c:pt>
                <c:pt idx="749">
                  <c:v>47.115500000000885</c:v>
                </c:pt>
                <c:pt idx="750">
                  <c:v>47.115600000000889</c:v>
                </c:pt>
                <c:pt idx="751">
                  <c:v>47.115700000000892</c:v>
                </c:pt>
                <c:pt idx="752">
                  <c:v>47.115800000000895</c:v>
                </c:pt>
                <c:pt idx="753">
                  <c:v>47.115900000000899</c:v>
                </c:pt>
                <c:pt idx="754">
                  <c:v>47.116000000000902</c:v>
                </c:pt>
                <c:pt idx="755">
                  <c:v>47.116100000000905</c:v>
                </c:pt>
                <c:pt idx="756">
                  <c:v>47.116200000000909</c:v>
                </c:pt>
                <c:pt idx="757">
                  <c:v>47.116300000000912</c:v>
                </c:pt>
                <c:pt idx="758">
                  <c:v>47.116400000000915</c:v>
                </c:pt>
                <c:pt idx="759">
                  <c:v>47.116500000000919</c:v>
                </c:pt>
                <c:pt idx="760">
                  <c:v>47.116600000000922</c:v>
                </c:pt>
                <c:pt idx="761">
                  <c:v>47.116700000000925</c:v>
                </c:pt>
                <c:pt idx="762">
                  <c:v>47.116800000000929</c:v>
                </c:pt>
                <c:pt idx="763">
                  <c:v>47.116900000000932</c:v>
                </c:pt>
                <c:pt idx="764">
                  <c:v>47.117000000000935</c:v>
                </c:pt>
                <c:pt idx="765">
                  <c:v>47.117100000000939</c:v>
                </c:pt>
                <c:pt idx="766">
                  <c:v>47.117200000000942</c:v>
                </c:pt>
                <c:pt idx="767">
                  <c:v>47.117300000000945</c:v>
                </c:pt>
                <c:pt idx="768">
                  <c:v>47.117400000000949</c:v>
                </c:pt>
                <c:pt idx="769">
                  <c:v>47.117500000000952</c:v>
                </c:pt>
                <c:pt idx="770">
                  <c:v>47.117600000000955</c:v>
                </c:pt>
                <c:pt idx="771">
                  <c:v>47.117700000000958</c:v>
                </c:pt>
                <c:pt idx="772">
                  <c:v>47.117800000000962</c:v>
                </c:pt>
                <c:pt idx="773">
                  <c:v>47.117900000000965</c:v>
                </c:pt>
                <c:pt idx="774">
                  <c:v>47.118000000000968</c:v>
                </c:pt>
                <c:pt idx="775">
                  <c:v>47.118100000000972</c:v>
                </c:pt>
                <c:pt idx="776">
                  <c:v>47.118200000000975</c:v>
                </c:pt>
                <c:pt idx="777">
                  <c:v>47.118300000000978</c:v>
                </c:pt>
                <c:pt idx="778">
                  <c:v>47.118400000000982</c:v>
                </c:pt>
                <c:pt idx="779">
                  <c:v>47.118500000000985</c:v>
                </c:pt>
                <c:pt idx="780">
                  <c:v>47.118600000000988</c:v>
                </c:pt>
                <c:pt idx="781">
                  <c:v>47.118700000000992</c:v>
                </c:pt>
                <c:pt idx="782">
                  <c:v>47.118800000000995</c:v>
                </c:pt>
                <c:pt idx="783">
                  <c:v>47.118900000000998</c:v>
                </c:pt>
                <c:pt idx="784">
                  <c:v>47.119000000001002</c:v>
                </c:pt>
                <c:pt idx="785">
                  <c:v>47.119100000001005</c:v>
                </c:pt>
                <c:pt idx="786">
                  <c:v>47.119200000001008</c:v>
                </c:pt>
                <c:pt idx="787">
                  <c:v>47.119300000001012</c:v>
                </c:pt>
                <c:pt idx="788">
                  <c:v>47.119400000001015</c:v>
                </c:pt>
                <c:pt idx="789">
                  <c:v>47.119500000001018</c:v>
                </c:pt>
                <c:pt idx="790">
                  <c:v>47.119600000001022</c:v>
                </c:pt>
                <c:pt idx="791">
                  <c:v>47.119700000001025</c:v>
                </c:pt>
                <c:pt idx="792">
                  <c:v>47.119800000001028</c:v>
                </c:pt>
                <c:pt idx="793">
                  <c:v>47.119900000001032</c:v>
                </c:pt>
                <c:pt idx="794">
                  <c:v>47.120000000001035</c:v>
                </c:pt>
                <c:pt idx="795">
                  <c:v>47.120100000001038</c:v>
                </c:pt>
                <c:pt idx="796">
                  <c:v>47.120200000001041</c:v>
                </c:pt>
                <c:pt idx="797">
                  <c:v>47.120300000001045</c:v>
                </c:pt>
                <c:pt idx="798">
                  <c:v>47.120400000001048</c:v>
                </c:pt>
                <c:pt idx="799">
                  <c:v>47.120500000001051</c:v>
                </c:pt>
                <c:pt idx="800">
                  <c:v>47.120600000001055</c:v>
                </c:pt>
                <c:pt idx="801">
                  <c:v>47.120700000001058</c:v>
                </c:pt>
                <c:pt idx="802">
                  <c:v>47.120800000001061</c:v>
                </c:pt>
                <c:pt idx="803">
                  <c:v>47.120900000001065</c:v>
                </c:pt>
                <c:pt idx="804">
                  <c:v>47.121000000001068</c:v>
                </c:pt>
                <c:pt idx="805">
                  <c:v>47.121100000001071</c:v>
                </c:pt>
                <c:pt idx="806">
                  <c:v>47.121200000001075</c:v>
                </c:pt>
                <c:pt idx="807">
                  <c:v>47.121300000001078</c:v>
                </c:pt>
                <c:pt idx="808">
                  <c:v>47.121400000001081</c:v>
                </c:pt>
                <c:pt idx="809">
                  <c:v>47.121500000001085</c:v>
                </c:pt>
                <c:pt idx="810">
                  <c:v>47.121600000001088</c:v>
                </c:pt>
                <c:pt idx="811">
                  <c:v>47.121700000001091</c:v>
                </c:pt>
                <c:pt idx="812">
                  <c:v>47.121800000001095</c:v>
                </c:pt>
                <c:pt idx="813">
                  <c:v>47.121900000001098</c:v>
                </c:pt>
                <c:pt idx="814">
                  <c:v>47.122000000001101</c:v>
                </c:pt>
                <c:pt idx="815">
                  <c:v>47.122100000001105</c:v>
                </c:pt>
                <c:pt idx="816">
                  <c:v>47.122200000001108</c:v>
                </c:pt>
                <c:pt idx="817">
                  <c:v>47.122300000001111</c:v>
                </c:pt>
                <c:pt idx="818">
                  <c:v>47.122400000001115</c:v>
                </c:pt>
                <c:pt idx="819">
                  <c:v>47.122500000001118</c:v>
                </c:pt>
                <c:pt idx="820">
                  <c:v>47.122600000001121</c:v>
                </c:pt>
                <c:pt idx="821">
                  <c:v>47.122700000001124</c:v>
                </c:pt>
                <c:pt idx="822">
                  <c:v>47.122800000001128</c:v>
                </c:pt>
                <c:pt idx="823">
                  <c:v>47.122900000001131</c:v>
                </c:pt>
                <c:pt idx="824">
                  <c:v>47.123000000001134</c:v>
                </c:pt>
                <c:pt idx="825">
                  <c:v>47.123100000001138</c:v>
                </c:pt>
                <c:pt idx="826">
                  <c:v>47.123200000001141</c:v>
                </c:pt>
                <c:pt idx="827">
                  <c:v>47.123300000001144</c:v>
                </c:pt>
                <c:pt idx="828">
                  <c:v>47.123400000001148</c:v>
                </c:pt>
                <c:pt idx="829">
                  <c:v>47.123500000001151</c:v>
                </c:pt>
                <c:pt idx="830">
                  <c:v>47.123600000001154</c:v>
                </c:pt>
                <c:pt idx="831">
                  <c:v>47.123700000001158</c:v>
                </c:pt>
                <c:pt idx="832">
                  <c:v>47.123800000001161</c:v>
                </c:pt>
                <c:pt idx="833">
                  <c:v>47.123900000001164</c:v>
                </c:pt>
                <c:pt idx="834">
                  <c:v>47.124000000001168</c:v>
                </c:pt>
                <c:pt idx="835">
                  <c:v>47.124100000001171</c:v>
                </c:pt>
                <c:pt idx="836">
                  <c:v>47.124200000001174</c:v>
                </c:pt>
                <c:pt idx="837">
                  <c:v>47.124300000001178</c:v>
                </c:pt>
                <c:pt idx="838">
                  <c:v>47.124400000001181</c:v>
                </c:pt>
                <c:pt idx="839">
                  <c:v>47.124500000001184</c:v>
                </c:pt>
                <c:pt idx="840">
                  <c:v>47.124600000001188</c:v>
                </c:pt>
                <c:pt idx="841">
                  <c:v>47.124700000001191</c:v>
                </c:pt>
                <c:pt idx="842">
                  <c:v>47.124800000001194</c:v>
                </c:pt>
                <c:pt idx="843">
                  <c:v>47.124900000001197</c:v>
                </c:pt>
                <c:pt idx="844">
                  <c:v>47.125000000001201</c:v>
                </c:pt>
                <c:pt idx="845">
                  <c:v>47.125100000001204</c:v>
                </c:pt>
                <c:pt idx="846">
                  <c:v>47.125200000001207</c:v>
                </c:pt>
                <c:pt idx="847">
                  <c:v>47.125300000001211</c:v>
                </c:pt>
                <c:pt idx="848">
                  <c:v>47.125400000001214</c:v>
                </c:pt>
                <c:pt idx="849">
                  <c:v>47.125500000001217</c:v>
                </c:pt>
                <c:pt idx="850">
                  <c:v>47.125600000001221</c:v>
                </c:pt>
                <c:pt idx="851">
                  <c:v>47.125700000001224</c:v>
                </c:pt>
                <c:pt idx="852">
                  <c:v>47.125800000001227</c:v>
                </c:pt>
                <c:pt idx="853">
                  <c:v>47.125900000001231</c:v>
                </c:pt>
                <c:pt idx="854">
                  <c:v>47.126000000001234</c:v>
                </c:pt>
                <c:pt idx="855">
                  <c:v>47.126100000001237</c:v>
                </c:pt>
                <c:pt idx="856">
                  <c:v>47.126200000001241</c:v>
                </c:pt>
                <c:pt idx="857">
                  <c:v>47.126300000001244</c:v>
                </c:pt>
                <c:pt idx="858">
                  <c:v>47.126400000001247</c:v>
                </c:pt>
                <c:pt idx="859">
                  <c:v>47.126500000001251</c:v>
                </c:pt>
                <c:pt idx="860">
                  <c:v>47.126600000001254</c:v>
                </c:pt>
                <c:pt idx="861">
                  <c:v>47.126700000001257</c:v>
                </c:pt>
                <c:pt idx="862">
                  <c:v>47.126800000001261</c:v>
                </c:pt>
                <c:pt idx="863">
                  <c:v>47.126900000001264</c:v>
                </c:pt>
                <c:pt idx="864">
                  <c:v>47.127000000001267</c:v>
                </c:pt>
                <c:pt idx="865">
                  <c:v>47.127100000001271</c:v>
                </c:pt>
                <c:pt idx="866">
                  <c:v>47.127200000001274</c:v>
                </c:pt>
                <c:pt idx="867">
                  <c:v>47.127300000001277</c:v>
                </c:pt>
                <c:pt idx="868">
                  <c:v>47.12740000000128</c:v>
                </c:pt>
                <c:pt idx="869">
                  <c:v>47.127500000001284</c:v>
                </c:pt>
                <c:pt idx="870">
                  <c:v>47.127600000001287</c:v>
                </c:pt>
                <c:pt idx="871">
                  <c:v>47.12770000000129</c:v>
                </c:pt>
                <c:pt idx="872">
                  <c:v>47.127800000001294</c:v>
                </c:pt>
                <c:pt idx="873">
                  <c:v>47.127900000001297</c:v>
                </c:pt>
                <c:pt idx="874">
                  <c:v>47.1280000000013</c:v>
                </c:pt>
                <c:pt idx="875">
                  <c:v>47.128100000001304</c:v>
                </c:pt>
                <c:pt idx="876">
                  <c:v>47.128200000001307</c:v>
                </c:pt>
                <c:pt idx="877">
                  <c:v>47.12830000000131</c:v>
                </c:pt>
                <c:pt idx="878">
                  <c:v>47.128400000001314</c:v>
                </c:pt>
                <c:pt idx="879">
                  <c:v>47.128500000001317</c:v>
                </c:pt>
                <c:pt idx="880">
                  <c:v>47.12860000000132</c:v>
                </c:pt>
                <c:pt idx="881">
                  <c:v>47.128700000001324</c:v>
                </c:pt>
                <c:pt idx="882">
                  <c:v>47.128800000001327</c:v>
                </c:pt>
                <c:pt idx="883">
                  <c:v>47.12890000000133</c:v>
                </c:pt>
                <c:pt idx="884">
                  <c:v>47.129000000001334</c:v>
                </c:pt>
                <c:pt idx="885">
                  <c:v>47.129100000001337</c:v>
                </c:pt>
                <c:pt idx="886">
                  <c:v>47.12920000000134</c:v>
                </c:pt>
                <c:pt idx="887">
                  <c:v>47.129300000001344</c:v>
                </c:pt>
                <c:pt idx="888">
                  <c:v>47.129400000001347</c:v>
                </c:pt>
                <c:pt idx="889">
                  <c:v>47.12950000000135</c:v>
                </c:pt>
                <c:pt idx="890">
                  <c:v>47.129600000001354</c:v>
                </c:pt>
                <c:pt idx="891">
                  <c:v>47.129700000001357</c:v>
                </c:pt>
                <c:pt idx="892">
                  <c:v>47.12980000000136</c:v>
                </c:pt>
                <c:pt idx="893">
                  <c:v>47.129900000001363</c:v>
                </c:pt>
                <c:pt idx="894">
                  <c:v>47.130000000001367</c:v>
                </c:pt>
                <c:pt idx="895">
                  <c:v>47.13010000000137</c:v>
                </c:pt>
                <c:pt idx="896">
                  <c:v>47.130200000001373</c:v>
                </c:pt>
                <c:pt idx="897">
                  <c:v>47.130300000001377</c:v>
                </c:pt>
                <c:pt idx="898">
                  <c:v>47.13040000000138</c:v>
                </c:pt>
                <c:pt idx="899">
                  <c:v>47.130500000001383</c:v>
                </c:pt>
                <c:pt idx="900">
                  <c:v>47.130600000001387</c:v>
                </c:pt>
                <c:pt idx="901">
                  <c:v>47.13070000000139</c:v>
                </c:pt>
                <c:pt idx="902">
                  <c:v>47.130800000001393</c:v>
                </c:pt>
                <c:pt idx="903">
                  <c:v>47.130900000001397</c:v>
                </c:pt>
                <c:pt idx="904">
                  <c:v>47.1310000000014</c:v>
                </c:pt>
                <c:pt idx="905">
                  <c:v>47.131100000001403</c:v>
                </c:pt>
                <c:pt idx="906">
                  <c:v>47.131200000001407</c:v>
                </c:pt>
                <c:pt idx="907">
                  <c:v>47.13130000000141</c:v>
                </c:pt>
                <c:pt idx="908">
                  <c:v>47.131400000001413</c:v>
                </c:pt>
                <c:pt idx="909">
                  <c:v>47.131500000001417</c:v>
                </c:pt>
                <c:pt idx="910">
                  <c:v>47.13160000000142</c:v>
                </c:pt>
                <c:pt idx="911">
                  <c:v>47.131700000001423</c:v>
                </c:pt>
                <c:pt idx="912">
                  <c:v>47.131800000001427</c:v>
                </c:pt>
                <c:pt idx="913">
                  <c:v>47.13190000000143</c:v>
                </c:pt>
                <c:pt idx="914">
                  <c:v>47.132000000001433</c:v>
                </c:pt>
                <c:pt idx="915">
                  <c:v>47.132100000001437</c:v>
                </c:pt>
                <c:pt idx="916">
                  <c:v>47.13220000000144</c:v>
                </c:pt>
                <c:pt idx="917">
                  <c:v>47.132300000001443</c:v>
                </c:pt>
                <c:pt idx="918">
                  <c:v>47.132400000001446</c:v>
                </c:pt>
                <c:pt idx="919">
                  <c:v>47.13250000000145</c:v>
                </c:pt>
                <c:pt idx="920">
                  <c:v>47.132600000001453</c:v>
                </c:pt>
                <c:pt idx="921">
                  <c:v>47.132700000001456</c:v>
                </c:pt>
                <c:pt idx="922">
                  <c:v>47.13280000000146</c:v>
                </c:pt>
                <c:pt idx="923">
                  <c:v>47.132900000001463</c:v>
                </c:pt>
                <c:pt idx="924">
                  <c:v>47.133000000001466</c:v>
                </c:pt>
                <c:pt idx="925">
                  <c:v>47.13310000000147</c:v>
                </c:pt>
                <c:pt idx="926">
                  <c:v>47.133200000001473</c:v>
                </c:pt>
                <c:pt idx="927">
                  <c:v>47.133300000001476</c:v>
                </c:pt>
                <c:pt idx="928">
                  <c:v>47.13340000000148</c:v>
                </c:pt>
                <c:pt idx="929">
                  <c:v>47.133500000001483</c:v>
                </c:pt>
                <c:pt idx="930">
                  <c:v>47.133600000001486</c:v>
                </c:pt>
                <c:pt idx="931">
                  <c:v>47.13370000000149</c:v>
                </c:pt>
                <c:pt idx="932">
                  <c:v>47.133800000001493</c:v>
                </c:pt>
                <c:pt idx="933">
                  <c:v>47.133900000001496</c:v>
                </c:pt>
                <c:pt idx="934">
                  <c:v>47.1340000000015</c:v>
                </c:pt>
                <c:pt idx="935">
                  <c:v>47.134100000001503</c:v>
                </c:pt>
                <c:pt idx="936">
                  <c:v>47.134200000001506</c:v>
                </c:pt>
                <c:pt idx="937">
                  <c:v>47.13430000000151</c:v>
                </c:pt>
                <c:pt idx="938">
                  <c:v>47.134400000001513</c:v>
                </c:pt>
                <c:pt idx="939">
                  <c:v>47.134500000001516</c:v>
                </c:pt>
                <c:pt idx="940">
                  <c:v>47.13460000000152</c:v>
                </c:pt>
                <c:pt idx="941">
                  <c:v>47.134700000001523</c:v>
                </c:pt>
                <c:pt idx="942">
                  <c:v>47.134800000001526</c:v>
                </c:pt>
                <c:pt idx="943">
                  <c:v>47.134900000001529</c:v>
                </c:pt>
                <c:pt idx="944">
                  <c:v>47.135000000001533</c:v>
                </c:pt>
                <c:pt idx="945">
                  <c:v>47.135100000001536</c:v>
                </c:pt>
                <c:pt idx="946">
                  <c:v>47.135200000001539</c:v>
                </c:pt>
                <c:pt idx="947">
                  <c:v>47.135300000001543</c:v>
                </c:pt>
                <c:pt idx="948">
                  <c:v>47.135400000001546</c:v>
                </c:pt>
                <c:pt idx="949">
                  <c:v>47.135500000001549</c:v>
                </c:pt>
                <c:pt idx="950">
                  <c:v>47.135600000001553</c:v>
                </c:pt>
                <c:pt idx="951">
                  <c:v>47.135700000001556</c:v>
                </c:pt>
                <c:pt idx="952">
                  <c:v>47.135800000001559</c:v>
                </c:pt>
                <c:pt idx="953">
                  <c:v>47.135900000001563</c:v>
                </c:pt>
                <c:pt idx="954">
                  <c:v>47.136000000001566</c:v>
                </c:pt>
                <c:pt idx="955">
                  <c:v>47.136100000001569</c:v>
                </c:pt>
                <c:pt idx="956">
                  <c:v>47.136200000001573</c:v>
                </c:pt>
                <c:pt idx="957">
                  <c:v>47.136300000001576</c:v>
                </c:pt>
                <c:pt idx="958">
                  <c:v>47.136400000001579</c:v>
                </c:pt>
                <c:pt idx="959">
                  <c:v>47.136500000001583</c:v>
                </c:pt>
                <c:pt idx="960">
                  <c:v>47.136600000001586</c:v>
                </c:pt>
                <c:pt idx="961">
                  <c:v>47.136700000001589</c:v>
                </c:pt>
                <c:pt idx="962">
                  <c:v>47.136800000001593</c:v>
                </c:pt>
                <c:pt idx="963">
                  <c:v>47.136900000001596</c:v>
                </c:pt>
                <c:pt idx="964">
                  <c:v>47.137000000001599</c:v>
                </c:pt>
                <c:pt idx="965">
                  <c:v>47.137100000001602</c:v>
                </c:pt>
                <c:pt idx="966">
                  <c:v>47.137200000001606</c:v>
                </c:pt>
                <c:pt idx="967">
                  <c:v>47.137300000001609</c:v>
                </c:pt>
                <c:pt idx="968">
                  <c:v>47.137400000001612</c:v>
                </c:pt>
                <c:pt idx="969">
                  <c:v>47.137500000001616</c:v>
                </c:pt>
                <c:pt idx="970">
                  <c:v>47.137600000001619</c:v>
                </c:pt>
                <c:pt idx="971">
                  <c:v>47.137700000001622</c:v>
                </c:pt>
                <c:pt idx="972">
                  <c:v>47.137800000001626</c:v>
                </c:pt>
                <c:pt idx="973">
                  <c:v>47.137900000001629</c:v>
                </c:pt>
                <c:pt idx="974">
                  <c:v>47.138000000001632</c:v>
                </c:pt>
                <c:pt idx="975">
                  <c:v>47.138100000001636</c:v>
                </c:pt>
                <c:pt idx="976">
                  <c:v>47.138200000001639</c:v>
                </c:pt>
                <c:pt idx="977">
                  <c:v>47.138300000001642</c:v>
                </c:pt>
                <c:pt idx="978">
                  <c:v>47.138400000001646</c:v>
                </c:pt>
                <c:pt idx="979">
                  <c:v>47.138500000001649</c:v>
                </c:pt>
                <c:pt idx="980">
                  <c:v>47.138600000001652</c:v>
                </c:pt>
                <c:pt idx="981">
                  <c:v>47.138700000001656</c:v>
                </c:pt>
                <c:pt idx="982">
                  <c:v>47.138800000001659</c:v>
                </c:pt>
                <c:pt idx="983">
                  <c:v>47.138900000001662</c:v>
                </c:pt>
                <c:pt idx="984">
                  <c:v>47.139000000001666</c:v>
                </c:pt>
                <c:pt idx="985">
                  <c:v>47.139100000001669</c:v>
                </c:pt>
                <c:pt idx="986">
                  <c:v>47.139200000001672</c:v>
                </c:pt>
                <c:pt idx="987">
                  <c:v>47.139300000001676</c:v>
                </c:pt>
                <c:pt idx="988">
                  <c:v>47.139400000001679</c:v>
                </c:pt>
                <c:pt idx="989">
                  <c:v>47.139500000001682</c:v>
                </c:pt>
                <c:pt idx="990">
                  <c:v>47.139600000001685</c:v>
                </c:pt>
                <c:pt idx="991">
                  <c:v>47.139700000001689</c:v>
                </c:pt>
                <c:pt idx="992">
                  <c:v>47.139800000001692</c:v>
                </c:pt>
                <c:pt idx="993">
                  <c:v>47.139900000001695</c:v>
                </c:pt>
                <c:pt idx="994">
                  <c:v>47.140000000001699</c:v>
                </c:pt>
                <c:pt idx="995">
                  <c:v>47.140100000001702</c:v>
                </c:pt>
                <c:pt idx="996">
                  <c:v>47.140200000001705</c:v>
                </c:pt>
                <c:pt idx="997">
                  <c:v>47.140300000001709</c:v>
                </c:pt>
                <c:pt idx="998">
                  <c:v>47.140400000001712</c:v>
                </c:pt>
                <c:pt idx="999">
                  <c:v>47.140500000001715</c:v>
                </c:pt>
                <c:pt idx="1000">
                  <c:v>47.140600000001719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883.12</c:v>
                </c:pt>
                <c:pt idx="1">
                  <c:v>885.04722432312724</c:v>
                </c:pt>
                <c:pt idx="2">
                  <c:v>886.97705860169447</c:v>
                </c:pt>
                <c:pt idx="3">
                  <c:v>888.91357576788494</c:v>
                </c:pt>
                <c:pt idx="4">
                  <c:v>890.85751191203963</c:v>
                </c:pt>
                <c:pt idx="5">
                  <c:v>892.80815548327644</c:v>
                </c:pt>
                <c:pt idx="6">
                  <c:v>894.76523589599708</c:v>
                </c:pt>
                <c:pt idx="7">
                  <c:v>896.72870302692411</c:v>
                </c:pt>
                <c:pt idx="8">
                  <c:v>898.6985067595491</c:v>
                </c:pt>
                <c:pt idx="9">
                  <c:v>900.67459698553307</c:v>
                </c:pt>
                <c:pt idx="10">
                  <c:v>902.65692360609626</c:v>
                </c:pt>
                <c:pt idx="11">
                  <c:v>904.64543653339706</c:v>
                </c:pt>
                <c:pt idx="12">
                  <c:v>906.64008569189991</c:v>
                </c:pt>
                <c:pt idx="13">
                  <c:v>908.6408210197327</c:v>
                </c:pt>
                <c:pt idx="14">
                  <c:v>910.64759247003269</c:v>
                </c:pt>
                <c:pt idx="15">
                  <c:v>912.66035001228204</c:v>
                </c:pt>
                <c:pt idx="16">
                  <c:v>914.67904363363164</c:v>
                </c:pt>
                <c:pt idx="17">
                  <c:v>916.70362334021422</c:v>
                </c:pt>
                <c:pt idx="18">
                  <c:v>918.73403915844608</c:v>
                </c:pt>
                <c:pt idx="19">
                  <c:v>920.77024113631762</c:v>
                </c:pt>
                <c:pt idx="20">
                  <c:v>922.81217934467247</c:v>
                </c:pt>
                <c:pt idx="21">
                  <c:v>924.8598038784753</c:v>
                </c:pt>
                <c:pt idx="22">
                  <c:v>926.91306485806865</c:v>
                </c:pt>
                <c:pt idx="23">
                  <c:v>928.97191243041732</c:v>
                </c:pt>
                <c:pt idx="24">
                  <c:v>931.03629677034246</c:v>
                </c:pt>
                <c:pt idx="25">
                  <c:v>933.10616808174314</c:v>
                </c:pt>
                <c:pt idx="26">
                  <c:v>935.18147659880708</c:v>
                </c:pt>
                <c:pt idx="27">
                  <c:v>937.26217258720931</c:v>
                </c:pt>
                <c:pt idx="28">
                  <c:v>939.34820634529933</c:v>
                </c:pt>
                <c:pt idx="29">
                  <c:v>941.4395282052767</c:v>
                </c:pt>
                <c:pt idx="30">
                  <c:v>943.5360885343548</c:v>
                </c:pt>
                <c:pt idx="31">
                  <c:v>945.63783773591297</c:v>
                </c:pt>
                <c:pt idx="32">
                  <c:v>947.74472625063686</c:v>
                </c:pt>
                <c:pt idx="33">
                  <c:v>949.85670455764671</c:v>
                </c:pt>
                <c:pt idx="34">
                  <c:v>951.9737231756144</c:v>
                </c:pt>
                <c:pt idx="35">
                  <c:v>954.09573266386826</c:v>
                </c:pt>
                <c:pt idx="36">
                  <c:v>956.2226836234862</c:v>
                </c:pt>
                <c:pt idx="37">
                  <c:v>958.35452669837684</c:v>
                </c:pt>
                <c:pt idx="38">
                  <c:v>960.49121257634874</c:v>
                </c:pt>
                <c:pt idx="39">
                  <c:v>962.63269199016815</c:v>
                </c:pt>
                <c:pt idx="40">
                  <c:v>964.77891571860437</c:v>
                </c:pt>
                <c:pt idx="41">
                  <c:v>966.92983458746357</c:v>
                </c:pt>
                <c:pt idx="42">
                  <c:v>969.08539947061024</c:v>
                </c:pt>
                <c:pt idx="43">
                  <c:v>971.24556129097732</c:v>
                </c:pt>
                <c:pt idx="44">
                  <c:v>973.41027102156386</c:v>
                </c:pt>
                <c:pt idx="45">
                  <c:v>975.57947968642122</c:v>
                </c:pt>
                <c:pt idx="46">
                  <c:v>977.75313836162695</c:v>
                </c:pt>
                <c:pt idx="47">
                  <c:v>979.93119817624688</c:v>
                </c:pt>
                <c:pt idx="48">
                  <c:v>982.11361031328556</c:v>
                </c:pt>
                <c:pt idx="49">
                  <c:v>984.30032601062419</c:v>
                </c:pt>
                <c:pt idx="50">
                  <c:v>986.49129656194725</c:v>
                </c:pt>
                <c:pt idx="51">
                  <c:v>988.68647331765692</c:v>
                </c:pt>
                <c:pt idx="52">
                  <c:v>990.8858076857756</c:v>
                </c:pt>
                <c:pt idx="53">
                  <c:v>993.08925113283669</c:v>
                </c:pt>
                <c:pt idx="54">
                  <c:v>995.29675518476324</c:v>
                </c:pt>
                <c:pt idx="55">
                  <c:v>997.50827142773494</c:v>
                </c:pt>
                <c:pt idx="56">
                  <c:v>999.72375150904361</c:v>
                </c:pt>
                <c:pt idx="57">
                  <c:v>1001.943147137936</c:v>
                </c:pt>
                <c:pt idx="58">
                  <c:v>1004.1664100864454</c:v>
                </c:pt>
                <c:pt idx="59">
                  <c:v>1006.3934921902115</c:v>
                </c:pt>
                <c:pt idx="60">
                  <c:v>1008.6243453492887</c:v>
                </c:pt>
                <c:pt idx="61">
                  <c:v>1010.8589215289412</c:v>
                </c:pt>
                <c:pt idx="62">
                  <c:v>1013.0971727604286</c:v>
                </c:pt>
                <c:pt idx="63">
                  <c:v>1015.3390318025245</c:v>
                </c:pt>
                <c:pt idx="64">
                  <c:v>1017.5843928270252</c:v>
                </c:pt>
                <c:pt idx="65">
                  <c:v>1019.833130822696</c:v>
                </c:pt>
                <c:pt idx="66">
                  <c:v>1022.0851209765161</c:v>
                </c:pt>
                <c:pt idx="67">
                  <c:v>1024.3402209400624</c:v>
                </c:pt>
                <c:pt idx="68">
                  <c:v>1026.5982531205573</c:v>
                </c:pt>
                <c:pt idx="69">
                  <c:v>1028.8589909307138</c:v>
                </c:pt>
                <c:pt idx="70">
                  <c:v>1031.1221450639896</c:v>
                </c:pt>
                <c:pt idx="71">
                  <c:v>1033.3873951758574</c:v>
                </c:pt>
                <c:pt idx="72">
                  <c:v>1035.6544215218846</c:v>
                </c:pt>
                <c:pt idx="73">
                  <c:v>1037.9229049746293</c:v>
                </c:pt>
                <c:pt idx="74">
                  <c:v>1040.1925270400793</c:v>
                </c:pt>
                <c:pt idx="75">
                  <c:v>1042.4629698736403</c:v>
                </c:pt>
                <c:pt idx="76">
                  <c:v>1044.7339162956689</c:v>
                </c:pt>
                <c:pt idx="77">
                  <c:v>1047.0050498065548</c:v>
                </c:pt>
                <c:pt idx="78">
                  <c:v>1049.2760546013526</c:v>
                </c:pt>
                <c:pt idx="79">
                  <c:v>1051.5466155839638</c:v>
                </c:pt>
                <c:pt idx="80">
                  <c:v>1053.816418380871</c:v>
                </c:pt>
                <c:pt idx="81">
                  <c:v>1056.0851869221869</c:v>
                </c:pt>
                <c:pt idx="82">
                  <c:v>1058.3527209342972</c:v>
                </c:pt>
                <c:pt idx="83">
                  <c:v>1060.6188581959623</c:v>
                </c:pt>
                <c:pt idx="84">
                  <c:v>1062.8834368772511</c:v>
                </c:pt>
                <c:pt idx="85">
                  <c:v>1065.1462955418474</c:v>
                </c:pt>
                <c:pt idx="86">
                  <c:v>1067.407273149242</c:v>
                </c:pt>
                <c:pt idx="87">
                  <c:v>1069.6662090568143</c:v>
                </c:pt>
                <c:pt idx="88">
                  <c:v>1071.9229430218022</c:v>
                </c:pt>
                <c:pt idx="89">
                  <c:v>1074.1773270758865</c:v>
                </c:pt>
                <c:pt idx="90">
                  <c:v>1076.4292373693206</c:v>
                </c:pt>
                <c:pt idx="91">
                  <c:v>1078.6785622371956</c:v>
                </c:pt>
                <c:pt idx="92">
                  <c:v>1080.9251902953195</c:v>
                </c:pt>
                <c:pt idx="93">
                  <c:v>1083.169013409248</c:v>
                </c:pt>
                <c:pt idx="94">
                  <c:v>1085.409929655468</c:v>
                </c:pt>
                <c:pt idx="95">
                  <c:v>1087.6478403367792</c:v>
                </c:pt>
                <c:pt idx="96">
                  <c:v>1089.8826470053405</c:v>
                </c:pt>
                <c:pt idx="97">
                  <c:v>1092.1142633392501</c:v>
                </c:pt>
                <c:pt idx="98">
                  <c:v>1094.3426269871832</c:v>
                </c:pt>
                <c:pt idx="99">
                  <c:v>1096.5676876270061</c:v>
                </c:pt>
                <c:pt idx="100">
                  <c:v>1098.7893950561586</c:v>
                </c:pt>
                <c:pt idx="101">
                  <c:v>1101.0076991911692</c:v>
                </c:pt>
                <c:pt idx="102">
                  <c:v>1103.2225500671618</c:v>
                </c:pt>
                <c:pt idx="103">
                  <c:v>1105.4338978373573</c:v>
                </c:pt>
                <c:pt idx="104">
                  <c:v>1107.6416927725677</c:v>
                </c:pt>
                <c:pt idx="105">
                  <c:v>1109.8458852606839</c:v>
                </c:pt>
                <c:pt idx="106">
                  <c:v>1112.0464258061577</c:v>
                </c:pt>
                <c:pt idx="107">
                  <c:v>1114.2432650294772</c:v>
                </c:pt>
                <c:pt idx="108">
                  <c:v>1116.4363536666356</c:v>
                </c:pt>
                <c:pt idx="109">
                  <c:v>1118.6256574154115</c:v>
                </c:pt>
                <c:pt idx="110">
                  <c:v>1120.8111717407921</c:v>
                </c:pt>
                <c:pt idx="111">
                  <c:v>1122.9929069464865</c:v>
                </c:pt>
                <c:pt idx="112">
                  <c:v>1125.170873287718</c:v>
                </c:pt>
                <c:pt idx="113">
                  <c:v>1127.3450809715271</c:v>
                </c:pt>
                <c:pt idx="114">
                  <c:v>1129.5155401570737</c:v>
                </c:pt>
                <c:pt idx="115">
                  <c:v>1131.6822609559365</c:v>
                </c:pt>
                <c:pt idx="116">
                  <c:v>1133.8452534324097</c:v>
                </c:pt>
                <c:pt idx="117">
                  <c:v>1136.004527603797</c:v>
                </c:pt>
                <c:pt idx="118">
                  <c:v>1138.1600934407049</c:v>
                </c:pt>
                <c:pt idx="119">
                  <c:v>1140.3119608673319</c:v>
                </c:pt>
                <c:pt idx="120">
                  <c:v>1142.460139761756</c:v>
                </c:pt>
                <c:pt idx="121">
                  <c:v>1144.604639956221</c:v>
                </c:pt>
                <c:pt idx="122">
                  <c:v>1146.745471237419</c:v>
                </c:pt>
                <c:pt idx="123">
                  <c:v>1148.8826433467716</c:v>
                </c:pt>
                <c:pt idx="124">
                  <c:v>1151.016165980709</c:v>
                </c:pt>
                <c:pt idx="125">
                  <c:v>1153.1460487909465</c:v>
                </c:pt>
                <c:pt idx="126">
                  <c:v>1155.2723013847583</c:v>
                </c:pt>
                <c:pt idx="127">
                  <c:v>1157.3949333252515</c:v>
                </c:pt>
                <c:pt idx="128">
                  <c:v>1159.513954131635</c:v>
                </c:pt>
                <c:pt idx="129">
                  <c:v>1161.6293732794886</c:v>
                </c:pt>
                <c:pt idx="130">
                  <c:v>1163.7412002010285</c:v>
                </c:pt>
                <c:pt idx="131">
                  <c:v>1165.8494442853716</c:v>
                </c:pt>
                <c:pt idx="132">
                  <c:v>1167.954114878798</c:v>
                </c:pt>
                <c:pt idx="133">
                  <c:v>1170.0552212850107</c:v>
                </c:pt>
                <c:pt idx="134">
                  <c:v>1172.1527727653938</c:v>
                </c:pt>
                <c:pt idx="135">
                  <c:v>1174.2467785392687</c:v>
                </c:pt>
                <c:pt idx="136">
                  <c:v>1176.3372477841481</c:v>
                </c:pt>
                <c:pt idx="137">
                  <c:v>1178.4241896359883</c:v>
                </c:pt>
                <c:pt idx="138">
                  <c:v>1180.50761318944</c:v>
                </c:pt>
                <c:pt idx="139">
                  <c:v>1182.5875274980956</c:v>
                </c:pt>
                <c:pt idx="140">
                  <c:v>1184.6639415747372</c:v>
                </c:pt>
                <c:pt idx="141">
                  <c:v>1186.7368643915802</c:v>
                </c:pt>
                <c:pt idx="142">
                  <c:v>1188.8063048805163</c:v>
                </c:pt>
                <c:pt idx="143">
                  <c:v>1190.8722719333553</c:v>
                </c:pt>
                <c:pt idx="144">
                  <c:v>1192.9347744020629</c:v>
                </c:pt>
                <c:pt idx="145">
                  <c:v>1194.9938210989997</c:v>
                </c:pt>
                <c:pt idx="146">
                  <c:v>1197.0494207971553</c:v>
                </c:pt>
                <c:pt idx="147">
                  <c:v>1199.1015822303834</c:v>
                </c:pt>
                <c:pt idx="148">
                  <c:v>1201.1503140936331</c:v>
                </c:pt>
                <c:pt idx="149">
                  <c:v>1203.1956250431795</c:v>
                </c:pt>
                <c:pt idx="150">
                  <c:v>1205.2375236968523</c:v>
                </c:pt>
                <c:pt idx="151">
                  <c:v>1207.2760186342632</c:v>
                </c:pt>
                <c:pt idx="152">
                  <c:v>1209.3111183970304</c:v>
                </c:pt>
                <c:pt idx="153">
                  <c:v>1211.3428314890027</c:v>
                </c:pt>
                <c:pt idx="154">
                  <c:v>1213.3711663764814</c:v>
                </c:pt>
                <c:pt idx="155">
                  <c:v>1215.3961314884402</c:v>
                </c:pt>
                <c:pt idx="156">
                  <c:v>1217.4177352167449</c:v>
                </c:pt>
                <c:pt idx="157">
                  <c:v>1219.4359859163685</c:v>
                </c:pt>
                <c:pt idx="158">
                  <c:v>1221.4508919056091</c:v>
                </c:pt>
                <c:pt idx="159">
                  <c:v>1223.4624614663016</c:v>
                </c:pt>
                <c:pt idx="160">
                  <c:v>1225.4707028440314</c:v>
                </c:pt>
                <c:pt idx="161">
                  <c:v>1227.4756242483445</c:v>
                </c:pt>
                <c:pt idx="162">
                  <c:v>1229.4772338529569</c:v>
                </c:pt>
                <c:pt idx="163">
                  <c:v>1231.475539795962</c:v>
                </c:pt>
                <c:pt idx="164">
                  <c:v>1233.4705501800372</c:v>
                </c:pt>
                <c:pt idx="165">
                  <c:v>1235.4622730726483</c:v>
                </c:pt>
                <c:pt idx="166">
                  <c:v>1237.4507165062523</c:v>
                </c:pt>
                <c:pt idx="167">
                  <c:v>1239.4358884784997</c:v>
                </c:pt>
                <c:pt idx="168">
                  <c:v>1241.4177969524344</c:v>
                </c:pt>
                <c:pt idx="169">
                  <c:v>1243.3964498566927</c:v>
                </c:pt>
                <c:pt idx="170">
                  <c:v>1245.3718550857</c:v>
                </c:pt>
                <c:pt idx="171">
                  <c:v>1247.3440204998674</c:v>
                </c:pt>
                <c:pt idx="172">
                  <c:v>1249.3129539257861</c:v>
                </c:pt>
                <c:pt idx="173">
                  <c:v>1251.27866315642</c:v>
                </c:pt>
                <c:pt idx="174">
                  <c:v>1253.2411559512975</c:v>
                </c:pt>
                <c:pt idx="175">
                  <c:v>1255.2004400367025</c:v>
                </c:pt>
                <c:pt idx="176">
                  <c:v>1257.1565231058626</c:v>
                </c:pt>
                <c:pt idx="177">
                  <c:v>1259.1094128191369</c:v>
                </c:pt>
                <c:pt idx="178">
                  <c:v>1261.0591168042026</c:v>
                </c:pt>
                <c:pt idx="179">
                  <c:v>1263.0056426562394</c:v>
                </c:pt>
                <c:pt idx="180">
                  <c:v>1264.9489979381133</c:v>
                </c:pt>
                <c:pt idx="181">
                  <c:v>1266.8891901805591</c:v>
                </c:pt>
                <c:pt idx="182">
                  <c:v>1268.8262268823614</c:v>
                </c:pt>
                <c:pt idx="183">
                  <c:v>1270.760115510534</c:v>
                </c:pt>
                <c:pt idx="184">
                  <c:v>1272.6908635004984</c:v>
                </c:pt>
                <c:pt idx="185">
                  <c:v>1274.6184782562614</c:v>
                </c:pt>
                <c:pt idx="186">
                  <c:v>1276.5429671505906</c:v>
                </c:pt>
                <c:pt idx="187">
                  <c:v>1278.4643375251894</c:v>
                </c:pt>
                <c:pt idx="188">
                  <c:v>1280.3825966908701</c:v>
                </c:pt>
                <c:pt idx="189">
                  <c:v>1282.297751927726</c:v>
                </c:pt>
                <c:pt idx="190">
                  <c:v>1284.2098104853035</c:v>
                </c:pt>
                <c:pt idx="191">
                  <c:v>1286.1187795827707</c:v>
                </c:pt>
                <c:pt idx="192">
                  <c:v>1288.0246664090866</c:v>
                </c:pt>
                <c:pt idx="193">
                  <c:v>1289.9274781231684</c:v>
                </c:pt>
                <c:pt idx="194">
                  <c:v>1291.8272218540578</c:v>
                </c:pt>
                <c:pt idx="195">
                  <c:v>1293.7239047010867</c:v>
                </c:pt>
                <c:pt idx="196">
                  <c:v>1295.6175337340399</c:v>
                </c:pt>
                <c:pt idx="197">
                  <c:v>1297.5081159933188</c:v>
                </c:pt>
                <c:pt idx="198">
                  <c:v>1299.3956584901036</c:v>
                </c:pt>
                <c:pt idx="199">
                  <c:v>1301.2801682065126</c:v>
                </c:pt>
                <c:pt idx="200">
                  <c:v>1303.1616520957625</c:v>
                </c:pt>
                <c:pt idx="201">
                  <c:v>1321.810606818723</c:v>
                </c:pt>
                <c:pt idx="202">
                  <c:v>1340.1614272177399</c:v>
                </c:pt>
                <c:pt idx="203">
                  <c:v>1358.2207960033118</c:v>
                </c:pt>
                <c:pt idx="204">
                  <c:v>1375.9951268880332</c:v>
                </c:pt>
                <c:pt idx="205">
                  <c:v>1393.4905787635607</c:v>
                </c:pt>
                <c:pt idx="206">
                  <c:v>1410.7130689442679</c:v>
                </c:pt>
                <c:pt idx="207">
                  <c:v>1427.6682855506911</c:v>
                </c:pt>
                <c:pt idx="208">
                  <c:v>1444.3616990992514</c:v>
                </c:pt>
                <c:pt idx="209">
                  <c:v>1460.798573358793</c:v>
                </c:pt>
                <c:pt idx="210">
                  <c:v>1476.9839755291316</c:v>
                </c:pt>
                <c:pt idx="211">
                  <c:v>1492.9227857920046</c:v>
                </c:pt>
                <c:pt idx="212">
                  <c:v>1508.6197062804756</c:v>
                </c:pt>
                <c:pt idx="213">
                  <c:v>1524.0792695089358</c:v>
                </c:pt>
                <c:pt idx="214">
                  <c:v>1539.3058463023081</c:v>
                </c:pt>
                <c:pt idx="215">
                  <c:v>1554.3036532598612</c:v>
                </c:pt>
                <c:pt idx="216">
                  <c:v>1569.0767597861413</c:v>
                </c:pt>
                <c:pt idx="217">
                  <c:v>1583.6290947188966</c:v>
                </c:pt>
                <c:pt idx="218">
                  <c:v>1597.9644525814851</c:v>
                </c:pt>
                <c:pt idx="219">
                  <c:v>1612.0864994850797</c:v>
                </c:pt>
                <c:pt idx="220">
                  <c:v>1625.9987787040059</c:v>
                </c:pt>
                <c:pt idx="221">
                  <c:v>1639.7047159457502</c:v>
                </c:pt>
                <c:pt idx="222">
                  <c:v>1653.2076243355259</c:v>
                </c:pt>
                <c:pt idx="223">
                  <c:v>1666.5107091337838</c:v>
                </c:pt>
                <c:pt idx="224">
                  <c:v>1679.6170722036809</c:v>
                </c:pt>
                <c:pt idx="225">
                  <c:v>1692.5297162442623</c:v>
                </c:pt>
                <c:pt idx="226">
                  <c:v>1705.251548803961</c:v>
                </c:pt>
                <c:pt idx="227">
                  <c:v>1717.7853860879609</c:v>
                </c:pt>
                <c:pt idx="228">
                  <c:v>1730.1339565720009</c:v>
                </c:pt>
                <c:pt idx="229">
                  <c:v>1742.2999044343069</c:v>
                </c:pt>
                <c:pt idx="230">
                  <c:v>1754.285792816517</c:v>
                </c:pt>
                <c:pt idx="231">
                  <c:v>1766.0941069237124</c:v>
                </c:pt>
                <c:pt idx="232">
                  <c:v>1777.7272569729721</c:v>
                </c:pt>
                <c:pt idx="233">
                  <c:v>1789.1875809992273</c:v>
                </c:pt>
                <c:pt idx="234">
                  <c:v>1800.4773475266006</c:v>
                </c:pt>
                <c:pt idx="235">
                  <c:v>1811.5987581128704</c:v>
                </c:pt>
                <c:pt idx="236">
                  <c:v>1822.5539497741931</c:v>
                </c:pt>
                <c:pt idx="237">
                  <c:v>1833.3449972967521</c:v>
                </c:pt>
                <c:pt idx="238">
                  <c:v>1843.9739154415688</c:v>
                </c:pt>
                <c:pt idx="239">
                  <c:v>1854.442661048309</c:v>
                </c:pt>
                <c:pt idx="240">
                  <c:v>1864.7531350435495</c:v>
                </c:pt>
                <c:pt idx="241">
                  <c:v>1874.9071843586241</c:v>
                </c:pt>
                <c:pt idx="242">
                  <c:v>1884.9066037618463</c:v>
                </c:pt>
                <c:pt idx="243">
                  <c:v>1894.7531376096131</c:v>
                </c:pt>
                <c:pt idx="244">
                  <c:v>1904.4484815206142</c:v>
                </c:pt>
                <c:pt idx="245">
                  <c:v>1913.9942839771147</c:v>
                </c:pt>
                <c:pt idx="246">
                  <c:v>1923.3921478570421</c:v>
                </c:pt>
                <c:pt idx="247">
                  <c:v>1932.6436319003826</c:v>
                </c:pt>
                <c:pt idx="248">
                  <c:v>1941.7502521131855</c:v>
                </c:pt>
                <c:pt idx="249">
                  <c:v>1950.7134831122814</c:v>
                </c:pt>
                <c:pt idx="250">
                  <c:v>1959.5347594136358</c:v>
                </c:pt>
                <c:pt idx="251">
                  <c:v>1968.215476667094</c:v>
                </c:pt>
                <c:pt idx="252">
                  <c:v>1976.7569928401142</c:v>
                </c:pt>
                <c:pt idx="253">
                  <c:v>1985.1606293529376</c:v>
                </c:pt>
                <c:pt idx="254">
                  <c:v>1993.427672167506</c:v>
                </c:pt>
                <c:pt idx="255">
                  <c:v>2001.559372832309</c:v>
                </c:pt>
                <c:pt idx="256">
                  <c:v>2009.5569494852223</c:v>
                </c:pt>
                <c:pt idx="257">
                  <c:v>2017.4215878162811</c:v>
                </c:pt>
                <c:pt idx="258">
                  <c:v>2025.1544419922341</c:v>
                </c:pt>
                <c:pt idx="259">
                  <c:v>2032.756635544614</c:v>
                </c:pt>
                <c:pt idx="260">
                  <c:v>2040.2292622229759</c:v>
                </c:pt>
                <c:pt idx="261">
                  <c:v>2047.5733868148602</c:v>
                </c:pt>
                <c:pt idx="262">
                  <c:v>2054.7900459339589</c:v>
                </c:pt>
                <c:pt idx="263">
                  <c:v>2061.8802487778826</c:v>
                </c:pt>
                <c:pt idx="264">
                  <c:v>2068.8449778568552</c:v>
                </c:pt>
                <c:pt idx="265">
                  <c:v>2075.6851896945946</c:v>
                </c:pt>
                <c:pt idx="266">
                  <c:v>2082.4018155025728</c:v>
                </c:pt>
                <c:pt idx="267">
                  <c:v>2088.9957618287845</c:v>
                </c:pt>
                <c:pt idx="268">
                  <c:v>2095.4679111821029</c:v>
                </c:pt>
                <c:pt idx="269">
                  <c:v>2101.8191226332438</c:v>
                </c:pt>
                <c:pt idx="270">
                  <c:v>2108.0502323933056</c:v>
                </c:pt>
                <c:pt idx="271">
                  <c:v>2114.1620543708113</c:v>
                </c:pt>
                <c:pt idx="272">
                  <c:v>2120.1553807081273</c:v>
                </c:pt>
                <c:pt idx="273">
                  <c:v>2126.0309822980985</c:v>
                </c:pt>
                <c:pt idx="274">
                  <c:v>2131.7896092816891</c:v>
                </c:pt>
                <c:pt idx="275">
                  <c:v>2137.4319915273945</c:v>
                </c:pt>
                <c:pt idx="276">
                  <c:v>2142.9588390931394</c:v>
                </c:pt>
                <c:pt idx="277">
                  <c:v>2148.3708426713565</c:v>
                </c:pt>
                <c:pt idx="278">
                  <c:v>2153.668674017902</c:v>
                </c:pt>
                <c:pt idx="279">
                  <c:v>2158.8529863654367</c:v>
                </c:pt>
                <c:pt idx="280">
                  <c:v>2163.9244148218731</c:v>
                </c:pt>
                <c:pt idx="281">
                  <c:v>2168.883576754466</c:v>
                </c:pt>
                <c:pt idx="282">
                  <c:v>2173.7310721600943</c:v>
                </c:pt>
                <c:pt idx="283">
                  <c:v>2178.4674840222692</c:v>
                </c:pt>
                <c:pt idx="284">
                  <c:v>2183.0933786553715</c:v>
                </c:pt>
                <c:pt idx="285">
                  <c:v>2187.609306036612</c:v>
                </c:pt>
                <c:pt idx="286">
                  <c:v>2192.0158001261852</c:v>
                </c:pt>
                <c:pt idx="287">
                  <c:v>2196.3133791760752</c:v>
                </c:pt>
                <c:pt idx="288">
                  <c:v>2200.5025460279553</c:v>
                </c:pt>
                <c:pt idx="289">
                  <c:v>2204.583788400616</c:v>
                </c:pt>
                <c:pt idx="290">
                  <c:v>2208.5575791673405</c:v>
                </c:pt>
                <c:pt idx="291">
                  <c:v>2212.4243766236432</c:v>
                </c:pt>
                <c:pt idx="292">
                  <c:v>2216.1846247457788</c:v>
                </c:pt>
                <c:pt idx="293">
                  <c:v>2219.8387534404292</c:v>
                </c:pt>
                <c:pt idx="294">
                  <c:v>2223.3871787859739</c:v>
                </c:pt>
                <c:pt idx="295">
                  <c:v>2226.8303032657491</c:v>
                </c:pt>
                <c:pt idx="296">
                  <c:v>2230.1685159937169</c:v>
                </c:pt>
                <c:pt idx="297">
                  <c:v>2233.4021929329665</c:v>
                </c:pt>
                <c:pt idx="298">
                  <c:v>2236.5316971074885</c:v>
                </c:pt>
                <c:pt idx="299">
                  <c:v>2239.5573788076913</c:v>
                </c:pt>
                <c:pt idx="300">
                  <c:v>2242.4795757901447</c:v>
                </c:pt>
                <c:pt idx="301">
                  <c:v>2245.2986134720795</c:v>
                </c:pt>
                <c:pt idx="302">
                  <c:v>2248.0148051212163</c:v>
                </c:pt>
                <c:pt idx="303">
                  <c:v>2250.6284520415493</c:v>
                </c:pt>
                <c:pt idx="304">
                  <c:v>2253.1398437557777</c:v>
                </c:pt>
                <c:pt idx="305">
                  <c:v>2255.5492581851718</c:v>
                </c:pt>
                <c:pt idx="306">
                  <c:v>2257.856961827747</c:v>
                </c:pt>
                <c:pt idx="307">
                  <c:v>2260.063209935754</c:v>
                </c:pt>
                <c:pt idx="308">
                  <c:v>2262.1682466936386</c:v>
                </c:pt>
                <c:pt idx="309">
                  <c:v>2264.1723053977998</c:v>
                </c:pt>
                <c:pt idx="310">
                  <c:v>2266.0756086396891</c:v>
                </c:pt>
                <c:pt idx="311">
                  <c:v>2267.8783684940418</c:v>
                </c:pt>
                <c:pt idx="312">
                  <c:v>2269.580786714329</c:v>
                </c:pt>
                <c:pt idx="313">
                  <c:v>2271.183054937856</c:v>
                </c:pt>
                <c:pt idx="314">
                  <c:v>2272.6853549033249</c:v>
                </c:pt>
                <c:pt idx="315">
                  <c:v>2274.0878586841172</c:v>
                </c:pt>
                <c:pt idx="316">
                  <c:v>2275.390728941039</c:v>
                </c:pt>
                <c:pt idx="317">
                  <c:v>2276.5941191987786</c:v>
                </c:pt>
                <c:pt idx="318">
                  <c:v>2277.6981741508475</c:v>
                </c:pt>
                <c:pt idx="319">
                  <c:v>2278.7030299982544</c:v>
                </c:pt>
                <c:pt idx="320">
                  <c:v>2279.6088148275594</c:v>
                </c:pt>
                <c:pt idx="321">
                  <c:v>2280.4156490341652</c:v>
                </c:pt>
                <c:pt idx="322">
                  <c:v>2281.1236457966493</c:v>
                </c:pt>
                <c:pt idx="323">
                  <c:v>2281.7329116074857</c:v>
                </c:pt>
                <c:pt idx="324">
                  <c:v>2282.2435468645308</c:v>
                </c:pt>
                <c:pt idx="325">
                  <c:v>2282.6556465260455</c:v>
                </c:pt>
                <c:pt idx="326">
                  <c:v>2282.9693008297431</c:v>
                </c:pt>
                <c:pt idx="327">
                  <c:v>2283.1845960734186</c:v>
                </c:pt>
                <c:pt idx="328">
                  <c:v>2283.3016154512825</c:v>
                </c:pt>
                <c:pt idx="329">
                  <c:v>2283.3204399364904</c:v>
                </c:pt>
                <c:pt idx="330">
                  <c:v>2283.2411491969215</c:v>
                </c:pt>
                <c:pt idx="331">
                  <c:v>2283.0638225284806</c:v>
                </c:pt>
                <c:pt idx="332">
                  <c:v>2282.7885397884984</c:v>
                </c:pt>
                <c:pt idx="333">
                  <c:v>2282.4153823114448</c:v>
                </c:pt>
                <c:pt idx="334">
                  <c:v>2281.9444337902323</c:v>
                </c:pt>
                <c:pt idx="335">
                  <c:v>2281.3757811086734</c:v>
                </c:pt>
                <c:pt idx="336">
                  <c:v>2280.7095151138346</c:v>
                </c:pt>
                <c:pt idx="337">
                  <c:v>2279.9457313206358</c:v>
                </c:pt>
                <c:pt idx="338">
                  <c:v>2279.084530544631</c:v>
                </c:pt>
                <c:pt idx="339">
                  <c:v>2278.1260194621332</c:v>
                </c:pt>
                <c:pt idx="340">
                  <c:v>2277.0703110994659</c:v>
                </c:pt>
                <c:pt idx="341">
                  <c:v>2275.9175252550676</c:v>
                </c:pt>
                <c:pt idx="342">
                  <c:v>2274.6677888594472</c:v>
                </c:pt>
                <c:pt idx="343">
                  <c:v>2273.3212362786703</c:v>
                </c:pt>
                <c:pt idx="344">
                  <c:v>2271.8780095672873</c:v>
                </c:pt>
                <c:pt idx="345">
                  <c:v>2270.338258676501</c:v>
                </c:pt>
                <c:pt idx="346">
                  <c:v>2268.7021416230377</c:v>
                </c:pt>
                <c:pt idx="347">
                  <c:v>2266.9698246237276</c:v>
                </c:pt>
                <c:pt idx="348">
                  <c:v>2265.1414822002776</c:v>
                </c:pt>
                <c:pt idx="349">
                  <c:v>2263.2172972581839</c:v>
                </c:pt>
                <c:pt idx="350">
                  <c:v>2261.1974611432306</c:v>
                </c:pt>
                <c:pt idx="351">
                  <c:v>2259.0821736785319</c:v>
                </c:pt>
                <c:pt idx="352">
                  <c:v>2256.871643184671</c:v>
                </c:pt>
                <c:pt idx="353">
                  <c:v>2254.566086485097</c:v>
                </c:pt>
                <c:pt idx="354">
                  <c:v>2252.165728898628</c:v>
                </c:pt>
                <c:pt idx="355">
                  <c:v>2249.6708042206305</c:v>
                </c:pt>
                <c:pt idx="356">
                  <c:v>2247.081554694199</c:v>
                </c:pt>
                <c:pt idx="357">
                  <c:v>2244.3982309724734</c:v>
                </c:pt>
                <c:pt idx="358">
                  <c:v>2241.6210920730496</c:v>
                </c:pt>
                <c:pt idx="359">
                  <c:v>2238.7504053253087</c:v>
                </c:pt>
                <c:pt idx="360">
                  <c:v>2235.7864463113642</c:v>
                </c:pt>
                <c:pt idx="361">
                  <c:v>2232.7294988012286</c:v>
                </c:pt>
                <c:pt idx="362">
                  <c:v>2229.5798546827214</c:v>
                </c:pt>
                <c:pt idx="363">
                  <c:v>2226.3378138865673</c:v>
                </c:pt>
                <c:pt idx="364">
                  <c:v>2223.003684307077</c:v>
                </c:pt>
                <c:pt idx="365">
                  <c:v>2219.5777817187527</c:v>
                </c:pt>
                <c:pt idx="366">
                  <c:v>2216.0604296891224</c:v>
                </c:pt>
                <c:pt idx="367">
                  <c:v>2212.4519594880717</c:v>
                </c:pt>
                <c:pt idx="368">
                  <c:v>2208.7527099939125</c:v>
                </c:pt>
                <c:pt idx="369">
                  <c:v>2204.9630275964028</c:v>
                </c:pt>
                <c:pt idx="370">
                  <c:v>2201.0832660969149</c:v>
                </c:pt>
                <c:pt idx="371">
                  <c:v>2197.1137866059294</c:v>
                </c:pt>
                <c:pt idx="372">
                  <c:v>2193.054957438017</c:v>
                </c:pt>
                <c:pt idx="373">
                  <c:v>2188.907154004462</c:v>
                </c:pt>
                <c:pt idx="374">
                  <c:v>2184.6707587036653</c:v>
                </c:pt>
                <c:pt idx="375">
                  <c:v>2180.3461608094613</c:v>
                </c:pt>
                <c:pt idx="376">
                  <c:v>2175.9337563574682</c:v>
                </c:pt>
                <c:pt idx="377">
                  <c:v>2171.4339480295962</c:v>
                </c:pt>
                <c:pt idx="378">
                  <c:v>2166.847145036817</c:v>
                </c:pt>
                <c:pt idx="379">
                  <c:v>2162.173763000309</c:v>
                </c:pt>
                <c:pt idx="380">
                  <c:v>2157.4142238310751</c:v>
                </c:pt>
                <c:pt idx="381">
                  <c:v>2152.5689556081361</c:v>
                </c:pt>
                <c:pt idx="382">
                  <c:v>2147.6383924553911</c:v>
                </c:pt>
                <c:pt idx="383">
                  <c:v>2142.6229744172433</c:v>
                </c:pt>
                <c:pt idx="384">
                  <c:v>2137.5231473330741</c:v>
                </c:pt>
                <c:pt idx="385">
                  <c:v>2132.3393627106616</c:v>
                </c:pt>
                <c:pt idx="386">
                  <c:v>2127.0720775986201</c:v>
                </c:pt>
                <c:pt idx="387">
                  <c:v>2121.7217544579544</c:v>
                </c:pt>
                <c:pt idx="388">
                  <c:v>2116.2888610328005</c:v>
                </c:pt>
                <c:pt idx="389">
                  <c:v>2110.7738702204433</c:v>
                </c:pt>
                <c:pt idx="390">
                  <c:v>2105.1772599406827</c:v>
                </c:pt>
                <c:pt idx="391">
                  <c:v>2099.4995130046282</c:v>
                </c:pt>
                <c:pt idx="392">
                  <c:v>2093.7411169829998</c:v>
                </c:pt>
                <c:pt idx="393">
                  <c:v>2087.9025640740069</c:v>
                </c:pt>
                <c:pt idx="394">
                  <c:v>2081.9843509708812</c:v>
                </c:pt>
                <c:pt idx="395">
                  <c:v>2075.9869787291336</c:v>
                </c:pt>
                <c:pt idx="396">
                  <c:v>2069.9109526336083</c:v>
                </c:pt>
                <c:pt idx="397">
                  <c:v>2063.7567820654026</c:v>
                </c:pt>
                <c:pt idx="398">
                  <c:v>2057.5249803687207</c:v>
                </c:pt>
                <c:pt idx="399">
                  <c:v>2051.2160647177293</c:v>
                </c:pt>
                <c:pt idx="400">
                  <c:v>2044.830555983481</c:v>
                </c:pt>
                <c:pt idx="401">
                  <c:v>2038.3689786009711</c:v>
                </c:pt>
                <c:pt idx="402">
                  <c:v>2031.8318604363899</c:v>
                </c:pt>
                <c:pt idx="403">
                  <c:v>2025.2197326546345</c:v>
                </c:pt>
                <c:pt idx="404">
                  <c:v>2018.5331295871401</c:v>
                </c:pt>
                <c:pt idx="405">
                  <c:v>2011.7725886000919</c:v>
                </c:pt>
                <c:pt idx="406">
                  <c:v>2004.938649963075</c:v>
                </c:pt>
                <c:pt idx="407">
                  <c:v>1998.0318567182203</c:v>
                </c:pt>
                <c:pt idx="408">
                  <c:v>1991.0527545499037</c:v>
                </c:pt>
                <c:pt idx="409">
                  <c:v>1984.0018916550507</c:v>
                </c:pt>
                <c:pt idx="410">
                  <c:v>1976.8798186141025</c:v>
                </c:pt>
                <c:pt idx="411">
                  <c:v>1969.6870882626949</c:v>
                </c:pt>
                <c:pt idx="412">
                  <c:v>1962.4242555640994</c:v>
                </c:pt>
                <c:pt idx="413">
                  <c:v>1955.0918774824788</c:v>
                </c:pt>
                <c:pt idx="414">
                  <c:v>1947.6905128570031</c:v>
                </c:pt>
                <c:pt idx="415">
                  <c:v>1940.2207222768729</c:v>
                </c:pt>
                <c:pt idx="416">
                  <c:v>1932.6830679572975</c:v>
                </c:pt>
                <c:pt idx="417">
                  <c:v>1925.0781136164678</c:v>
                </c:pt>
                <c:pt idx="418">
                  <c:v>1917.4064243535722</c:v>
                </c:pt>
                <c:pt idx="419">
                  <c:v>1909.6685665278908</c:v>
                </c:pt>
                <c:pt idx="420">
                  <c:v>1901.865107639012</c:v>
                </c:pt>
                <c:pt idx="421">
                  <c:v>1893.9966162082085</c:v>
                </c:pt>
                <c:pt idx="422">
                  <c:v>1886.0636616610084</c:v>
                </c:pt>
                <c:pt idx="423">
                  <c:v>1878.0668142109998</c:v>
                </c:pt>
                <c:pt idx="424">
                  <c:v>1870.006644744901</c:v>
                </c:pt>
                <c:pt idx="425">
                  <c:v>1861.8837247089291</c:v>
                </c:pt>
                <c:pt idx="426">
                  <c:v>1853.6986259965004</c:v>
                </c:pt>
                <c:pt idx="427">
                  <c:v>1845.4519208372892</c:v>
                </c:pt>
                <c:pt idx="428">
                  <c:v>1837.1441816876786</c:v>
                </c:pt>
                <c:pt idx="429">
                  <c:v>1828.7759811226244</c:v>
                </c:pt>
                <c:pt idx="430">
                  <c:v>1820.3478917289642</c:v>
                </c:pt>
                <c:pt idx="431">
                  <c:v>1811.8604860001906</c:v>
                </c:pt>
                <c:pt idx="432">
                  <c:v>1803.3143362327164</c:v>
                </c:pt>
                <c:pt idx="433">
                  <c:v>1794.7100144236508</c:v>
                </c:pt>
                <c:pt idx="434">
                  <c:v>1786.0480921701073</c:v>
                </c:pt>
                <c:pt idx="435">
                  <c:v>1777.3291405700636</c:v>
                </c:pt>
                <c:pt idx="436">
                  <c:v>1768.5537301247903</c:v>
                </c:pt>
                <c:pt idx="437">
                  <c:v>1759.7224306428659</c:v>
                </c:pt>
                <c:pt idx="438">
                  <c:v>1750.8358111457926</c:v>
                </c:pt>
                <c:pt idx="439">
                  <c:v>1741.8944397752271</c:v>
                </c:pt>
                <c:pt idx="440">
                  <c:v>1732.8988837018392</c:v>
                </c:pt>
                <c:pt idx="441">
                  <c:v>1723.8497090358105</c:v>
                </c:pt>
                <c:pt idx="442">
                  <c:v>1714.7474807389824</c:v>
                </c:pt>
                <c:pt idx="443">
                  <c:v>1705.5927625386626</c:v>
                </c:pt>
                <c:pt idx="444">
                  <c:v>1696.3861168430997</c:v>
                </c:pt>
                <c:pt idx="445">
                  <c:v>1687.1281046586307</c:v>
                </c:pt>
                <c:pt idx="446">
                  <c:v>1677.8192855085083</c:v>
                </c:pt>
                <c:pt idx="447">
                  <c:v>1668.4602173534126</c:v>
                </c:pt>
                <c:pt idx="448">
                  <c:v>1659.0514565136505</c:v>
                </c:pt>
                <c:pt idx="449">
                  <c:v>1649.5935575930444</c:v>
                </c:pt>
                <c:pt idx="450">
                  <c:v>1640.0870734045138</c:v>
                </c:pt>
                <c:pt idx="451">
                  <c:v>1630.5325548973485</c:v>
                </c:pt>
                <c:pt idx="452">
                  <c:v>1620.9305510861725</c:v>
                </c:pt>
                <c:pt idx="453">
                  <c:v>1611.2816089815992</c:v>
                </c:pt>
                <c:pt idx="454">
                  <c:v>1601.586273522573</c:v>
                </c:pt>
                <c:pt idx="455">
                  <c:v>1591.8450875103958</c:v>
                </c:pt>
                <c:pt idx="456">
                  <c:v>1582.0585915444328</c:v>
                </c:pt>
                <c:pt idx="457">
                  <c:v>1572.2273239594931</c:v>
                </c:pt>
                <c:pt idx="458">
                  <c:v>1562.3518207648794</c:v>
                </c:pt>
                <c:pt idx="459">
                  <c:v>1552.4326155850997</c:v>
                </c:pt>
                <c:pt idx="460">
                  <c:v>1542.4702396022319</c:v>
                </c:pt>
                <c:pt idx="461">
                  <c:v>1532.4652214999371</c:v>
                </c:pt>
                <c:pt idx="462">
                  <c:v>1522.4180874091071</c:v>
                </c:pt>
                <c:pt idx="463">
                  <c:v>1512.3293608551403</c:v>
                </c:pt>
                <c:pt idx="464">
                  <c:v>1502.1995627068345</c:v>
                </c:pt>
                <c:pt idx="465">
                  <c:v>1492.0292111268845</c:v>
                </c:pt>
                <c:pt idx="466">
                  <c:v>1481.8188215239732</c:v>
                </c:pt>
                <c:pt idx="467">
                  <c:v>1471.5689065064444</c:v>
                </c:pt>
                <c:pt idx="468">
                  <c:v>1461.2799758375434</c:v>
                </c:pt>
                <c:pt idx="469">
                  <c:v>1450.9525363922128</c:v>
                </c:pt>
                <c:pt idx="470">
                  <c:v>1440.5870921154285</c:v>
                </c:pt>
                <c:pt idx="471">
                  <c:v>1430.184143982061</c:v>
                </c:pt>
                <c:pt idx="472">
                  <c:v>1419.7441899582482</c:v>
                </c:pt>
                <c:pt idx="473">
                  <c:v>1409.2677249642634</c:v>
                </c:pt>
                <c:pt idx="474">
                  <c:v>1398.7552408388624</c:v>
                </c:pt>
                <c:pt idx="475">
                  <c:v>1388.2072263050927</c:v>
                </c:pt>
                <c:pt idx="476">
                  <c:v>1377.6241669375488</c:v>
                </c:pt>
                <c:pt idx="477">
                  <c:v>1367.0065451310563</c:v>
                </c:pt>
                <c:pt idx="478">
                  <c:v>1356.3548400707675</c:v>
                </c:pt>
                <c:pt idx="479">
                  <c:v>1345.6695277036486</c:v>
                </c:pt>
                <c:pt idx="480">
                  <c:v>1334.9510807113427</c:v>
                </c:pt>
                <c:pt idx="481">
                  <c:v>1324.1999684843897</c:v>
                </c:pt>
                <c:pt idx="482">
                  <c:v>1313.4166570977823</c:v>
                </c:pt>
                <c:pt idx="483">
                  <c:v>1302.601609287841</c:v>
                </c:pt>
                <c:pt idx="484">
                  <c:v>1291.7552844303893</c:v>
                </c:pt>
                <c:pt idx="485">
                  <c:v>1280.8781385202074</c:v>
                </c:pt>
                <c:pt idx="486">
                  <c:v>1269.9706241517456</c:v>
                </c:pt>
                <c:pt idx="487">
                  <c:v>1259.0331905010801</c:v>
                </c:pt>
                <c:pt idx="488">
                  <c:v>1248.0662833090857</c:v>
                </c:pt>
                <c:pt idx="489">
                  <c:v>1237.0703448658123</c:v>
                </c:pt>
                <c:pt idx="490">
                  <c:v>1226.0458139960376</c:v>
                </c:pt>
                <c:pt idx="491">
                  <c:v>1214.9931260459819</c:v>
                </c:pt>
                <c:pt idx="492">
                  <c:v>1203.9127128711602</c:v>
                </c:pt>
                <c:pt idx="493">
                  <c:v>1192.8050028253547</c:v>
                </c:pt>
                <c:pt idx="494">
                  <c:v>1181.670420750683</c:v>
                </c:pt>
                <c:pt idx="495">
                  <c:v>1170.5093879687452</c:v>
                </c:pt>
                <c:pt idx="496">
                  <c:v>1159.322322272827</c:v>
                </c:pt>
                <c:pt idx="497">
                  <c:v>1148.1096379211397</c:v>
                </c:pt>
                <c:pt idx="498">
                  <c:v>1136.8717456310744</c:v>
                </c:pt>
                <c:pt idx="499">
                  <c:v>1125.6090525744523</c:v>
                </c:pt>
                <c:pt idx="500">
                  <c:v>1114.3219623737484</c:v>
                </c:pt>
                <c:pt idx="501">
                  <c:v>1103.0108750992697</c:v>
                </c:pt>
                <c:pt idx="502">
                  <c:v>1091.6761872672655</c:v>
                </c:pt>
                <c:pt idx="503">
                  <c:v>1080.3182918389521</c:v>
                </c:pt>
                <c:pt idx="504">
                  <c:v>1068.937578220429</c:v>
                </c:pt>
                <c:pt idx="505">
                  <c:v>1057.5344322634674</c:v>
                </c:pt>
                <c:pt idx="506">
                  <c:v>1046.1092362671509</c:v>
                </c:pt>
                <c:pt idx="507">
                  <c:v>1034.6623689803489</c:v>
                </c:pt>
                <c:pt idx="508">
                  <c:v>1023.1942056050018</c:v>
                </c:pt>
                <c:pt idx="509">
                  <c:v>1011.7051178001979</c:v>
                </c:pt>
                <c:pt idx="510">
                  <c:v>1000.195473687024</c:v>
                </c:pt>
                <c:pt idx="511">
                  <c:v>988.66563785416929</c:v>
                </c:pt>
                <c:pt idx="512">
                  <c:v>977.11597136426224</c:v>
                </c:pt>
                <c:pt idx="513">
                  <c:v>965.54683176092294</c:v>
                </c:pt>
                <c:pt idx="514">
                  <c:v>953.95857307651113</c:v>
                </c:pt>
                <c:pt idx="515">
                  <c:v>942.35154584055056</c:v>
                </c:pt>
                <c:pt idx="516">
                  <c:v>930.72609708881191</c:v>
                </c:pt>
                <c:pt idx="517">
                  <c:v>919.08257037303554</c:v>
                </c:pt>
                <c:pt idx="518">
                  <c:v>907.42130577127512</c:v>
                </c:pt>
                <c:pt idx="519">
                  <c:v>895.74263989884491</c:v>
                </c:pt>
                <c:pt idx="520">
                  <c:v>884.04690591985286</c:v>
                </c:pt>
                <c:pt idx="521">
                  <c:v>872.33443355930046</c:v>
                </c:pt>
                <c:pt idx="522">
                  <c:v>860.60554911573399</c:v>
                </c:pt>
                <c:pt idx="523">
                  <c:v>848.86057547442806</c:v>
                </c:pt>
                <c:pt idx="524">
                  <c:v>837.09983212108546</c:v>
                </c:pt>
                <c:pt idx="525">
                  <c:v>825.32363515603629</c:v>
                </c:pt>
                <c:pt idx="526">
                  <c:v>813.53229730891974</c:v>
                </c:pt>
                <c:pt idx="527">
                  <c:v>801.72612795383168</c:v>
                </c:pt>
                <c:pt idx="528">
                  <c:v>789.90543312492321</c:v>
                </c:pt>
                <c:pt idx="529">
                  <c:v>778.07051553243309</c:v>
                </c:pt>
                <c:pt idx="530">
                  <c:v>766.22167457913895</c:v>
                </c:pt>
                <c:pt idx="531">
                  <c:v>754.35920637721131</c:v>
                </c:pt>
                <c:pt idx="532">
                  <c:v>742.48340376545673</c:v>
                </c:pt>
                <c:pt idx="533">
                  <c:v>730.59455632693323</c:v>
                </c:pt>
                <c:pt idx="534">
                  <c:v>718.6929504069243</c:v>
                </c:pt>
                <c:pt idx="535">
                  <c:v>706.77886913125781</c:v>
                </c:pt>
                <c:pt idx="536">
                  <c:v>694.85259242495363</c:v>
                </c:pt>
                <c:pt idx="537">
                  <c:v>682.91439703118829</c:v>
                </c:pt>
                <c:pt idx="538">
                  <c:v>670.96455653056114</c:v>
                </c:pt>
                <c:pt idx="539">
                  <c:v>659.00334136064998</c:v>
                </c:pt>
                <c:pt idx="540">
                  <c:v>647.03101883584156</c:v>
                </c:pt>
                <c:pt idx="541">
                  <c:v>635.04785316742539</c:v>
                </c:pt>
                <c:pt idx="542">
                  <c:v>623.05410548393729</c:v>
                </c:pt>
                <c:pt idx="543">
                  <c:v>611.05003385174018</c:v>
                </c:pt>
                <c:pt idx="544">
                  <c:v>599.03589329583076</c:v>
                </c:pt>
                <c:pt idx="545">
                  <c:v>587.01193582085853</c:v>
                </c:pt>
                <c:pt idx="546">
                  <c:v>574.97841043234757</c:v>
                </c:pt>
                <c:pt idx="547">
                  <c:v>562.93556315810713</c:v>
                </c:pt>
                <c:pt idx="548">
                  <c:v>550.88363706982216</c:v>
                </c:pt>
                <c:pt idx="549">
                  <c:v>538.82287230481074</c:v>
                </c:pt>
                <c:pt idx="550">
                  <c:v>526.75350608793906</c:v>
                </c:pt>
                <c:pt idx="551">
                  <c:v>514.67577275368285</c:v>
                </c:pt>
                <c:pt idx="552">
                  <c:v>502.58990376832469</c:v>
                </c:pt>
                <c:pt idx="553">
                  <c:v>490.49612775227769</c:v>
                </c:pt>
                <c:pt idx="554">
                  <c:v>478.39467050252534</c:v>
                </c:pt>
                <c:pt idx="555">
                  <c:v>466.28575501516804</c:v>
                </c:pt>
                <c:pt idx="556">
                  <c:v>454.16960150806671</c:v>
                </c:pt>
                <c:pt idx="557">
                  <c:v>442.04642744357477</c:v>
                </c:pt>
                <c:pt idx="558">
                  <c:v>429.91644755134899</c:v>
                </c:pt>
                <c:pt idx="559">
                  <c:v>417.779873851231</c:v>
                </c:pt>
                <c:pt idx="560">
                  <c:v>405.63691567619048</c:v>
                </c:pt>
                <c:pt idx="561">
                  <c:v>393.4877796953221</c:v>
                </c:pt>
                <c:pt idx="562">
                  <c:v>381.33266993688812</c:v>
                </c:pt>
                <c:pt idx="563">
                  <c:v>369.17178781139825</c:v>
                </c:pt>
                <c:pt idx="564">
                  <c:v>357.00533213472005</c:v>
                </c:pt>
                <c:pt idx="565">
                  <c:v>344.83349915121153</c:v>
                </c:pt>
                <c:pt idx="566">
                  <c:v>332.65648255686909</c:v>
                </c:pt>
                <c:pt idx="567">
                  <c:v>320.47447352248378</c:v>
                </c:pt>
                <c:pt idx="568">
                  <c:v>308.28766071679888</c:v>
                </c:pt>
                <c:pt idx="569">
                  <c:v>296.09623032966226</c:v>
                </c:pt>
                <c:pt idx="570">
                  <c:v>283.90036609516687</c:v>
                </c:pt>
                <c:pt idx="571">
                  <c:v>271.70024931477332</c:v>
                </c:pt>
                <c:pt idx="572">
                  <c:v>259.49605888040804</c:v>
                </c:pt>
                <c:pt idx="573">
                  <c:v>247.28797129753173</c:v>
                </c:pt>
                <c:pt idx="574">
                  <c:v>235.07616070817167</c:v>
                </c:pt>
                <c:pt idx="575">
                  <c:v>222.86079891391287</c:v>
                </c:pt>
                <c:pt idx="576">
                  <c:v>210.64205539884233</c:v>
                </c:pt>
                <c:pt idx="577">
                  <c:v>198.42009735244136</c:v>
                </c:pt>
                <c:pt idx="578">
                  <c:v>186.19508969242079</c:v>
                </c:pt>
                <c:pt idx="579">
                  <c:v>173.96719508749439</c:v>
                </c:pt>
                <c:pt idx="580">
                  <c:v>161.73657398008547</c:v>
                </c:pt>
                <c:pt idx="581">
                  <c:v>149.50338460896245</c:v>
                </c:pt>
                <c:pt idx="582">
                  <c:v>137.26778303179861</c:v>
                </c:pt>
                <c:pt idx="583">
                  <c:v>125.02992314765213</c:v>
                </c:pt>
                <c:pt idx="584">
                  <c:v>112.78995671936202</c:v>
                </c:pt>
                <c:pt idx="585">
                  <c:v>100.54803339585624</c:v>
                </c:pt>
                <c:pt idx="586">
                  <c:v>88.304300734367885</c:v>
                </c:pt>
                <c:pt idx="587">
                  <c:v>76.05890422255618</c:v>
                </c:pt>
                <c:pt idx="588">
                  <c:v>63.811987300528294</c:v>
                </c:pt>
                <c:pt idx="589">
                  <c:v>51.563691382758996</c:v>
                </c:pt>
                <c:pt idx="590">
                  <c:v>39.314155879904597</c:v>
                </c:pt>
                <c:pt idx="591">
                  <c:v>27.06351822050819</c:v>
                </c:pt>
                <c:pt idx="592">
                  <c:v>14.811913872593156</c:v>
                </c:pt>
                <c:pt idx="593">
                  <c:v>2.5594763651420589</c:v>
                </c:pt>
                <c:pt idx="594">
                  <c:v>-9.6936626905418191</c:v>
                </c:pt>
                <c:pt idx="595">
                  <c:v>-9.7059161479608953</c:v>
                </c:pt>
                <c:pt idx="596">
                  <c:v>-9.7181696058873559</c:v>
                </c:pt>
                <c:pt idx="597">
                  <c:v>-9.730423064321073</c:v>
                </c:pt>
                <c:pt idx="598">
                  <c:v>-9.7426765232619204</c:v>
                </c:pt>
                <c:pt idx="599">
                  <c:v>-9.754929982709772</c:v>
                </c:pt>
                <c:pt idx="600">
                  <c:v>-9.7671834426644999</c:v>
                </c:pt>
                <c:pt idx="601">
                  <c:v>-9.779436903125978</c:v>
                </c:pt>
                <c:pt idx="602">
                  <c:v>-9.7916903640940802</c:v>
                </c:pt>
                <c:pt idx="603">
                  <c:v>-9.8039438255686786</c:v>
                </c:pt>
                <c:pt idx="604">
                  <c:v>-9.8161972875496453</c:v>
                </c:pt>
                <c:pt idx="605">
                  <c:v>-9.8284507500368559</c:v>
                </c:pt>
                <c:pt idx="606">
                  <c:v>-9.8407042130301825</c:v>
                </c:pt>
                <c:pt idx="607">
                  <c:v>-9.8529576765294973</c:v>
                </c:pt>
                <c:pt idx="608">
                  <c:v>-9.8652111405346741</c:v>
                </c:pt>
                <c:pt idx="609">
                  <c:v>-9.8774646050455868</c:v>
                </c:pt>
                <c:pt idx="610">
                  <c:v>-9.8897180700621075</c:v>
                </c:pt>
                <c:pt idx="611">
                  <c:v>-9.90197153558411</c:v>
                </c:pt>
                <c:pt idx="612">
                  <c:v>-9.9142250016114684</c:v>
                </c:pt>
                <c:pt idx="613">
                  <c:v>-9.9264784681440545</c:v>
                </c:pt>
                <c:pt idx="614">
                  <c:v>-9.9387319351817425</c:v>
                </c:pt>
                <c:pt idx="615">
                  <c:v>-9.950985402724406</c:v>
                </c:pt>
                <c:pt idx="616">
                  <c:v>-9.9632388707719173</c:v>
                </c:pt>
                <c:pt idx="617">
                  <c:v>-9.9754923393241501</c:v>
                </c:pt>
                <c:pt idx="618">
                  <c:v>-9.9877458083809767</c:v>
                </c:pt>
                <c:pt idx="619">
                  <c:v>-9.9999992779422708</c:v>
                </c:pt>
                <c:pt idx="620">
                  <c:v>-10.012252748007906</c:v>
                </c:pt>
                <c:pt idx="621">
                  <c:v>-10.024506218577756</c:v>
                </c:pt>
                <c:pt idx="622">
                  <c:v>-10.036759689651692</c:v>
                </c:pt>
                <c:pt idx="623">
                  <c:v>-10.04901316122959</c:v>
                </c:pt>
                <c:pt idx="624">
                  <c:v>-10.061266633311321</c:v>
                </c:pt>
                <c:pt idx="625">
                  <c:v>-10.07352010589676</c:v>
                </c:pt>
                <c:pt idx="626">
                  <c:v>-10.085773578985778</c:v>
                </c:pt>
                <c:pt idx="627">
                  <c:v>-10.098027052578249</c:v>
                </c:pt>
                <c:pt idx="628">
                  <c:v>-10.110280526674048</c:v>
                </c:pt>
                <c:pt idx="629">
                  <c:v>-10.122534001273046</c:v>
                </c:pt>
                <c:pt idx="630">
                  <c:v>-10.134787476375116</c:v>
                </c:pt>
                <c:pt idx="631">
                  <c:v>-10.147040951980134</c:v>
                </c:pt>
                <c:pt idx="632">
                  <c:v>-10.159294428087971</c:v>
                </c:pt>
                <c:pt idx="633">
                  <c:v>-10.171547904698501</c:v>
                </c:pt>
                <c:pt idx="634">
                  <c:v>-10.183801381811598</c:v>
                </c:pt>
                <c:pt idx="635">
                  <c:v>-10.196054859427134</c:v>
                </c:pt>
                <c:pt idx="636">
                  <c:v>-10.208308337544983</c:v>
                </c:pt>
                <c:pt idx="637">
                  <c:v>-10.220561816165018</c:v>
                </c:pt>
                <c:pt idx="638">
                  <c:v>-10.232815295287113</c:v>
                </c:pt>
                <c:pt idx="639">
                  <c:v>-10.24506877491114</c:v>
                </c:pt>
                <c:pt idx="640">
                  <c:v>-10.257322255036971</c:v>
                </c:pt>
                <c:pt idx="641">
                  <c:v>-10.269575735664482</c:v>
                </c:pt>
                <c:pt idx="642">
                  <c:v>-10.281829216793545</c:v>
                </c:pt>
                <c:pt idx="643">
                  <c:v>-10.294082698424035</c:v>
                </c:pt>
                <c:pt idx="644">
                  <c:v>-10.306336180555823</c:v>
                </c:pt>
                <c:pt idx="645">
                  <c:v>-10.318589663188783</c:v>
                </c:pt>
                <c:pt idx="646">
                  <c:v>-10.330843146322788</c:v>
                </c:pt>
                <c:pt idx="647">
                  <c:v>-10.343096629957712</c:v>
                </c:pt>
                <c:pt idx="648">
                  <c:v>-10.355350114093428</c:v>
                </c:pt>
                <c:pt idx="649">
                  <c:v>-10.367603598729808</c:v>
                </c:pt>
                <c:pt idx="650">
                  <c:v>-10.379857083866726</c:v>
                </c:pt>
                <c:pt idx="651">
                  <c:v>-10.392110569504057</c:v>
                </c:pt>
                <c:pt idx="652">
                  <c:v>-10.404364055641674</c:v>
                </c:pt>
                <c:pt idx="653">
                  <c:v>-10.416617542279448</c:v>
                </c:pt>
                <c:pt idx="654">
                  <c:v>-10.428871029417254</c:v>
                </c:pt>
                <c:pt idx="655">
                  <c:v>-10.441124517054964</c:v>
                </c:pt>
                <c:pt idx="656">
                  <c:v>-10.453378005192453</c:v>
                </c:pt>
                <c:pt idx="657">
                  <c:v>-10.465631493829594</c:v>
                </c:pt>
                <c:pt idx="658">
                  <c:v>-10.477884982966259</c:v>
                </c:pt>
                <c:pt idx="659">
                  <c:v>-10.490138472602322</c:v>
                </c:pt>
                <c:pt idx="660">
                  <c:v>-10.502391962737656</c:v>
                </c:pt>
                <c:pt idx="661">
                  <c:v>-10.514645453372134</c:v>
                </c:pt>
                <c:pt idx="662">
                  <c:v>-10.526898944505632</c:v>
                </c:pt>
                <c:pt idx="663">
                  <c:v>-10.53915243613802</c:v>
                </c:pt>
                <c:pt idx="664">
                  <c:v>-10.551405928269173</c:v>
                </c:pt>
                <c:pt idx="665">
                  <c:v>-10.563659420898963</c:v>
                </c:pt>
                <c:pt idx="666">
                  <c:v>-10.575912914027265</c:v>
                </c:pt>
                <c:pt idx="667">
                  <c:v>-10.588166407653951</c:v>
                </c:pt>
                <c:pt idx="668">
                  <c:v>-10.600419901778896</c:v>
                </c:pt>
                <c:pt idx="669">
                  <c:v>-10.61267339640197</c:v>
                </c:pt>
                <c:pt idx="670">
                  <c:v>-10.624926891523049</c:v>
                </c:pt>
                <c:pt idx="671">
                  <c:v>-10.637180387142006</c:v>
                </c:pt>
                <c:pt idx="672">
                  <c:v>-10.649433883258714</c:v>
                </c:pt>
                <c:pt idx="673">
                  <c:v>-10.661687379873047</c:v>
                </c:pt>
                <c:pt idx="674">
                  <c:v>-10.673940876984878</c:v>
                </c:pt>
                <c:pt idx="675">
                  <c:v>-10.686194374594079</c:v>
                </c:pt>
                <c:pt idx="676">
                  <c:v>-10.698447872700525</c:v>
                </c:pt>
                <c:pt idx="677">
                  <c:v>-10.710701371304088</c:v>
                </c:pt>
                <c:pt idx="678">
                  <c:v>-10.722954870404642</c:v>
                </c:pt>
                <c:pt idx="679">
                  <c:v>-10.735208370002061</c:v>
                </c:pt>
                <c:pt idx="680">
                  <c:v>-10.747461870096217</c:v>
                </c:pt>
                <c:pt idx="681">
                  <c:v>-10.759715370686985</c:v>
                </c:pt>
                <c:pt idx="682">
                  <c:v>-10.771968871774236</c:v>
                </c:pt>
                <c:pt idx="683">
                  <c:v>-10.784222373357846</c:v>
                </c:pt>
                <c:pt idx="684">
                  <c:v>-10.796475875437686</c:v>
                </c:pt>
                <c:pt idx="685">
                  <c:v>-10.808729378013631</c:v>
                </c:pt>
                <c:pt idx="686">
                  <c:v>-10.820982881085554</c:v>
                </c:pt>
                <c:pt idx="687">
                  <c:v>-10.833236384653327</c:v>
                </c:pt>
                <c:pt idx="688">
                  <c:v>-10.845489888716825</c:v>
                </c:pt>
                <c:pt idx="689">
                  <c:v>-10.857743393275921</c:v>
                </c:pt>
                <c:pt idx="690">
                  <c:v>-10.869996898330488</c:v>
                </c:pt>
                <c:pt idx="691">
                  <c:v>-10.882250403880398</c:v>
                </c:pt>
                <c:pt idx="692">
                  <c:v>-10.894503909925527</c:v>
                </c:pt>
                <c:pt idx="693">
                  <c:v>-10.906757416465748</c:v>
                </c:pt>
                <c:pt idx="694">
                  <c:v>-10.919010923500933</c:v>
                </c:pt>
                <c:pt idx="695">
                  <c:v>-10.931264431030955</c:v>
                </c:pt>
                <c:pt idx="696">
                  <c:v>-10.94351793905569</c:v>
                </c:pt>
                <c:pt idx="697">
                  <c:v>-10.955771447575009</c:v>
                </c:pt>
                <c:pt idx="698">
                  <c:v>-10.968024956588785</c:v>
                </c:pt>
                <c:pt idx="699">
                  <c:v>-10.980278466096893</c:v>
                </c:pt>
                <c:pt idx="700">
                  <c:v>-10.992531976099206</c:v>
                </c:pt>
                <c:pt idx="701">
                  <c:v>-11.004785486595598</c:v>
                </c:pt>
                <c:pt idx="702">
                  <c:v>-11.01703899758594</c:v>
                </c:pt>
                <c:pt idx="703">
                  <c:v>-11.029292509070107</c:v>
                </c:pt>
                <c:pt idx="704">
                  <c:v>-11.041546021047973</c:v>
                </c:pt>
                <c:pt idx="705">
                  <c:v>-11.05379953351941</c:v>
                </c:pt>
                <c:pt idx="706">
                  <c:v>-11.066053046484292</c:v>
                </c:pt>
                <c:pt idx="707">
                  <c:v>-11.078306559942492</c:v>
                </c:pt>
                <c:pt idx="708">
                  <c:v>-11.090560073893885</c:v>
                </c:pt>
                <c:pt idx="709">
                  <c:v>-11.102813588338343</c:v>
                </c:pt>
                <c:pt idx="710">
                  <c:v>-11.115067103275738</c:v>
                </c:pt>
                <c:pt idx="711">
                  <c:v>-11.127320618705946</c:v>
                </c:pt>
                <c:pt idx="712">
                  <c:v>-11.139574134628839</c:v>
                </c:pt>
                <c:pt idx="713">
                  <c:v>-11.151827651044291</c:v>
                </c:pt>
                <c:pt idx="714">
                  <c:v>-11.164081167952176</c:v>
                </c:pt>
                <c:pt idx="715">
                  <c:v>-11.176334685352366</c:v>
                </c:pt>
                <c:pt idx="716">
                  <c:v>-11.188588203244734</c:v>
                </c:pt>
                <c:pt idx="717">
                  <c:v>-11.200841721629155</c:v>
                </c:pt>
                <c:pt idx="718">
                  <c:v>-11.213095240505501</c:v>
                </c:pt>
                <c:pt idx="719">
                  <c:v>-11.225348759873647</c:v>
                </c:pt>
                <c:pt idx="720">
                  <c:v>-11.237602279733466</c:v>
                </c:pt>
                <c:pt idx="721">
                  <c:v>-11.249855800084831</c:v>
                </c:pt>
                <c:pt idx="722">
                  <c:v>-11.262109320927614</c:v>
                </c:pt>
                <c:pt idx="723">
                  <c:v>-11.27436284226169</c:v>
                </c:pt>
                <c:pt idx="724">
                  <c:v>-11.286616364086932</c:v>
                </c:pt>
                <c:pt idx="725">
                  <c:v>-11.298869886403214</c:v>
                </c:pt>
                <c:pt idx="726">
                  <c:v>-11.31112340921041</c:v>
                </c:pt>
                <c:pt idx="727">
                  <c:v>-11.323376932508392</c:v>
                </c:pt>
                <c:pt idx="728">
                  <c:v>-11.335630456297034</c:v>
                </c:pt>
                <c:pt idx="729">
                  <c:v>-11.347883980576208</c:v>
                </c:pt>
                <c:pt idx="730">
                  <c:v>-11.36013750534579</c:v>
                </c:pt>
                <c:pt idx="731">
                  <c:v>-11.372391030605652</c:v>
                </c:pt>
                <c:pt idx="732">
                  <c:v>-11.384644556355667</c:v>
                </c:pt>
                <c:pt idx="733">
                  <c:v>-11.39689808259571</c:v>
                </c:pt>
                <c:pt idx="734">
                  <c:v>-11.409151609325653</c:v>
                </c:pt>
                <c:pt idx="735">
                  <c:v>-11.421405136545369</c:v>
                </c:pt>
                <c:pt idx="736">
                  <c:v>-11.433658664254732</c:v>
                </c:pt>
                <c:pt idx="737">
                  <c:v>-11.445912192453617</c:v>
                </c:pt>
                <c:pt idx="738">
                  <c:v>-11.458165721141896</c:v>
                </c:pt>
                <c:pt idx="739">
                  <c:v>-11.470419250319443</c:v>
                </c:pt>
                <c:pt idx="740">
                  <c:v>-11.48267277998613</c:v>
                </c:pt>
                <c:pt idx="741">
                  <c:v>-11.494926310141832</c:v>
                </c:pt>
                <c:pt idx="742">
                  <c:v>-11.507179840786423</c:v>
                </c:pt>
                <c:pt idx="743">
                  <c:v>-11.519433371919774</c:v>
                </c:pt>
                <c:pt idx="744">
                  <c:v>-11.531686903541761</c:v>
                </c:pt>
                <c:pt idx="745">
                  <c:v>-11.543940435652257</c:v>
                </c:pt>
                <c:pt idx="746">
                  <c:v>-11.556193968251133</c:v>
                </c:pt>
                <c:pt idx="747">
                  <c:v>-11.568447501338264</c:v>
                </c:pt>
                <c:pt idx="748">
                  <c:v>-11.580701034913524</c:v>
                </c:pt>
                <c:pt idx="749">
                  <c:v>-11.592954568976786</c:v>
                </c:pt>
                <c:pt idx="750">
                  <c:v>-11.605208103527925</c:v>
                </c:pt>
                <c:pt idx="751">
                  <c:v>-11.617461638566812</c:v>
                </c:pt>
                <c:pt idx="752">
                  <c:v>-11.629715174093322</c:v>
                </c:pt>
                <c:pt idx="753">
                  <c:v>-11.641968710107328</c:v>
                </c:pt>
                <c:pt idx="754">
                  <c:v>-11.654222246608704</c:v>
                </c:pt>
                <c:pt idx="755">
                  <c:v>-11.666475783597322</c:v>
                </c:pt>
                <c:pt idx="756">
                  <c:v>-11.678729321073057</c:v>
                </c:pt>
                <c:pt idx="757">
                  <c:v>-11.690982859035781</c:v>
                </c:pt>
                <c:pt idx="758">
                  <c:v>-11.703236397485369</c:v>
                </c:pt>
                <c:pt idx="759">
                  <c:v>-11.715489936421694</c:v>
                </c:pt>
                <c:pt idx="760">
                  <c:v>-11.72774347584463</c:v>
                </c:pt>
                <c:pt idx="761">
                  <c:v>-11.739997015754049</c:v>
                </c:pt>
                <c:pt idx="762">
                  <c:v>-11.752250556149827</c:v>
                </c:pt>
                <c:pt idx="763">
                  <c:v>-11.764504097031834</c:v>
                </c:pt>
                <c:pt idx="764">
                  <c:v>-11.776757638399946</c:v>
                </c:pt>
                <c:pt idx="765">
                  <c:v>-11.789011180254036</c:v>
                </c:pt>
                <c:pt idx="766">
                  <c:v>-11.801264722593977</c:v>
                </c:pt>
                <c:pt idx="767">
                  <c:v>-11.813518265419644</c:v>
                </c:pt>
                <c:pt idx="768">
                  <c:v>-11.825771808730908</c:v>
                </c:pt>
                <c:pt idx="769">
                  <c:v>-11.838025352527643</c:v>
                </c:pt>
                <c:pt idx="770">
                  <c:v>-11.850278896809723</c:v>
                </c:pt>
                <c:pt idx="771">
                  <c:v>-11.862532441577022</c:v>
                </c:pt>
                <c:pt idx="772">
                  <c:v>-11.874785986829414</c:v>
                </c:pt>
                <c:pt idx="773">
                  <c:v>-11.887039532566771</c:v>
                </c:pt>
                <c:pt idx="774">
                  <c:v>-11.899293078788968</c:v>
                </c:pt>
                <c:pt idx="775">
                  <c:v>-11.911546625495879</c:v>
                </c:pt>
                <c:pt idx="776">
                  <c:v>-11.923800172687375</c:v>
                </c:pt>
                <c:pt idx="777">
                  <c:v>-11.936053720363331</c:v>
                </c:pt>
                <c:pt idx="778">
                  <c:v>-11.948307268523621</c:v>
                </c:pt>
                <c:pt idx="779">
                  <c:v>-11.960560817168117</c:v>
                </c:pt>
                <c:pt idx="780">
                  <c:v>-11.972814366296694</c:v>
                </c:pt>
                <c:pt idx="781">
                  <c:v>-11.985067915909225</c:v>
                </c:pt>
                <c:pt idx="782">
                  <c:v>-11.997321466005582</c:v>
                </c:pt>
                <c:pt idx="783">
                  <c:v>-12.009575016585641</c:v>
                </c:pt>
                <c:pt idx="784">
                  <c:v>-12.021828567649274</c:v>
                </c:pt>
                <c:pt idx="785">
                  <c:v>-12.034082119196356</c:v>
                </c:pt>
                <c:pt idx="786">
                  <c:v>-12.046335671226759</c:v>
                </c:pt>
                <c:pt idx="787">
                  <c:v>-12.058589223740356</c:v>
                </c:pt>
                <c:pt idx="788">
                  <c:v>-12.070842776737022</c:v>
                </c:pt>
                <c:pt idx="789">
                  <c:v>-12.08309633021663</c:v>
                </c:pt>
                <c:pt idx="790">
                  <c:v>-12.095349884179054</c:v>
                </c:pt>
                <c:pt idx="791">
                  <c:v>-12.107603438624167</c:v>
                </c:pt>
                <c:pt idx="792">
                  <c:v>-12.119856993551844</c:v>
                </c:pt>
                <c:pt idx="793">
                  <c:v>-12.132110548961956</c:v>
                </c:pt>
                <c:pt idx="794">
                  <c:v>-12.144364104854377</c:v>
                </c:pt>
                <c:pt idx="795">
                  <c:v>-12.156617661228982</c:v>
                </c:pt>
                <c:pt idx="796">
                  <c:v>-12.168871218085643</c:v>
                </c:pt>
                <c:pt idx="797">
                  <c:v>-12.181124775424236</c:v>
                </c:pt>
                <c:pt idx="798">
                  <c:v>-12.193378333244633</c:v>
                </c:pt>
                <c:pt idx="799">
                  <c:v>-12.205631891546707</c:v>
                </c:pt>
                <c:pt idx="800">
                  <c:v>-12.217885450330332</c:v>
                </c:pt>
                <c:pt idx="801">
                  <c:v>-12.230139009595382</c:v>
                </c:pt>
                <c:pt idx="802">
                  <c:v>-12.24239256934173</c:v>
                </c:pt>
                <c:pt idx="803">
                  <c:v>-12.254646129569251</c:v>
                </c:pt>
                <c:pt idx="804">
                  <c:v>-12.266899690277816</c:v>
                </c:pt>
                <c:pt idx="805">
                  <c:v>-12.279153251467299</c:v>
                </c:pt>
                <c:pt idx="806">
                  <c:v>-12.291406813137575</c:v>
                </c:pt>
                <c:pt idx="807">
                  <c:v>-12.303660375288517</c:v>
                </c:pt>
                <c:pt idx="808">
                  <c:v>-12.31591393792</c:v>
                </c:pt>
                <c:pt idx="809">
                  <c:v>-12.328167501031896</c:v>
                </c:pt>
                <c:pt idx="810">
                  <c:v>-12.340421064624078</c:v>
                </c:pt>
                <c:pt idx="811">
                  <c:v>-12.35267462869642</c:v>
                </c:pt>
                <c:pt idx="812">
                  <c:v>-12.364928193248796</c:v>
                </c:pt>
                <c:pt idx="813">
                  <c:v>-12.377181758281079</c:v>
                </c:pt>
                <c:pt idx="814">
                  <c:v>-12.389435323793144</c:v>
                </c:pt>
                <c:pt idx="815">
                  <c:v>-12.401688889784865</c:v>
                </c:pt>
                <c:pt idx="816">
                  <c:v>-12.413942456256112</c:v>
                </c:pt>
                <c:pt idx="817">
                  <c:v>-12.426196023206762</c:v>
                </c:pt>
                <c:pt idx="818">
                  <c:v>-12.438449590636687</c:v>
                </c:pt>
                <c:pt idx="819">
                  <c:v>-12.45070315854576</c:v>
                </c:pt>
                <c:pt idx="820">
                  <c:v>-12.462956726933857</c:v>
                </c:pt>
                <c:pt idx="821">
                  <c:v>-12.475210295800849</c:v>
                </c:pt>
                <c:pt idx="822">
                  <c:v>-12.487463865146612</c:v>
                </c:pt>
                <c:pt idx="823">
                  <c:v>-12.499717434971018</c:v>
                </c:pt>
                <c:pt idx="824">
                  <c:v>-12.51197100527394</c:v>
                </c:pt>
                <c:pt idx="825">
                  <c:v>-12.524224576055254</c:v>
                </c:pt>
                <c:pt idx="826">
                  <c:v>-12.536478147314831</c:v>
                </c:pt>
                <c:pt idx="827">
                  <c:v>-12.548731719052547</c:v>
                </c:pt>
                <c:pt idx="828">
                  <c:v>-12.560985291268274</c:v>
                </c:pt>
                <c:pt idx="829">
                  <c:v>-12.573238863961885</c:v>
                </c:pt>
                <c:pt idx="830">
                  <c:v>-12.585492437133256</c:v>
                </c:pt>
                <c:pt idx="831">
                  <c:v>-12.597746010782259</c:v>
                </c:pt>
                <c:pt idx="832">
                  <c:v>-12.609999584908767</c:v>
                </c:pt>
                <c:pt idx="833">
                  <c:v>-12.622253159512654</c:v>
                </c:pt>
                <c:pt idx="834">
                  <c:v>-12.634506734593796</c:v>
                </c:pt>
                <c:pt idx="835">
                  <c:v>-12.646760310152063</c:v>
                </c:pt>
                <c:pt idx="836">
                  <c:v>-12.65901388618733</c:v>
                </c:pt>
                <c:pt idx="837">
                  <c:v>-12.671267462699472</c:v>
                </c:pt>
                <c:pt idx="838">
                  <c:v>-12.683521039688362</c:v>
                </c:pt>
                <c:pt idx="839">
                  <c:v>-12.695774617153871</c:v>
                </c:pt>
                <c:pt idx="840">
                  <c:v>-12.708028195095876</c:v>
                </c:pt>
                <c:pt idx="841">
                  <c:v>-12.72028177351425</c:v>
                </c:pt>
                <c:pt idx="842">
                  <c:v>-12.732535352408865</c:v>
                </c:pt>
                <c:pt idx="843">
                  <c:v>-12.744788931779597</c:v>
                </c:pt>
                <c:pt idx="844">
                  <c:v>-12.757042511626318</c:v>
                </c:pt>
                <c:pt idx="845">
                  <c:v>-12.769296091948902</c:v>
                </c:pt>
                <c:pt idx="846">
                  <c:v>-12.781549672747223</c:v>
                </c:pt>
                <c:pt idx="847">
                  <c:v>-12.793803254021153</c:v>
                </c:pt>
                <c:pt idx="848">
                  <c:v>-12.806056835770567</c:v>
                </c:pt>
                <c:pt idx="849">
                  <c:v>-12.818310417995338</c:v>
                </c:pt>
                <c:pt idx="850">
                  <c:v>-12.830564000695341</c:v>
                </c:pt>
                <c:pt idx="851">
                  <c:v>-12.842817583870449</c:v>
                </c:pt>
                <c:pt idx="852">
                  <c:v>-12.855071167520535</c:v>
                </c:pt>
                <c:pt idx="853">
                  <c:v>-12.867324751645473</c:v>
                </c:pt>
                <c:pt idx="854">
                  <c:v>-12.879578336245137</c:v>
                </c:pt>
                <c:pt idx="855">
                  <c:v>-12.891831921319401</c:v>
                </c:pt>
                <c:pt idx="856">
                  <c:v>-12.904085506868137</c:v>
                </c:pt>
                <c:pt idx="857">
                  <c:v>-12.916339092891221</c:v>
                </c:pt>
                <c:pt idx="858">
                  <c:v>-12.928592679388524</c:v>
                </c:pt>
                <c:pt idx="859">
                  <c:v>-12.940846266359921</c:v>
                </c:pt>
                <c:pt idx="860">
                  <c:v>-12.953099853805286</c:v>
                </c:pt>
                <c:pt idx="861">
                  <c:v>-12.965353441724492</c:v>
                </c:pt>
                <c:pt idx="862">
                  <c:v>-12.977607030117413</c:v>
                </c:pt>
                <c:pt idx="863">
                  <c:v>-12.989860618983924</c:v>
                </c:pt>
                <c:pt idx="864">
                  <c:v>-13.002114208323897</c:v>
                </c:pt>
                <c:pt idx="865">
                  <c:v>-13.014367798137206</c:v>
                </c:pt>
                <c:pt idx="866">
                  <c:v>-13.026621388423726</c:v>
                </c:pt>
                <c:pt idx="867">
                  <c:v>-13.038874979183328</c:v>
                </c:pt>
                <c:pt idx="868">
                  <c:v>-13.051128570415887</c:v>
                </c:pt>
                <c:pt idx="869">
                  <c:v>-13.063382162121277</c:v>
                </c:pt>
                <c:pt idx="870">
                  <c:v>-13.075635754299372</c:v>
                </c:pt>
                <c:pt idx="871">
                  <c:v>-13.087889346950044</c:v>
                </c:pt>
                <c:pt idx="872">
                  <c:v>-13.100142940073169</c:v>
                </c:pt>
                <c:pt idx="873">
                  <c:v>-13.112396533668619</c:v>
                </c:pt>
                <c:pt idx="874">
                  <c:v>-13.124650127736269</c:v>
                </c:pt>
                <c:pt idx="875">
                  <c:v>-13.13690372227599</c:v>
                </c:pt>
                <c:pt idx="876">
                  <c:v>-13.14915731728766</c:v>
                </c:pt>
                <c:pt idx="877">
                  <c:v>-13.161410912771149</c:v>
                </c:pt>
                <c:pt idx="878">
                  <c:v>-13.173664508726333</c:v>
                </c:pt>
                <c:pt idx="879">
                  <c:v>-13.185918105153084</c:v>
                </c:pt>
                <c:pt idx="880">
                  <c:v>-13.198171702051276</c:v>
                </c:pt>
                <c:pt idx="881">
                  <c:v>-13.210425299420784</c:v>
                </c:pt>
                <c:pt idx="882">
                  <c:v>-13.222678897261479</c:v>
                </c:pt>
                <c:pt idx="883">
                  <c:v>-13.234932495573238</c:v>
                </c:pt>
                <c:pt idx="884">
                  <c:v>-13.247186094355932</c:v>
                </c:pt>
                <c:pt idx="885">
                  <c:v>-13.259439693609437</c:v>
                </c:pt>
                <c:pt idx="886">
                  <c:v>-13.271693293333625</c:v>
                </c:pt>
                <c:pt idx="887">
                  <c:v>-13.28394689352837</c:v>
                </c:pt>
                <c:pt idx="888">
                  <c:v>-13.296200494193547</c:v>
                </c:pt>
                <c:pt idx="889">
                  <c:v>-13.308454095329029</c:v>
                </c:pt>
                <c:pt idx="890">
                  <c:v>-13.32070769693469</c:v>
                </c:pt>
                <c:pt idx="891">
                  <c:v>-13.332961299010401</c:v>
                </c:pt>
                <c:pt idx="892">
                  <c:v>-13.345214901556039</c:v>
                </c:pt>
                <c:pt idx="893">
                  <c:v>-13.357468504571477</c:v>
                </c:pt>
                <c:pt idx="894">
                  <c:v>-13.369722108056589</c:v>
                </c:pt>
                <c:pt idx="895">
                  <c:v>-13.381975712011247</c:v>
                </c:pt>
                <c:pt idx="896">
                  <c:v>-13.394229316435327</c:v>
                </c:pt>
                <c:pt idx="897">
                  <c:v>-13.406482921328701</c:v>
                </c:pt>
                <c:pt idx="898">
                  <c:v>-13.418736526691243</c:v>
                </c:pt>
                <c:pt idx="899">
                  <c:v>-13.430990132522826</c:v>
                </c:pt>
                <c:pt idx="900">
                  <c:v>-13.443243738823327</c:v>
                </c:pt>
                <c:pt idx="901">
                  <c:v>-13.455497345592617</c:v>
                </c:pt>
                <c:pt idx="902">
                  <c:v>-13.467750952830571</c:v>
                </c:pt>
                <c:pt idx="903">
                  <c:v>-13.48000456053706</c:v>
                </c:pt>
                <c:pt idx="904">
                  <c:v>-13.49225816871196</c:v>
                </c:pt>
                <c:pt idx="905">
                  <c:v>-13.504511777355145</c:v>
                </c:pt>
                <c:pt idx="906">
                  <c:v>-13.516765386466489</c:v>
                </c:pt>
                <c:pt idx="907">
                  <c:v>-13.529018996045863</c:v>
                </c:pt>
                <c:pt idx="908">
                  <c:v>-13.541272606093145</c:v>
                </c:pt>
                <c:pt idx="909">
                  <c:v>-13.553526216608205</c:v>
                </c:pt>
                <c:pt idx="910">
                  <c:v>-13.565779827590919</c:v>
                </c:pt>
                <c:pt idx="911">
                  <c:v>-13.57803343904116</c:v>
                </c:pt>
                <c:pt idx="912">
                  <c:v>-13.590287050958802</c:v>
                </c:pt>
                <c:pt idx="913">
                  <c:v>-13.602540663343717</c:v>
                </c:pt>
                <c:pt idx="914">
                  <c:v>-13.614794276195783</c:v>
                </c:pt>
                <c:pt idx="915">
                  <c:v>-13.62704788951487</c:v>
                </c:pt>
                <c:pt idx="916">
                  <c:v>-13.639301503300853</c:v>
                </c:pt>
                <c:pt idx="917">
                  <c:v>-13.651555117553606</c:v>
                </c:pt>
                <c:pt idx="918">
                  <c:v>-13.663808732273001</c:v>
                </c:pt>
                <c:pt idx="919">
                  <c:v>-13.676062347458913</c:v>
                </c:pt>
                <c:pt idx="920">
                  <c:v>-13.688315963111217</c:v>
                </c:pt>
                <c:pt idx="921">
                  <c:v>-13.700569579229786</c:v>
                </c:pt>
                <c:pt idx="922">
                  <c:v>-13.712823195814492</c:v>
                </c:pt>
                <c:pt idx="923">
                  <c:v>-13.725076812865211</c:v>
                </c:pt>
                <c:pt idx="924">
                  <c:v>-13.737330430381816</c:v>
                </c:pt>
                <c:pt idx="925">
                  <c:v>-13.749584048364181</c:v>
                </c:pt>
                <c:pt idx="926">
                  <c:v>-13.761837666812179</c:v>
                </c:pt>
                <c:pt idx="927">
                  <c:v>-13.774091285725685</c:v>
                </c:pt>
                <c:pt idx="928">
                  <c:v>-13.786344905104572</c:v>
                </c:pt>
                <c:pt idx="929">
                  <c:v>-13.798598524948714</c:v>
                </c:pt>
                <c:pt idx="930">
                  <c:v>-13.810852145257986</c:v>
                </c:pt>
                <c:pt idx="931">
                  <c:v>-13.82310576603226</c:v>
                </c:pt>
                <c:pt idx="932">
                  <c:v>-13.83535938727141</c:v>
                </c:pt>
                <c:pt idx="933">
                  <c:v>-13.84761300897531</c:v>
                </c:pt>
                <c:pt idx="934">
                  <c:v>-13.859866631143834</c:v>
                </c:pt>
                <c:pt idx="935">
                  <c:v>-13.872120253776856</c:v>
                </c:pt>
                <c:pt idx="936">
                  <c:v>-13.88437387687425</c:v>
                </c:pt>
                <c:pt idx="937">
                  <c:v>-13.896627500435889</c:v>
                </c:pt>
                <c:pt idx="938">
                  <c:v>-13.908881124461647</c:v>
                </c:pt>
                <c:pt idx="939">
                  <c:v>-13.921134748951397</c:v>
                </c:pt>
                <c:pt idx="940">
                  <c:v>-13.933388373905014</c:v>
                </c:pt>
                <c:pt idx="941">
                  <c:v>-13.945641999322373</c:v>
                </c:pt>
                <c:pt idx="942">
                  <c:v>-13.957895625203346</c:v>
                </c:pt>
                <c:pt idx="943">
                  <c:v>-13.970149251547806</c:v>
                </c:pt>
                <c:pt idx="944">
                  <c:v>-13.982402878355629</c:v>
                </c:pt>
                <c:pt idx="945">
                  <c:v>-13.994656505626688</c:v>
                </c:pt>
                <c:pt idx="946">
                  <c:v>-14.006910133360856</c:v>
                </c:pt>
                <c:pt idx="947">
                  <c:v>-14.019163761558008</c:v>
                </c:pt>
                <c:pt idx="948">
                  <c:v>-14.031417390218017</c:v>
                </c:pt>
                <c:pt idx="949">
                  <c:v>-14.043671019340758</c:v>
                </c:pt>
                <c:pt idx="950">
                  <c:v>-14.055924648926103</c:v>
                </c:pt>
                <c:pt idx="951">
                  <c:v>-14.068178278973928</c:v>
                </c:pt>
                <c:pt idx="952">
                  <c:v>-14.080431909484105</c:v>
                </c:pt>
                <c:pt idx="953">
                  <c:v>-14.092685540456509</c:v>
                </c:pt>
                <c:pt idx="954">
                  <c:v>-14.104939171891013</c:v>
                </c:pt>
                <c:pt idx="955">
                  <c:v>-14.117192803787491</c:v>
                </c:pt>
                <c:pt idx="956">
                  <c:v>-14.129446436145818</c:v>
                </c:pt>
                <c:pt idx="957">
                  <c:v>-14.141700068965866</c:v>
                </c:pt>
                <c:pt idx="958">
                  <c:v>-14.153953702247509</c:v>
                </c:pt>
                <c:pt idx="959">
                  <c:v>-14.166207335990622</c:v>
                </c:pt>
                <c:pt idx="960">
                  <c:v>-14.178460970195079</c:v>
                </c:pt>
                <c:pt idx="961">
                  <c:v>-14.190714604860753</c:v>
                </c:pt>
                <c:pt idx="962">
                  <c:v>-14.202968239987518</c:v>
                </c:pt>
                <c:pt idx="963">
                  <c:v>-14.215221875575248</c:v>
                </c:pt>
                <c:pt idx="964">
                  <c:v>-14.227475511623817</c:v>
                </c:pt>
                <c:pt idx="965">
                  <c:v>-14.239729148133099</c:v>
                </c:pt>
                <c:pt idx="966">
                  <c:v>-14.251982785102967</c:v>
                </c:pt>
                <c:pt idx="967">
                  <c:v>-14.264236422533296</c:v>
                </c:pt>
                <c:pt idx="968">
                  <c:v>-14.276490060423958</c:v>
                </c:pt>
                <c:pt idx="969">
                  <c:v>-14.288743698774828</c:v>
                </c:pt>
                <c:pt idx="970">
                  <c:v>-14.30099733758578</c:v>
                </c:pt>
                <c:pt idx="971">
                  <c:v>-14.31325097685669</c:v>
                </c:pt>
                <c:pt idx="972">
                  <c:v>-14.325504616587429</c:v>
                </c:pt>
                <c:pt idx="973">
                  <c:v>-14.337758256777871</c:v>
                </c:pt>
                <c:pt idx="974">
                  <c:v>-14.350011897427891</c:v>
                </c:pt>
                <c:pt idx="975">
                  <c:v>-14.362265538537361</c:v>
                </c:pt>
                <c:pt idx="976">
                  <c:v>-14.374519180106157</c:v>
                </c:pt>
                <c:pt idx="977">
                  <c:v>-14.386772822134152</c:v>
                </c:pt>
                <c:pt idx="978">
                  <c:v>-14.399026464621219</c:v>
                </c:pt>
                <c:pt idx="979">
                  <c:v>-14.411280107567233</c:v>
                </c:pt>
                <c:pt idx="980">
                  <c:v>-14.423533750972068</c:v>
                </c:pt>
                <c:pt idx="981">
                  <c:v>-14.435787394835598</c:v>
                </c:pt>
                <c:pt idx="982">
                  <c:v>-14.448041039157697</c:v>
                </c:pt>
                <c:pt idx="983">
                  <c:v>-14.460294683938239</c:v>
                </c:pt>
                <c:pt idx="984">
                  <c:v>-14.472548329177096</c:v>
                </c:pt>
                <c:pt idx="985">
                  <c:v>-14.484801974874143</c:v>
                </c:pt>
                <c:pt idx="986">
                  <c:v>-14.497055621029254</c:v>
                </c:pt>
                <c:pt idx="987">
                  <c:v>-14.509309267642303</c:v>
                </c:pt>
                <c:pt idx="988">
                  <c:v>-14.521562914713165</c:v>
                </c:pt>
                <c:pt idx="989">
                  <c:v>-14.533816562241713</c:v>
                </c:pt>
                <c:pt idx="990">
                  <c:v>-14.546070210227819</c:v>
                </c:pt>
                <c:pt idx="991">
                  <c:v>-14.558323858671359</c:v>
                </c:pt>
                <c:pt idx="992">
                  <c:v>-14.570577507572207</c:v>
                </c:pt>
                <c:pt idx="993">
                  <c:v>-14.582831156930236</c:v>
                </c:pt>
                <c:pt idx="994">
                  <c:v>-14.595084806745321</c:v>
                </c:pt>
                <c:pt idx="995">
                  <c:v>-14.607338457017335</c:v>
                </c:pt>
                <c:pt idx="996">
                  <c:v>-14.619592107746151</c:v>
                </c:pt>
                <c:pt idx="997">
                  <c:v>-14.631845758931645</c:v>
                </c:pt>
                <c:pt idx="998">
                  <c:v>-14.644099410573689</c:v>
                </c:pt>
                <c:pt idx="999">
                  <c:v>-14.65635306267216</c:v>
                </c:pt>
                <c:pt idx="1000">
                  <c:v>-14.668606715226929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1-4567-B7A1-067915120221}"/>
            </c:ext>
          </c:extLst>
        </c:ser>
        <c:ser>
          <c:idx val="2"/>
          <c:order val="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51-4567-B7A1-0679151202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Trajecto!$B$131:$B$137</c:f>
              <c:numCache>
                <c:formatCode>0.0</c:formatCode>
                <c:ptCount val="7"/>
                <c:pt idx="0">
                  <c:v>21</c:v>
                </c:pt>
                <c:pt idx="1">
                  <c:v>117.76286960406941</c:v>
                </c:pt>
                <c:pt idx="2">
                  <c:v>214.52573920813882</c:v>
                </c:pt>
                <c:pt idx="3">
                  <c:v>212.63180276333316</c:v>
                </c:pt>
                <c:pt idx="4">
                  <c:v>214.52573920813882</c:v>
                </c:pt>
                <c:pt idx="5">
                  <c:v>207.92180276333312</c:v>
                </c:pt>
                <c:pt idx="6">
                  <c:v>214.52573920813882</c:v>
                </c:pt>
              </c:numCache>
            </c:numRef>
          </c:xVal>
          <c:yVal>
            <c:numRef>
              <c:f>Trajecto!$C$129:$C$135</c:f>
              <c:numCache>
                <c:formatCode>0</c:formatCode>
                <c:ptCount val="7"/>
                <c:pt idx="0">
                  <c:v>2282.4153823114448</c:v>
                </c:pt>
                <c:pt idx="1">
                  <c:v>1141.2076911557224</c:v>
                </c:pt>
                <c:pt idx="2">
                  <c:v>0</c:v>
                </c:pt>
                <c:pt idx="3">
                  <c:v>72.742564088416444</c:v>
                </c:pt>
                <c:pt idx="4">
                  <c:v>0</c:v>
                </c:pt>
                <c:pt idx="5">
                  <c:v>27.519070235485884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51-4567-B7A1-067915120221}"/>
            </c:ext>
          </c:extLst>
        </c:ser>
        <c:ser>
          <c:idx val="3"/>
          <c:order val="4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51-4567-B7A1-0679151202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Trajecto!$B$148:$B$154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Trajecto!$C$146:$C$152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51-4567-B7A1-067915120221}"/>
            </c:ext>
          </c:extLst>
        </c:ser>
        <c:ser>
          <c:idx val="5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5.7</c:v>
                </c:pt>
                <c:pt idx="1">
                  <c:v>5.71</c:v>
                </c:pt>
                <c:pt idx="2">
                  <c:v>5.72</c:v>
                </c:pt>
                <c:pt idx="3">
                  <c:v>5.7299999999999995</c:v>
                </c:pt>
                <c:pt idx="4">
                  <c:v>5.7399999999999993</c:v>
                </c:pt>
                <c:pt idx="5">
                  <c:v>5.7499999999999991</c:v>
                </c:pt>
                <c:pt idx="6">
                  <c:v>5.7599999999999989</c:v>
                </c:pt>
                <c:pt idx="7">
                  <c:v>5.7699999999999987</c:v>
                </c:pt>
                <c:pt idx="8">
                  <c:v>5.7799999999999985</c:v>
                </c:pt>
                <c:pt idx="9">
                  <c:v>5.7899999999999983</c:v>
                </c:pt>
                <c:pt idx="10">
                  <c:v>5.799999999999998</c:v>
                </c:pt>
                <c:pt idx="11">
                  <c:v>5.8099999999999978</c:v>
                </c:pt>
                <c:pt idx="12">
                  <c:v>5.8199999999999976</c:v>
                </c:pt>
                <c:pt idx="13">
                  <c:v>5.8299999999999974</c:v>
                </c:pt>
                <c:pt idx="14">
                  <c:v>5.8399999999999972</c:v>
                </c:pt>
                <c:pt idx="15">
                  <c:v>5.849999999999997</c:v>
                </c:pt>
                <c:pt idx="16">
                  <c:v>5.8599999999999968</c:v>
                </c:pt>
                <c:pt idx="17">
                  <c:v>5.8699999999999966</c:v>
                </c:pt>
                <c:pt idx="18">
                  <c:v>5.8799999999999963</c:v>
                </c:pt>
                <c:pt idx="19">
                  <c:v>5.8899999999999961</c:v>
                </c:pt>
                <c:pt idx="20">
                  <c:v>5.8999999999999959</c:v>
                </c:pt>
                <c:pt idx="21">
                  <c:v>5.9099999999999957</c:v>
                </c:pt>
                <c:pt idx="22">
                  <c:v>5.9199999999999955</c:v>
                </c:pt>
                <c:pt idx="23">
                  <c:v>5.9299999999999953</c:v>
                </c:pt>
                <c:pt idx="24">
                  <c:v>5.9399999999999951</c:v>
                </c:pt>
                <c:pt idx="25">
                  <c:v>5.9499999999999948</c:v>
                </c:pt>
                <c:pt idx="26">
                  <c:v>5.9599999999999946</c:v>
                </c:pt>
                <c:pt idx="27">
                  <c:v>5.9699999999999944</c:v>
                </c:pt>
                <c:pt idx="28">
                  <c:v>5.9799999999999942</c:v>
                </c:pt>
                <c:pt idx="29">
                  <c:v>5.989999999999994</c:v>
                </c:pt>
                <c:pt idx="30">
                  <c:v>5.9999999999999938</c:v>
                </c:pt>
                <c:pt idx="31">
                  <c:v>6.0099999999999936</c:v>
                </c:pt>
                <c:pt idx="32">
                  <c:v>6.0199999999999934</c:v>
                </c:pt>
                <c:pt idx="33">
                  <c:v>6.0299999999999931</c:v>
                </c:pt>
                <c:pt idx="34">
                  <c:v>6.0399999999999929</c:v>
                </c:pt>
                <c:pt idx="35">
                  <c:v>6.0499999999999927</c:v>
                </c:pt>
                <c:pt idx="36">
                  <c:v>6.0599999999999925</c:v>
                </c:pt>
                <c:pt idx="37">
                  <c:v>6.0699999999999923</c:v>
                </c:pt>
                <c:pt idx="38">
                  <c:v>6.0799999999999921</c:v>
                </c:pt>
                <c:pt idx="39">
                  <c:v>6.0899999999999919</c:v>
                </c:pt>
                <c:pt idx="40">
                  <c:v>6.0999999999999917</c:v>
                </c:pt>
                <c:pt idx="41">
                  <c:v>6.1099999999999914</c:v>
                </c:pt>
                <c:pt idx="42">
                  <c:v>6.1199999999999912</c:v>
                </c:pt>
                <c:pt idx="43">
                  <c:v>6.129999999999991</c:v>
                </c:pt>
                <c:pt idx="44">
                  <c:v>6.1399999999999908</c:v>
                </c:pt>
                <c:pt idx="45">
                  <c:v>6.1499999999999906</c:v>
                </c:pt>
                <c:pt idx="46">
                  <c:v>6.1599999999999904</c:v>
                </c:pt>
                <c:pt idx="47">
                  <c:v>6.1699999999999902</c:v>
                </c:pt>
                <c:pt idx="48">
                  <c:v>6.1799999999999899</c:v>
                </c:pt>
                <c:pt idx="49">
                  <c:v>6.1899999999999897</c:v>
                </c:pt>
                <c:pt idx="50">
                  <c:v>6.1999999999999895</c:v>
                </c:pt>
                <c:pt idx="51">
                  <c:v>6.2099999999999893</c:v>
                </c:pt>
                <c:pt idx="52">
                  <c:v>6.2199999999999891</c:v>
                </c:pt>
                <c:pt idx="53">
                  <c:v>6.2299999999999889</c:v>
                </c:pt>
                <c:pt idx="54">
                  <c:v>6.2399999999999887</c:v>
                </c:pt>
                <c:pt idx="55">
                  <c:v>6.2499999999999885</c:v>
                </c:pt>
                <c:pt idx="56">
                  <c:v>6.2599999999999882</c:v>
                </c:pt>
                <c:pt idx="57">
                  <c:v>6.269999999999988</c:v>
                </c:pt>
                <c:pt idx="58">
                  <c:v>6.2799999999999878</c:v>
                </c:pt>
                <c:pt idx="59">
                  <c:v>6.2899999999999876</c:v>
                </c:pt>
                <c:pt idx="60">
                  <c:v>6.2999999999999874</c:v>
                </c:pt>
                <c:pt idx="61">
                  <c:v>6.3099999999999872</c:v>
                </c:pt>
                <c:pt idx="62">
                  <c:v>6.319999999999987</c:v>
                </c:pt>
                <c:pt idx="63">
                  <c:v>6.3299999999999867</c:v>
                </c:pt>
                <c:pt idx="64">
                  <c:v>6.3399999999999865</c:v>
                </c:pt>
                <c:pt idx="65">
                  <c:v>6.3499999999999863</c:v>
                </c:pt>
                <c:pt idx="66">
                  <c:v>6.3599999999999861</c:v>
                </c:pt>
                <c:pt idx="67">
                  <c:v>6.3699999999999859</c:v>
                </c:pt>
                <c:pt idx="68">
                  <c:v>6.3799999999999857</c:v>
                </c:pt>
                <c:pt idx="69">
                  <c:v>6.3899999999999855</c:v>
                </c:pt>
                <c:pt idx="70">
                  <c:v>6.3999999999999853</c:v>
                </c:pt>
                <c:pt idx="71">
                  <c:v>6.409999999999985</c:v>
                </c:pt>
                <c:pt idx="72">
                  <c:v>6.4199999999999848</c:v>
                </c:pt>
                <c:pt idx="73">
                  <c:v>6.4299999999999846</c:v>
                </c:pt>
                <c:pt idx="74">
                  <c:v>6.4399999999999844</c:v>
                </c:pt>
                <c:pt idx="75">
                  <c:v>6.4499999999999842</c:v>
                </c:pt>
                <c:pt idx="76">
                  <c:v>6.459999999999984</c:v>
                </c:pt>
                <c:pt idx="77">
                  <c:v>6.4699999999999838</c:v>
                </c:pt>
                <c:pt idx="78">
                  <c:v>6.4799999999999836</c:v>
                </c:pt>
                <c:pt idx="79">
                  <c:v>6.4899999999999833</c:v>
                </c:pt>
                <c:pt idx="80">
                  <c:v>6.4999999999999831</c:v>
                </c:pt>
                <c:pt idx="81">
                  <c:v>6.5099999999999829</c:v>
                </c:pt>
                <c:pt idx="82">
                  <c:v>6.5199999999999827</c:v>
                </c:pt>
                <c:pt idx="83">
                  <c:v>6.5299999999999825</c:v>
                </c:pt>
                <c:pt idx="84">
                  <c:v>6.5399999999999823</c:v>
                </c:pt>
                <c:pt idx="85">
                  <c:v>6.5499999999999821</c:v>
                </c:pt>
                <c:pt idx="86">
                  <c:v>6.5599999999999818</c:v>
                </c:pt>
                <c:pt idx="87">
                  <c:v>6.5699999999999816</c:v>
                </c:pt>
                <c:pt idx="88">
                  <c:v>6.5799999999999814</c:v>
                </c:pt>
                <c:pt idx="89">
                  <c:v>6.5899999999999812</c:v>
                </c:pt>
                <c:pt idx="90">
                  <c:v>6.599999999999981</c:v>
                </c:pt>
                <c:pt idx="91">
                  <c:v>6.6099999999999808</c:v>
                </c:pt>
                <c:pt idx="92">
                  <c:v>6.6199999999999806</c:v>
                </c:pt>
                <c:pt idx="93">
                  <c:v>6.6299999999999804</c:v>
                </c:pt>
                <c:pt idx="94">
                  <c:v>6.6399999999999801</c:v>
                </c:pt>
                <c:pt idx="95">
                  <c:v>6.6499999999999799</c:v>
                </c:pt>
                <c:pt idx="96">
                  <c:v>6.6599999999999797</c:v>
                </c:pt>
                <c:pt idx="97">
                  <c:v>6.6699999999999795</c:v>
                </c:pt>
                <c:pt idx="98">
                  <c:v>6.6799999999999793</c:v>
                </c:pt>
                <c:pt idx="99">
                  <c:v>6.6899999999999791</c:v>
                </c:pt>
                <c:pt idx="100">
                  <c:v>6.6999999999999789</c:v>
                </c:pt>
                <c:pt idx="101">
                  <c:v>6.7099999999999786</c:v>
                </c:pt>
                <c:pt idx="102">
                  <c:v>6.7199999999999784</c:v>
                </c:pt>
                <c:pt idx="103">
                  <c:v>6.7299999999999782</c:v>
                </c:pt>
                <c:pt idx="104">
                  <c:v>6.739999999999978</c:v>
                </c:pt>
                <c:pt idx="105">
                  <c:v>6.7499999999999778</c:v>
                </c:pt>
                <c:pt idx="106">
                  <c:v>6.7599999999999776</c:v>
                </c:pt>
                <c:pt idx="107">
                  <c:v>6.7699999999999774</c:v>
                </c:pt>
                <c:pt idx="108">
                  <c:v>6.7799999999999772</c:v>
                </c:pt>
                <c:pt idx="109">
                  <c:v>6.7899999999999769</c:v>
                </c:pt>
                <c:pt idx="110">
                  <c:v>6.7999999999999767</c:v>
                </c:pt>
                <c:pt idx="111">
                  <c:v>6.8099999999999765</c:v>
                </c:pt>
                <c:pt idx="112">
                  <c:v>6.8199999999999763</c:v>
                </c:pt>
                <c:pt idx="113">
                  <c:v>6.8299999999999761</c:v>
                </c:pt>
                <c:pt idx="114">
                  <c:v>6.8399999999999759</c:v>
                </c:pt>
                <c:pt idx="115">
                  <c:v>6.8499999999999757</c:v>
                </c:pt>
                <c:pt idx="116">
                  <c:v>6.8599999999999755</c:v>
                </c:pt>
                <c:pt idx="117">
                  <c:v>6.8699999999999752</c:v>
                </c:pt>
                <c:pt idx="118">
                  <c:v>6.879999999999975</c:v>
                </c:pt>
                <c:pt idx="119">
                  <c:v>6.8899999999999748</c:v>
                </c:pt>
                <c:pt idx="120">
                  <c:v>6.8999999999999746</c:v>
                </c:pt>
                <c:pt idx="121">
                  <c:v>6.9099999999999744</c:v>
                </c:pt>
                <c:pt idx="122">
                  <c:v>6.9199999999999742</c:v>
                </c:pt>
                <c:pt idx="123">
                  <c:v>6.929999999999974</c:v>
                </c:pt>
                <c:pt idx="124">
                  <c:v>6.9399999999999737</c:v>
                </c:pt>
                <c:pt idx="125">
                  <c:v>6.9499999999999735</c:v>
                </c:pt>
                <c:pt idx="126">
                  <c:v>6.9599999999999733</c:v>
                </c:pt>
                <c:pt idx="127">
                  <c:v>6.9699999999999731</c:v>
                </c:pt>
                <c:pt idx="128">
                  <c:v>6.9799999999999729</c:v>
                </c:pt>
                <c:pt idx="129">
                  <c:v>6.9899999999999727</c:v>
                </c:pt>
                <c:pt idx="130">
                  <c:v>6.9999999999999725</c:v>
                </c:pt>
                <c:pt idx="131">
                  <c:v>7.0099999999999723</c:v>
                </c:pt>
                <c:pt idx="132">
                  <c:v>7.019999999999972</c:v>
                </c:pt>
                <c:pt idx="133">
                  <c:v>7.0299999999999718</c:v>
                </c:pt>
                <c:pt idx="134">
                  <c:v>7.0399999999999716</c:v>
                </c:pt>
                <c:pt idx="135">
                  <c:v>7.0499999999999714</c:v>
                </c:pt>
                <c:pt idx="136">
                  <c:v>7.0599999999999712</c:v>
                </c:pt>
                <c:pt idx="137">
                  <c:v>7.069999999999971</c:v>
                </c:pt>
                <c:pt idx="138">
                  <c:v>7.0799999999999708</c:v>
                </c:pt>
                <c:pt idx="139">
                  <c:v>7.0899999999999705</c:v>
                </c:pt>
                <c:pt idx="140">
                  <c:v>7.0999999999999703</c:v>
                </c:pt>
                <c:pt idx="141">
                  <c:v>7.1099999999999701</c:v>
                </c:pt>
                <c:pt idx="142">
                  <c:v>7.1199999999999699</c:v>
                </c:pt>
                <c:pt idx="143">
                  <c:v>7.1299999999999697</c:v>
                </c:pt>
                <c:pt idx="144">
                  <c:v>7.1399999999999695</c:v>
                </c:pt>
                <c:pt idx="145">
                  <c:v>7.1499999999999693</c:v>
                </c:pt>
                <c:pt idx="146">
                  <c:v>7.1599999999999691</c:v>
                </c:pt>
                <c:pt idx="147">
                  <c:v>7.1699999999999688</c:v>
                </c:pt>
                <c:pt idx="148">
                  <c:v>7.1799999999999686</c:v>
                </c:pt>
                <c:pt idx="149">
                  <c:v>7.1899999999999684</c:v>
                </c:pt>
                <c:pt idx="150">
                  <c:v>7.1999999999999682</c:v>
                </c:pt>
                <c:pt idx="151">
                  <c:v>7.209999999999968</c:v>
                </c:pt>
                <c:pt idx="152">
                  <c:v>7.2199999999999678</c:v>
                </c:pt>
                <c:pt idx="153">
                  <c:v>7.2299999999999676</c:v>
                </c:pt>
                <c:pt idx="154">
                  <c:v>7.2399999999999674</c:v>
                </c:pt>
                <c:pt idx="155">
                  <c:v>7.2499999999999671</c:v>
                </c:pt>
                <c:pt idx="156">
                  <c:v>7.2599999999999669</c:v>
                </c:pt>
                <c:pt idx="157">
                  <c:v>7.2699999999999667</c:v>
                </c:pt>
                <c:pt idx="158">
                  <c:v>7.2799999999999665</c:v>
                </c:pt>
                <c:pt idx="159">
                  <c:v>7.2899999999999663</c:v>
                </c:pt>
                <c:pt idx="160">
                  <c:v>7.2999999999999661</c:v>
                </c:pt>
                <c:pt idx="161">
                  <c:v>7.3099999999999659</c:v>
                </c:pt>
                <c:pt idx="162">
                  <c:v>7.3199999999999656</c:v>
                </c:pt>
                <c:pt idx="163">
                  <c:v>7.3299999999999654</c:v>
                </c:pt>
                <c:pt idx="164">
                  <c:v>7.3399999999999652</c:v>
                </c:pt>
                <c:pt idx="165">
                  <c:v>7.349999999999965</c:v>
                </c:pt>
                <c:pt idx="166">
                  <c:v>7.3599999999999648</c:v>
                </c:pt>
                <c:pt idx="167">
                  <c:v>7.3699999999999646</c:v>
                </c:pt>
                <c:pt idx="168">
                  <c:v>7.3799999999999644</c:v>
                </c:pt>
                <c:pt idx="169">
                  <c:v>7.3899999999999642</c:v>
                </c:pt>
                <c:pt idx="170">
                  <c:v>7.3999999999999639</c:v>
                </c:pt>
                <c:pt idx="171">
                  <c:v>7.4099999999999637</c:v>
                </c:pt>
                <c:pt idx="172">
                  <c:v>7.4199999999999635</c:v>
                </c:pt>
                <c:pt idx="173">
                  <c:v>7.4299999999999633</c:v>
                </c:pt>
                <c:pt idx="174">
                  <c:v>7.4399999999999631</c:v>
                </c:pt>
                <c:pt idx="175">
                  <c:v>7.4499999999999629</c:v>
                </c:pt>
                <c:pt idx="176">
                  <c:v>7.4599999999999627</c:v>
                </c:pt>
                <c:pt idx="177">
                  <c:v>7.4699999999999624</c:v>
                </c:pt>
                <c:pt idx="178">
                  <c:v>7.4799999999999622</c:v>
                </c:pt>
                <c:pt idx="179">
                  <c:v>7.489999999999962</c:v>
                </c:pt>
                <c:pt idx="180">
                  <c:v>7.4999999999999618</c:v>
                </c:pt>
                <c:pt idx="181">
                  <c:v>7.5099999999999616</c:v>
                </c:pt>
                <c:pt idx="182">
                  <c:v>7.5199999999999614</c:v>
                </c:pt>
                <c:pt idx="183">
                  <c:v>7.5299999999999612</c:v>
                </c:pt>
                <c:pt idx="184">
                  <c:v>7.539999999999961</c:v>
                </c:pt>
                <c:pt idx="185">
                  <c:v>7.5499999999999607</c:v>
                </c:pt>
                <c:pt idx="186">
                  <c:v>7.5599999999999605</c:v>
                </c:pt>
                <c:pt idx="187">
                  <c:v>7.5699999999999603</c:v>
                </c:pt>
                <c:pt idx="188">
                  <c:v>7.5799999999999601</c:v>
                </c:pt>
                <c:pt idx="189">
                  <c:v>7.5899999999999599</c:v>
                </c:pt>
                <c:pt idx="190">
                  <c:v>7.5999999999999597</c:v>
                </c:pt>
                <c:pt idx="191">
                  <c:v>7.6099999999999595</c:v>
                </c:pt>
                <c:pt idx="192">
                  <c:v>7.6199999999999593</c:v>
                </c:pt>
                <c:pt idx="193">
                  <c:v>7.629999999999959</c:v>
                </c:pt>
                <c:pt idx="194">
                  <c:v>7.6399999999999588</c:v>
                </c:pt>
                <c:pt idx="195">
                  <c:v>7.6499999999999586</c:v>
                </c:pt>
                <c:pt idx="196">
                  <c:v>7.6599999999999584</c:v>
                </c:pt>
                <c:pt idx="197">
                  <c:v>7.6699999999999582</c:v>
                </c:pt>
                <c:pt idx="198">
                  <c:v>7.679999999999958</c:v>
                </c:pt>
                <c:pt idx="199">
                  <c:v>7.6899999999999578</c:v>
                </c:pt>
                <c:pt idx="200">
                  <c:v>7.6999999999999575</c:v>
                </c:pt>
                <c:pt idx="201">
                  <c:v>7.7999999999999572</c:v>
                </c:pt>
                <c:pt idx="202">
                  <c:v>7.8999999999999568</c:v>
                </c:pt>
                <c:pt idx="203">
                  <c:v>7.9999999999999565</c:v>
                </c:pt>
                <c:pt idx="204">
                  <c:v>8.099999999999957</c:v>
                </c:pt>
                <c:pt idx="205">
                  <c:v>8.1999999999999567</c:v>
                </c:pt>
                <c:pt idx="206">
                  <c:v>8.2999999999999563</c:v>
                </c:pt>
                <c:pt idx="207">
                  <c:v>8.3999999999999559</c:v>
                </c:pt>
                <c:pt idx="208">
                  <c:v>8.4999999999999556</c:v>
                </c:pt>
                <c:pt idx="209">
                  <c:v>8.5999999999999552</c:v>
                </c:pt>
                <c:pt idx="210">
                  <c:v>8.6999999999999549</c:v>
                </c:pt>
                <c:pt idx="211">
                  <c:v>8.7999999999999545</c:v>
                </c:pt>
                <c:pt idx="212">
                  <c:v>8.8999999999999542</c:v>
                </c:pt>
                <c:pt idx="213">
                  <c:v>8.9999999999999538</c:v>
                </c:pt>
                <c:pt idx="214">
                  <c:v>9.0999999999999535</c:v>
                </c:pt>
                <c:pt idx="215">
                  <c:v>9.1999999999999531</c:v>
                </c:pt>
                <c:pt idx="216">
                  <c:v>9.2999999999999527</c:v>
                </c:pt>
                <c:pt idx="217">
                  <c:v>9.3999999999999524</c:v>
                </c:pt>
                <c:pt idx="218">
                  <c:v>9.499999999999952</c:v>
                </c:pt>
                <c:pt idx="219">
                  <c:v>9.5999999999999517</c:v>
                </c:pt>
                <c:pt idx="220">
                  <c:v>9.6999999999999513</c:v>
                </c:pt>
                <c:pt idx="221">
                  <c:v>9.799999999999951</c:v>
                </c:pt>
                <c:pt idx="222">
                  <c:v>9.8999999999999506</c:v>
                </c:pt>
                <c:pt idx="223">
                  <c:v>9.9999999999999503</c:v>
                </c:pt>
                <c:pt idx="224">
                  <c:v>10.09999999999995</c:v>
                </c:pt>
                <c:pt idx="225">
                  <c:v>10.19999999999995</c:v>
                </c:pt>
                <c:pt idx="226">
                  <c:v>10.299999999999949</c:v>
                </c:pt>
                <c:pt idx="227">
                  <c:v>10.399999999999949</c:v>
                </c:pt>
                <c:pt idx="228">
                  <c:v>10.499999999999948</c:v>
                </c:pt>
                <c:pt idx="229">
                  <c:v>10.599999999999948</c:v>
                </c:pt>
                <c:pt idx="230">
                  <c:v>10.699999999999948</c:v>
                </c:pt>
                <c:pt idx="231">
                  <c:v>10.799999999999947</c:v>
                </c:pt>
                <c:pt idx="232">
                  <c:v>10.899999999999947</c:v>
                </c:pt>
                <c:pt idx="233">
                  <c:v>10.999999999999947</c:v>
                </c:pt>
                <c:pt idx="234">
                  <c:v>11.099999999999946</c:v>
                </c:pt>
                <c:pt idx="235">
                  <c:v>11.199999999999946</c:v>
                </c:pt>
                <c:pt idx="236">
                  <c:v>11.299999999999946</c:v>
                </c:pt>
                <c:pt idx="237">
                  <c:v>11.399999999999945</c:v>
                </c:pt>
                <c:pt idx="238">
                  <c:v>11.499999999999945</c:v>
                </c:pt>
                <c:pt idx="239">
                  <c:v>11.599999999999945</c:v>
                </c:pt>
                <c:pt idx="240">
                  <c:v>11.699999999999944</c:v>
                </c:pt>
                <c:pt idx="241">
                  <c:v>11.799999999999944</c:v>
                </c:pt>
                <c:pt idx="242">
                  <c:v>11.899999999999944</c:v>
                </c:pt>
                <c:pt idx="243">
                  <c:v>11.999999999999943</c:v>
                </c:pt>
                <c:pt idx="244">
                  <c:v>12.099999999999943</c:v>
                </c:pt>
                <c:pt idx="245">
                  <c:v>12.199999999999942</c:v>
                </c:pt>
                <c:pt idx="246">
                  <c:v>12.299999999999942</c:v>
                </c:pt>
                <c:pt idx="247">
                  <c:v>12.399999999999942</c:v>
                </c:pt>
                <c:pt idx="248">
                  <c:v>12.499999999999941</c:v>
                </c:pt>
                <c:pt idx="249">
                  <c:v>12.599999999999941</c:v>
                </c:pt>
                <c:pt idx="250">
                  <c:v>12.699999999999941</c:v>
                </c:pt>
                <c:pt idx="251">
                  <c:v>12.79999999999994</c:v>
                </c:pt>
                <c:pt idx="252">
                  <c:v>12.89999999999994</c:v>
                </c:pt>
                <c:pt idx="253">
                  <c:v>12.99999999999994</c:v>
                </c:pt>
                <c:pt idx="254">
                  <c:v>13.099999999999939</c:v>
                </c:pt>
                <c:pt idx="255">
                  <c:v>13.199999999999939</c:v>
                </c:pt>
                <c:pt idx="256">
                  <c:v>13.299999999999939</c:v>
                </c:pt>
                <c:pt idx="257">
                  <c:v>13.399999999999938</c:v>
                </c:pt>
                <c:pt idx="258">
                  <c:v>13.499999999999938</c:v>
                </c:pt>
                <c:pt idx="259">
                  <c:v>13.599999999999937</c:v>
                </c:pt>
                <c:pt idx="260">
                  <c:v>13.699999999999937</c:v>
                </c:pt>
                <c:pt idx="261">
                  <c:v>13.799999999999937</c:v>
                </c:pt>
                <c:pt idx="262">
                  <c:v>13.899999999999936</c:v>
                </c:pt>
                <c:pt idx="263">
                  <c:v>13.999999999999936</c:v>
                </c:pt>
                <c:pt idx="264">
                  <c:v>14.099999999999936</c:v>
                </c:pt>
                <c:pt idx="265">
                  <c:v>14.199999999999935</c:v>
                </c:pt>
                <c:pt idx="266">
                  <c:v>14.299999999999935</c:v>
                </c:pt>
                <c:pt idx="267">
                  <c:v>14.399999999999935</c:v>
                </c:pt>
                <c:pt idx="268">
                  <c:v>14.499999999999934</c:v>
                </c:pt>
                <c:pt idx="269">
                  <c:v>14.599999999999934</c:v>
                </c:pt>
                <c:pt idx="270">
                  <c:v>14.699999999999934</c:v>
                </c:pt>
                <c:pt idx="271">
                  <c:v>14.799999999999933</c:v>
                </c:pt>
                <c:pt idx="272">
                  <c:v>14.899999999999933</c:v>
                </c:pt>
                <c:pt idx="273">
                  <c:v>14.999999999999932</c:v>
                </c:pt>
                <c:pt idx="274">
                  <c:v>15.099999999999932</c:v>
                </c:pt>
                <c:pt idx="275">
                  <c:v>15.199999999999932</c:v>
                </c:pt>
                <c:pt idx="276">
                  <c:v>15.299999999999931</c:v>
                </c:pt>
                <c:pt idx="277">
                  <c:v>15.399999999999931</c:v>
                </c:pt>
                <c:pt idx="278">
                  <c:v>15.499999999999931</c:v>
                </c:pt>
                <c:pt idx="279">
                  <c:v>15.59999999999993</c:v>
                </c:pt>
                <c:pt idx="280">
                  <c:v>15.69999999999993</c:v>
                </c:pt>
                <c:pt idx="281">
                  <c:v>15.79999999999993</c:v>
                </c:pt>
                <c:pt idx="282">
                  <c:v>15.899999999999929</c:v>
                </c:pt>
                <c:pt idx="283">
                  <c:v>15.999999999999929</c:v>
                </c:pt>
                <c:pt idx="284">
                  <c:v>16.09999999999993</c:v>
                </c:pt>
                <c:pt idx="285">
                  <c:v>16.199999999999932</c:v>
                </c:pt>
                <c:pt idx="286">
                  <c:v>16.299999999999933</c:v>
                </c:pt>
                <c:pt idx="287">
                  <c:v>16.399999999999935</c:v>
                </c:pt>
                <c:pt idx="288">
                  <c:v>16.499999999999936</c:v>
                </c:pt>
                <c:pt idx="289">
                  <c:v>16.599999999999937</c:v>
                </c:pt>
                <c:pt idx="290">
                  <c:v>16.699999999999939</c:v>
                </c:pt>
                <c:pt idx="291">
                  <c:v>16.79999999999994</c:v>
                </c:pt>
                <c:pt idx="292">
                  <c:v>16.899999999999942</c:v>
                </c:pt>
                <c:pt idx="293">
                  <c:v>16.999999999999943</c:v>
                </c:pt>
                <c:pt idx="294">
                  <c:v>17.099999999999945</c:v>
                </c:pt>
                <c:pt idx="295">
                  <c:v>17.199999999999946</c:v>
                </c:pt>
                <c:pt idx="296">
                  <c:v>17.299999999999947</c:v>
                </c:pt>
                <c:pt idx="297">
                  <c:v>17.399999999999949</c:v>
                </c:pt>
                <c:pt idx="298">
                  <c:v>17.49999999999995</c:v>
                </c:pt>
                <c:pt idx="299">
                  <c:v>17.599999999999952</c:v>
                </c:pt>
                <c:pt idx="300">
                  <c:v>17.699999999999953</c:v>
                </c:pt>
                <c:pt idx="301">
                  <c:v>17.799999999999955</c:v>
                </c:pt>
                <c:pt idx="302">
                  <c:v>17.899999999999956</c:v>
                </c:pt>
                <c:pt idx="303">
                  <c:v>17.999999999999957</c:v>
                </c:pt>
                <c:pt idx="304">
                  <c:v>18.099999999999959</c:v>
                </c:pt>
                <c:pt idx="305">
                  <c:v>18.19999999999996</c:v>
                </c:pt>
                <c:pt idx="306">
                  <c:v>18.299999999999962</c:v>
                </c:pt>
                <c:pt idx="307">
                  <c:v>18.399999999999963</c:v>
                </c:pt>
                <c:pt idx="308">
                  <c:v>18.499999999999964</c:v>
                </c:pt>
                <c:pt idx="309">
                  <c:v>18.599999999999966</c:v>
                </c:pt>
                <c:pt idx="310">
                  <c:v>18.699999999999967</c:v>
                </c:pt>
                <c:pt idx="311">
                  <c:v>18.799999999999969</c:v>
                </c:pt>
                <c:pt idx="312">
                  <c:v>18.89999999999997</c:v>
                </c:pt>
                <c:pt idx="313">
                  <c:v>18.999999999999972</c:v>
                </c:pt>
                <c:pt idx="314">
                  <c:v>19.099999999999973</c:v>
                </c:pt>
                <c:pt idx="315">
                  <c:v>19.199999999999974</c:v>
                </c:pt>
                <c:pt idx="316">
                  <c:v>19.299999999999976</c:v>
                </c:pt>
                <c:pt idx="317">
                  <c:v>19.399999999999977</c:v>
                </c:pt>
                <c:pt idx="318">
                  <c:v>19.499999999999979</c:v>
                </c:pt>
                <c:pt idx="319">
                  <c:v>19.59999999999998</c:v>
                </c:pt>
                <c:pt idx="320">
                  <c:v>19.699999999999982</c:v>
                </c:pt>
                <c:pt idx="321">
                  <c:v>19.799999999999983</c:v>
                </c:pt>
                <c:pt idx="322">
                  <c:v>19.899999999999984</c:v>
                </c:pt>
                <c:pt idx="323">
                  <c:v>19.999999999999986</c:v>
                </c:pt>
                <c:pt idx="324">
                  <c:v>20.099999999999987</c:v>
                </c:pt>
                <c:pt idx="325">
                  <c:v>20.199999999999989</c:v>
                </c:pt>
                <c:pt idx="326">
                  <c:v>20.29999999999999</c:v>
                </c:pt>
                <c:pt idx="327">
                  <c:v>20.399999999999991</c:v>
                </c:pt>
                <c:pt idx="328">
                  <c:v>20.499999999999993</c:v>
                </c:pt>
                <c:pt idx="329">
                  <c:v>20.599999999999994</c:v>
                </c:pt>
                <c:pt idx="330">
                  <c:v>20.699999999999996</c:v>
                </c:pt>
                <c:pt idx="331">
                  <c:v>20.799999999999997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21.200000000000003</c:v>
                </c:pt>
                <c:pt idx="336">
                  <c:v>21.300000000000004</c:v>
                </c:pt>
                <c:pt idx="337">
                  <c:v>21.400000000000006</c:v>
                </c:pt>
                <c:pt idx="338">
                  <c:v>21.500000000000007</c:v>
                </c:pt>
                <c:pt idx="339">
                  <c:v>21.600000000000009</c:v>
                </c:pt>
                <c:pt idx="340">
                  <c:v>21.70000000000001</c:v>
                </c:pt>
                <c:pt idx="341">
                  <c:v>21.800000000000011</c:v>
                </c:pt>
                <c:pt idx="342">
                  <c:v>21.900000000000013</c:v>
                </c:pt>
                <c:pt idx="343">
                  <c:v>22.000000000000014</c:v>
                </c:pt>
                <c:pt idx="344">
                  <c:v>22.100000000000016</c:v>
                </c:pt>
                <c:pt idx="345">
                  <c:v>22.200000000000017</c:v>
                </c:pt>
                <c:pt idx="346">
                  <c:v>22.300000000000018</c:v>
                </c:pt>
                <c:pt idx="347">
                  <c:v>22.40000000000002</c:v>
                </c:pt>
                <c:pt idx="348">
                  <c:v>22.500000000000021</c:v>
                </c:pt>
                <c:pt idx="349">
                  <c:v>22.600000000000023</c:v>
                </c:pt>
                <c:pt idx="350">
                  <c:v>22.700000000000024</c:v>
                </c:pt>
                <c:pt idx="351">
                  <c:v>22.800000000000026</c:v>
                </c:pt>
                <c:pt idx="352">
                  <c:v>22.900000000000027</c:v>
                </c:pt>
                <c:pt idx="353">
                  <c:v>23.000000000000028</c:v>
                </c:pt>
                <c:pt idx="354">
                  <c:v>23.10000000000003</c:v>
                </c:pt>
                <c:pt idx="355">
                  <c:v>23.200000000000031</c:v>
                </c:pt>
                <c:pt idx="356">
                  <c:v>23.300000000000033</c:v>
                </c:pt>
                <c:pt idx="357">
                  <c:v>23.400000000000034</c:v>
                </c:pt>
                <c:pt idx="358">
                  <c:v>23.500000000000036</c:v>
                </c:pt>
                <c:pt idx="359">
                  <c:v>23.600000000000037</c:v>
                </c:pt>
                <c:pt idx="360">
                  <c:v>23.700000000000038</c:v>
                </c:pt>
                <c:pt idx="361">
                  <c:v>23.80000000000004</c:v>
                </c:pt>
                <c:pt idx="362">
                  <c:v>23.900000000000041</c:v>
                </c:pt>
                <c:pt idx="363">
                  <c:v>24.000000000000043</c:v>
                </c:pt>
                <c:pt idx="364">
                  <c:v>24.100000000000044</c:v>
                </c:pt>
                <c:pt idx="365">
                  <c:v>24.200000000000045</c:v>
                </c:pt>
                <c:pt idx="366">
                  <c:v>24.300000000000047</c:v>
                </c:pt>
                <c:pt idx="367">
                  <c:v>24.400000000000048</c:v>
                </c:pt>
                <c:pt idx="368">
                  <c:v>24.50000000000005</c:v>
                </c:pt>
                <c:pt idx="369">
                  <c:v>24.600000000000051</c:v>
                </c:pt>
                <c:pt idx="370">
                  <c:v>24.700000000000053</c:v>
                </c:pt>
                <c:pt idx="371">
                  <c:v>24.800000000000054</c:v>
                </c:pt>
                <c:pt idx="372">
                  <c:v>24.900000000000055</c:v>
                </c:pt>
                <c:pt idx="373">
                  <c:v>25.000000000000057</c:v>
                </c:pt>
                <c:pt idx="374">
                  <c:v>25.100000000000058</c:v>
                </c:pt>
                <c:pt idx="375">
                  <c:v>25.20000000000006</c:v>
                </c:pt>
                <c:pt idx="376">
                  <c:v>25.300000000000061</c:v>
                </c:pt>
                <c:pt idx="377">
                  <c:v>25.400000000000063</c:v>
                </c:pt>
                <c:pt idx="378">
                  <c:v>25.500000000000064</c:v>
                </c:pt>
                <c:pt idx="379">
                  <c:v>25.600000000000065</c:v>
                </c:pt>
                <c:pt idx="380">
                  <c:v>25.700000000000067</c:v>
                </c:pt>
                <c:pt idx="381">
                  <c:v>25.800000000000068</c:v>
                </c:pt>
                <c:pt idx="382">
                  <c:v>25.90000000000007</c:v>
                </c:pt>
                <c:pt idx="383">
                  <c:v>26.000000000000071</c:v>
                </c:pt>
                <c:pt idx="384">
                  <c:v>26.100000000000072</c:v>
                </c:pt>
                <c:pt idx="385">
                  <c:v>26.200000000000074</c:v>
                </c:pt>
                <c:pt idx="386">
                  <c:v>26.300000000000075</c:v>
                </c:pt>
                <c:pt idx="387">
                  <c:v>26.400000000000077</c:v>
                </c:pt>
                <c:pt idx="388">
                  <c:v>26.500000000000078</c:v>
                </c:pt>
                <c:pt idx="389">
                  <c:v>26.60000000000008</c:v>
                </c:pt>
                <c:pt idx="390">
                  <c:v>26.700000000000081</c:v>
                </c:pt>
                <c:pt idx="391">
                  <c:v>26.800000000000082</c:v>
                </c:pt>
                <c:pt idx="392">
                  <c:v>26.900000000000084</c:v>
                </c:pt>
                <c:pt idx="393">
                  <c:v>27.000000000000085</c:v>
                </c:pt>
                <c:pt idx="394">
                  <c:v>27.100000000000087</c:v>
                </c:pt>
                <c:pt idx="395">
                  <c:v>27.200000000000088</c:v>
                </c:pt>
                <c:pt idx="396">
                  <c:v>27.30000000000009</c:v>
                </c:pt>
                <c:pt idx="397">
                  <c:v>27.400000000000091</c:v>
                </c:pt>
                <c:pt idx="398">
                  <c:v>27.500000000000092</c:v>
                </c:pt>
                <c:pt idx="399">
                  <c:v>27.600000000000094</c:v>
                </c:pt>
                <c:pt idx="400">
                  <c:v>27.700000000000095</c:v>
                </c:pt>
                <c:pt idx="401">
                  <c:v>27.800000000000097</c:v>
                </c:pt>
                <c:pt idx="402">
                  <c:v>27.900000000000098</c:v>
                </c:pt>
                <c:pt idx="403">
                  <c:v>28.000000000000099</c:v>
                </c:pt>
                <c:pt idx="404">
                  <c:v>28.100000000000101</c:v>
                </c:pt>
                <c:pt idx="405">
                  <c:v>28.200000000000102</c:v>
                </c:pt>
                <c:pt idx="406">
                  <c:v>28.300000000000104</c:v>
                </c:pt>
                <c:pt idx="407">
                  <c:v>28.400000000000105</c:v>
                </c:pt>
                <c:pt idx="408">
                  <c:v>28.500000000000107</c:v>
                </c:pt>
                <c:pt idx="409">
                  <c:v>28.600000000000108</c:v>
                </c:pt>
                <c:pt idx="410">
                  <c:v>28.700000000000109</c:v>
                </c:pt>
                <c:pt idx="411">
                  <c:v>28.800000000000111</c:v>
                </c:pt>
                <c:pt idx="412">
                  <c:v>28.900000000000112</c:v>
                </c:pt>
                <c:pt idx="413">
                  <c:v>29.000000000000114</c:v>
                </c:pt>
                <c:pt idx="414">
                  <c:v>29.100000000000115</c:v>
                </c:pt>
                <c:pt idx="415">
                  <c:v>29.200000000000117</c:v>
                </c:pt>
                <c:pt idx="416">
                  <c:v>29.300000000000118</c:v>
                </c:pt>
                <c:pt idx="417">
                  <c:v>29.400000000000119</c:v>
                </c:pt>
                <c:pt idx="418">
                  <c:v>29.500000000000121</c:v>
                </c:pt>
                <c:pt idx="419">
                  <c:v>29.600000000000122</c:v>
                </c:pt>
                <c:pt idx="420">
                  <c:v>29.700000000000124</c:v>
                </c:pt>
                <c:pt idx="421">
                  <c:v>29.800000000000125</c:v>
                </c:pt>
                <c:pt idx="422">
                  <c:v>29.900000000000126</c:v>
                </c:pt>
                <c:pt idx="423">
                  <c:v>30.000000000000128</c:v>
                </c:pt>
                <c:pt idx="424">
                  <c:v>30.100000000000129</c:v>
                </c:pt>
                <c:pt idx="425">
                  <c:v>30.200000000000131</c:v>
                </c:pt>
                <c:pt idx="426">
                  <c:v>30.300000000000132</c:v>
                </c:pt>
                <c:pt idx="427">
                  <c:v>30.400000000000134</c:v>
                </c:pt>
                <c:pt idx="428">
                  <c:v>30.500000000000135</c:v>
                </c:pt>
                <c:pt idx="429">
                  <c:v>30.600000000000136</c:v>
                </c:pt>
                <c:pt idx="430">
                  <c:v>30.700000000000138</c:v>
                </c:pt>
                <c:pt idx="431">
                  <c:v>30.800000000000139</c:v>
                </c:pt>
                <c:pt idx="432">
                  <c:v>30.900000000000141</c:v>
                </c:pt>
                <c:pt idx="433">
                  <c:v>31.000000000000142</c:v>
                </c:pt>
                <c:pt idx="434">
                  <c:v>31.100000000000144</c:v>
                </c:pt>
                <c:pt idx="435">
                  <c:v>31.200000000000145</c:v>
                </c:pt>
                <c:pt idx="436">
                  <c:v>31.300000000000146</c:v>
                </c:pt>
                <c:pt idx="437">
                  <c:v>31.400000000000148</c:v>
                </c:pt>
                <c:pt idx="438">
                  <c:v>31.500000000000149</c:v>
                </c:pt>
                <c:pt idx="439">
                  <c:v>31.600000000000151</c:v>
                </c:pt>
                <c:pt idx="440">
                  <c:v>31.700000000000152</c:v>
                </c:pt>
                <c:pt idx="441">
                  <c:v>31.800000000000153</c:v>
                </c:pt>
                <c:pt idx="442">
                  <c:v>31.900000000000155</c:v>
                </c:pt>
                <c:pt idx="443">
                  <c:v>32.000000000000156</c:v>
                </c:pt>
                <c:pt idx="444">
                  <c:v>32.100000000000158</c:v>
                </c:pt>
                <c:pt idx="445">
                  <c:v>32.200000000000159</c:v>
                </c:pt>
                <c:pt idx="446">
                  <c:v>32.300000000000161</c:v>
                </c:pt>
                <c:pt idx="447">
                  <c:v>32.400000000000162</c:v>
                </c:pt>
                <c:pt idx="448">
                  <c:v>32.500000000000163</c:v>
                </c:pt>
                <c:pt idx="449">
                  <c:v>32.600000000000165</c:v>
                </c:pt>
                <c:pt idx="450">
                  <c:v>32.700000000000166</c:v>
                </c:pt>
                <c:pt idx="451">
                  <c:v>32.800000000000168</c:v>
                </c:pt>
                <c:pt idx="452">
                  <c:v>32.900000000000169</c:v>
                </c:pt>
                <c:pt idx="453">
                  <c:v>33.000000000000171</c:v>
                </c:pt>
                <c:pt idx="454">
                  <c:v>33.100000000000172</c:v>
                </c:pt>
                <c:pt idx="455">
                  <c:v>33.200000000000173</c:v>
                </c:pt>
                <c:pt idx="456">
                  <c:v>33.300000000000175</c:v>
                </c:pt>
                <c:pt idx="457">
                  <c:v>33.400000000000176</c:v>
                </c:pt>
                <c:pt idx="458">
                  <c:v>33.500000000000178</c:v>
                </c:pt>
                <c:pt idx="459">
                  <c:v>33.600000000000179</c:v>
                </c:pt>
                <c:pt idx="460">
                  <c:v>33.70000000000018</c:v>
                </c:pt>
                <c:pt idx="461">
                  <c:v>33.800000000000182</c:v>
                </c:pt>
                <c:pt idx="462">
                  <c:v>33.900000000000183</c:v>
                </c:pt>
                <c:pt idx="463">
                  <c:v>34.000000000000185</c:v>
                </c:pt>
                <c:pt idx="464">
                  <c:v>34.100000000000186</c:v>
                </c:pt>
                <c:pt idx="465">
                  <c:v>34.200000000000188</c:v>
                </c:pt>
                <c:pt idx="466">
                  <c:v>34.300000000000189</c:v>
                </c:pt>
                <c:pt idx="467">
                  <c:v>34.40000000000019</c:v>
                </c:pt>
                <c:pt idx="468">
                  <c:v>34.500000000000192</c:v>
                </c:pt>
                <c:pt idx="469">
                  <c:v>34.600000000000193</c:v>
                </c:pt>
                <c:pt idx="470">
                  <c:v>34.700000000000195</c:v>
                </c:pt>
                <c:pt idx="471">
                  <c:v>34.800000000000196</c:v>
                </c:pt>
                <c:pt idx="472">
                  <c:v>34.900000000000198</c:v>
                </c:pt>
                <c:pt idx="473">
                  <c:v>35.000000000000199</c:v>
                </c:pt>
                <c:pt idx="474">
                  <c:v>35.1000000000002</c:v>
                </c:pt>
                <c:pt idx="475">
                  <c:v>35.200000000000202</c:v>
                </c:pt>
                <c:pt idx="476">
                  <c:v>35.300000000000203</c:v>
                </c:pt>
                <c:pt idx="477">
                  <c:v>35.400000000000205</c:v>
                </c:pt>
                <c:pt idx="478">
                  <c:v>35.500000000000206</c:v>
                </c:pt>
                <c:pt idx="479">
                  <c:v>35.600000000000207</c:v>
                </c:pt>
                <c:pt idx="480">
                  <c:v>35.700000000000209</c:v>
                </c:pt>
                <c:pt idx="481">
                  <c:v>35.80000000000021</c:v>
                </c:pt>
                <c:pt idx="482">
                  <c:v>35.900000000000212</c:v>
                </c:pt>
                <c:pt idx="483">
                  <c:v>36.000000000000213</c:v>
                </c:pt>
                <c:pt idx="484">
                  <c:v>36.100000000000215</c:v>
                </c:pt>
                <c:pt idx="485">
                  <c:v>36.200000000000216</c:v>
                </c:pt>
                <c:pt idx="486">
                  <c:v>36.300000000000217</c:v>
                </c:pt>
                <c:pt idx="487">
                  <c:v>36.400000000000219</c:v>
                </c:pt>
                <c:pt idx="488">
                  <c:v>36.50000000000022</c:v>
                </c:pt>
                <c:pt idx="489">
                  <c:v>36.600000000000222</c:v>
                </c:pt>
                <c:pt idx="490">
                  <c:v>36.700000000000223</c:v>
                </c:pt>
                <c:pt idx="491">
                  <c:v>36.800000000000225</c:v>
                </c:pt>
                <c:pt idx="492">
                  <c:v>36.900000000000226</c:v>
                </c:pt>
                <c:pt idx="493">
                  <c:v>37.000000000000227</c:v>
                </c:pt>
                <c:pt idx="494">
                  <c:v>37.100000000000229</c:v>
                </c:pt>
                <c:pt idx="495">
                  <c:v>37.20000000000023</c:v>
                </c:pt>
                <c:pt idx="496">
                  <c:v>37.300000000000232</c:v>
                </c:pt>
                <c:pt idx="497">
                  <c:v>37.400000000000233</c:v>
                </c:pt>
                <c:pt idx="498">
                  <c:v>37.500000000000234</c:v>
                </c:pt>
                <c:pt idx="499">
                  <c:v>37.600000000000236</c:v>
                </c:pt>
                <c:pt idx="500">
                  <c:v>37.700000000000237</c:v>
                </c:pt>
                <c:pt idx="501">
                  <c:v>37.800000000000239</c:v>
                </c:pt>
                <c:pt idx="502">
                  <c:v>37.90000000000024</c:v>
                </c:pt>
                <c:pt idx="503">
                  <c:v>38.000000000000242</c:v>
                </c:pt>
                <c:pt idx="504">
                  <c:v>38.100000000000243</c:v>
                </c:pt>
                <c:pt idx="505">
                  <c:v>38.200000000000244</c:v>
                </c:pt>
                <c:pt idx="506">
                  <c:v>38.300000000000246</c:v>
                </c:pt>
                <c:pt idx="507">
                  <c:v>38.400000000000247</c:v>
                </c:pt>
                <c:pt idx="508">
                  <c:v>38.500000000000249</c:v>
                </c:pt>
                <c:pt idx="509">
                  <c:v>38.60000000000025</c:v>
                </c:pt>
                <c:pt idx="510">
                  <c:v>38.700000000000252</c:v>
                </c:pt>
                <c:pt idx="511">
                  <c:v>38.800000000000253</c:v>
                </c:pt>
                <c:pt idx="512">
                  <c:v>38.900000000000254</c:v>
                </c:pt>
                <c:pt idx="513">
                  <c:v>39.000000000000256</c:v>
                </c:pt>
                <c:pt idx="514">
                  <c:v>39.100000000000257</c:v>
                </c:pt>
                <c:pt idx="515">
                  <c:v>39.200000000000259</c:v>
                </c:pt>
                <c:pt idx="516">
                  <c:v>39.30000000000026</c:v>
                </c:pt>
                <c:pt idx="517">
                  <c:v>39.400000000000261</c:v>
                </c:pt>
                <c:pt idx="518">
                  <c:v>39.500000000000263</c:v>
                </c:pt>
                <c:pt idx="519">
                  <c:v>39.600000000000264</c:v>
                </c:pt>
                <c:pt idx="520">
                  <c:v>39.700000000000266</c:v>
                </c:pt>
                <c:pt idx="521">
                  <c:v>39.800000000000267</c:v>
                </c:pt>
                <c:pt idx="522">
                  <c:v>39.900000000000269</c:v>
                </c:pt>
                <c:pt idx="523">
                  <c:v>40.00000000000027</c:v>
                </c:pt>
                <c:pt idx="524">
                  <c:v>40.100000000000271</c:v>
                </c:pt>
                <c:pt idx="525">
                  <c:v>40.200000000000273</c:v>
                </c:pt>
                <c:pt idx="526">
                  <c:v>40.300000000000274</c:v>
                </c:pt>
                <c:pt idx="527">
                  <c:v>40.400000000000276</c:v>
                </c:pt>
                <c:pt idx="528">
                  <c:v>40.500000000000277</c:v>
                </c:pt>
                <c:pt idx="529">
                  <c:v>40.600000000000279</c:v>
                </c:pt>
                <c:pt idx="530">
                  <c:v>40.70000000000028</c:v>
                </c:pt>
                <c:pt idx="531">
                  <c:v>40.800000000000281</c:v>
                </c:pt>
                <c:pt idx="532">
                  <c:v>40.900000000000283</c:v>
                </c:pt>
                <c:pt idx="533">
                  <c:v>41.000000000000284</c:v>
                </c:pt>
                <c:pt idx="534">
                  <c:v>41.100000000000286</c:v>
                </c:pt>
                <c:pt idx="535">
                  <c:v>41.200000000000287</c:v>
                </c:pt>
                <c:pt idx="536">
                  <c:v>41.300000000000288</c:v>
                </c:pt>
                <c:pt idx="537">
                  <c:v>41.40000000000029</c:v>
                </c:pt>
                <c:pt idx="538">
                  <c:v>41.500000000000291</c:v>
                </c:pt>
                <c:pt idx="539">
                  <c:v>41.600000000000293</c:v>
                </c:pt>
                <c:pt idx="540">
                  <c:v>41.700000000000294</c:v>
                </c:pt>
                <c:pt idx="541">
                  <c:v>41.800000000000296</c:v>
                </c:pt>
                <c:pt idx="542">
                  <c:v>41.900000000000297</c:v>
                </c:pt>
                <c:pt idx="543">
                  <c:v>42.000000000000298</c:v>
                </c:pt>
                <c:pt idx="544">
                  <c:v>42.1000000000003</c:v>
                </c:pt>
                <c:pt idx="545">
                  <c:v>42.200000000000301</c:v>
                </c:pt>
                <c:pt idx="546">
                  <c:v>42.300000000000303</c:v>
                </c:pt>
                <c:pt idx="547">
                  <c:v>42.400000000000304</c:v>
                </c:pt>
                <c:pt idx="548">
                  <c:v>42.500000000000306</c:v>
                </c:pt>
                <c:pt idx="549">
                  <c:v>42.600000000000307</c:v>
                </c:pt>
                <c:pt idx="550">
                  <c:v>42.700000000000308</c:v>
                </c:pt>
                <c:pt idx="551">
                  <c:v>42.80000000000031</c:v>
                </c:pt>
                <c:pt idx="552">
                  <c:v>42.900000000000311</c:v>
                </c:pt>
                <c:pt idx="553">
                  <c:v>43.000000000000313</c:v>
                </c:pt>
                <c:pt idx="554">
                  <c:v>43.100000000000314</c:v>
                </c:pt>
                <c:pt idx="555">
                  <c:v>43.200000000000315</c:v>
                </c:pt>
                <c:pt idx="556">
                  <c:v>43.300000000000317</c:v>
                </c:pt>
                <c:pt idx="557">
                  <c:v>43.400000000000318</c:v>
                </c:pt>
                <c:pt idx="558">
                  <c:v>43.50000000000032</c:v>
                </c:pt>
                <c:pt idx="559">
                  <c:v>43.600000000000321</c:v>
                </c:pt>
                <c:pt idx="560">
                  <c:v>43.700000000000323</c:v>
                </c:pt>
                <c:pt idx="561">
                  <c:v>43.800000000000324</c:v>
                </c:pt>
                <c:pt idx="562">
                  <c:v>43.900000000000325</c:v>
                </c:pt>
                <c:pt idx="563">
                  <c:v>44.000000000000327</c:v>
                </c:pt>
                <c:pt idx="564">
                  <c:v>44.100000000000328</c:v>
                </c:pt>
                <c:pt idx="565">
                  <c:v>44.20000000000033</c:v>
                </c:pt>
                <c:pt idx="566">
                  <c:v>44.300000000000331</c:v>
                </c:pt>
                <c:pt idx="567">
                  <c:v>44.400000000000333</c:v>
                </c:pt>
                <c:pt idx="568">
                  <c:v>44.500000000000334</c:v>
                </c:pt>
                <c:pt idx="569">
                  <c:v>44.600000000000335</c:v>
                </c:pt>
                <c:pt idx="570">
                  <c:v>44.700000000000337</c:v>
                </c:pt>
                <c:pt idx="571">
                  <c:v>44.800000000000338</c:v>
                </c:pt>
                <c:pt idx="572">
                  <c:v>44.90000000000034</c:v>
                </c:pt>
                <c:pt idx="573">
                  <c:v>45.000000000000341</c:v>
                </c:pt>
                <c:pt idx="574">
                  <c:v>45.100000000000342</c:v>
                </c:pt>
                <c:pt idx="575">
                  <c:v>45.200000000000344</c:v>
                </c:pt>
                <c:pt idx="576">
                  <c:v>45.300000000000345</c:v>
                </c:pt>
                <c:pt idx="577">
                  <c:v>45.400000000000347</c:v>
                </c:pt>
                <c:pt idx="578">
                  <c:v>45.500000000000348</c:v>
                </c:pt>
                <c:pt idx="579">
                  <c:v>45.60000000000035</c:v>
                </c:pt>
                <c:pt idx="580">
                  <c:v>45.700000000000351</c:v>
                </c:pt>
                <c:pt idx="581">
                  <c:v>45.800000000000352</c:v>
                </c:pt>
                <c:pt idx="582">
                  <c:v>45.900000000000354</c:v>
                </c:pt>
                <c:pt idx="583">
                  <c:v>46.000000000000355</c:v>
                </c:pt>
                <c:pt idx="584">
                  <c:v>46.100000000000357</c:v>
                </c:pt>
                <c:pt idx="585">
                  <c:v>46.200000000000358</c:v>
                </c:pt>
                <c:pt idx="586">
                  <c:v>46.30000000000036</c:v>
                </c:pt>
                <c:pt idx="587">
                  <c:v>46.400000000000361</c:v>
                </c:pt>
                <c:pt idx="588">
                  <c:v>46.500000000000362</c:v>
                </c:pt>
                <c:pt idx="589">
                  <c:v>46.600000000000364</c:v>
                </c:pt>
                <c:pt idx="590">
                  <c:v>46.700000000000365</c:v>
                </c:pt>
                <c:pt idx="591">
                  <c:v>46.800000000000367</c:v>
                </c:pt>
                <c:pt idx="592">
                  <c:v>46.900000000000368</c:v>
                </c:pt>
                <c:pt idx="593">
                  <c:v>47.000000000000369</c:v>
                </c:pt>
                <c:pt idx="594">
                  <c:v>47.100000000000371</c:v>
                </c:pt>
                <c:pt idx="595">
                  <c:v>47.100100000000374</c:v>
                </c:pt>
                <c:pt idx="596">
                  <c:v>47.100200000000378</c:v>
                </c:pt>
                <c:pt idx="597">
                  <c:v>47.100300000000381</c:v>
                </c:pt>
                <c:pt idx="598">
                  <c:v>47.100400000000384</c:v>
                </c:pt>
                <c:pt idx="599">
                  <c:v>47.100500000000388</c:v>
                </c:pt>
                <c:pt idx="600">
                  <c:v>47.100600000000391</c:v>
                </c:pt>
                <c:pt idx="601">
                  <c:v>47.100700000000394</c:v>
                </c:pt>
                <c:pt idx="602">
                  <c:v>47.100800000000397</c:v>
                </c:pt>
                <c:pt idx="603">
                  <c:v>47.100900000000401</c:v>
                </c:pt>
                <c:pt idx="604">
                  <c:v>47.101000000000404</c:v>
                </c:pt>
                <c:pt idx="605">
                  <c:v>47.101100000000407</c:v>
                </c:pt>
                <c:pt idx="606">
                  <c:v>47.101200000000411</c:v>
                </c:pt>
                <c:pt idx="607">
                  <c:v>47.101300000000414</c:v>
                </c:pt>
                <c:pt idx="608">
                  <c:v>47.101400000000417</c:v>
                </c:pt>
                <c:pt idx="609">
                  <c:v>47.101500000000421</c:v>
                </c:pt>
                <c:pt idx="610">
                  <c:v>47.101600000000424</c:v>
                </c:pt>
                <c:pt idx="611">
                  <c:v>47.101700000000427</c:v>
                </c:pt>
                <c:pt idx="612">
                  <c:v>47.101800000000431</c:v>
                </c:pt>
                <c:pt idx="613">
                  <c:v>47.101900000000434</c:v>
                </c:pt>
                <c:pt idx="614">
                  <c:v>47.102000000000437</c:v>
                </c:pt>
                <c:pt idx="615">
                  <c:v>47.102100000000441</c:v>
                </c:pt>
                <c:pt idx="616">
                  <c:v>47.102200000000444</c:v>
                </c:pt>
                <c:pt idx="617">
                  <c:v>47.102300000000447</c:v>
                </c:pt>
                <c:pt idx="618">
                  <c:v>47.102400000000451</c:v>
                </c:pt>
                <c:pt idx="619">
                  <c:v>47.102500000000454</c:v>
                </c:pt>
                <c:pt idx="620">
                  <c:v>47.102600000000457</c:v>
                </c:pt>
                <c:pt idx="621">
                  <c:v>47.102700000000461</c:v>
                </c:pt>
                <c:pt idx="622">
                  <c:v>47.102800000000464</c:v>
                </c:pt>
                <c:pt idx="623">
                  <c:v>47.102900000000467</c:v>
                </c:pt>
                <c:pt idx="624">
                  <c:v>47.10300000000047</c:v>
                </c:pt>
                <c:pt idx="625">
                  <c:v>47.103100000000474</c:v>
                </c:pt>
                <c:pt idx="626">
                  <c:v>47.103200000000477</c:v>
                </c:pt>
                <c:pt idx="627">
                  <c:v>47.10330000000048</c:v>
                </c:pt>
                <c:pt idx="628">
                  <c:v>47.103400000000484</c:v>
                </c:pt>
                <c:pt idx="629">
                  <c:v>47.103500000000487</c:v>
                </c:pt>
                <c:pt idx="630">
                  <c:v>47.10360000000049</c:v>
                </c:pt>
                <c:pt idx="631">
                  <c:v>47.103700000000494</c:v>
                </c:pt>
                <c:pt idx="632">
                  <c:v>47.103800000000497</c:v>
                </c:pt>
                <c:pt idx="633">
                  <c:v>47.1039000000005</c:v>
                </c:pt>
                <c:pt idx="634">
                  <c:v>47.104000000000504</c:v>
                </c:pt>
                <c:pt idx="635">
                  <c:v>47.104100000000507</c:v>
                </c:pt>
                <c:pt idx="636">
                  <c:v>47.10420000000051</c:v>
                </c:pt>
                <c:pt idx="637">
                  <c:v>47.104300000000514</c:v>
                </c:pt>
                <c:pt idx="638">
                  <c:v>47.104400000000517</c:v>
                </c:pt>
                <c:pt idx="639">
                  <c:v>47.10450000000052</c:v>
                </c:pt>
                <c:pt idx="640">
                  <c:v>47.104600000000524</c:v>
                </c:pt>
                <c:pt idx="641">
                  <c:v>47.104700000000527</c:v>
                </c:pt>
                <c:pt idx="642">
                  <c:v>47.10480000000053</c:v>
                </c:pt>
                <c:pt idx="643">
                  <c:v>47.104900000000534</c:v>
                </c:pt>
                <c:pt idx="644">
                  <c:v>47.105000000000537</c:v>
                </c:pt>
                <c:pt idx="645">
                  <c:v>47.10510000000054</c:v>
                </c:pt>
                <c:pt idx="646">
                  <c:v>47.105200000000544</c:v>
                </c:pt>
                <c:pt idx="647">
                  <c:v>47.105300000000547</c:v>
                </c:pt>
                <c:pt idx="648">
                  <c:v>47.10540000000055</c:v>
                </c:pt>
                <c:pt idx="649">
                  <c:v>47.105500000000553</c:v>
                </c:pt>
                <c:pt idx="650">
                  <c:v>47.105600000000557</c:v>
                </c:pt>
                <c:pt idx="651">
                  <c:v>47.10570000000056</c:v>
                </c:pt>
                <c:pt idx="652">
                  <c:v>47.105800000000563</c:v>
                </c:pt>
                <c:pt idx="653">
                  <c:v>47.105900000000567</c:v>
                </c:pt>
                <c:pt idx="654">
                  <c:v>47.10600000000057</c:v>
                </c:pt>
                <c:pt idx="655">
                  <c:v>47.106100000000573</c:v>
                </c:pt>
                <c:pt idx="656">
                  <c:v>47.106200000000577</c:v>
                </c:pt>
                <c:pt idx="657">
                  <c:v>47.10630000000058</c:v>
                </c:pt>
                <c:pt idx="658">
                  <c:v>47.106400000000583</c:v>
                </c:pt>
                <c:pt idx="659">
                  <c:v>47.106500000000587</c:v>
                </c:pt>
                <c:pt idx="660">
                  <c:v>47.10660000000059</c:v>
                </c:pt>
                <c:pt idx="661">
                  <c:v>47.106700000000593</c:v>
                </c:pt>
                <c:pt idx="662">
                  <c:v>47.106800000000597</c:v>
                </c:pt>
                <c:pt idx="663">
                  <c:v>47.1069000000006</c:v>
                </c:pt>
                <c:pt idx="664">
                  <c:v>47.107000000000603</c:v>
                </c:pt>
                <c:pt idx="665">
                  <c:v>47.107100000000607</c:v>
                </c:pt>
                <c:pt idx="666">
                  <c:v>47.10720000000061</c:v>
                </c:pt>
                <c:pt idx="667">
                  <c:v>47.107300000000613</c:v>
                </c:pt>
                <c:pt idx="668">
                  <c:v>47.107400000000617</c:v>
                </c:pt>
                <c:pt idx="669">
                  <c:v>47.10750000000062</c:v>
                </c:pt>
                <c:pt idx="670">
                  <c:v>47.107600000000623</c:v>
                </c:pt>
                <c:pt idx="671">
                  <c:v>47.107700000000627</c:v>
                </c:pt>
                <c:pt idx="672">
                  <c:v>47.10780000000063</c:v>
                </c:pt>
                <c:pt idx="673">
                  <c:v>47.107900000000633</c:v>
                </c:pt>
                <c:pt idx="674">
                  <c:v>47.108000000000636</c:v>
                </c:pt>
                <c:pt idx="675">
                  <c:v>47.10810000000064</c:v>
                </c:pt>
                <c:pt idx="676">
                  <c:v>47.108200000000643</c:v>
                </c:pt>
                <c:pt idx="677">
                  <c:v>47.108300000000646</c:v>
                </c:pt>
                <c:pt idx="678">
                  <c:v>47.10840000000065</c:v>
                </c:pt>
                <c:pt idx="679">
                  <c:v>47.108500000000653</c:v>
                </c:pt>
                <c:pt idx="680">
                  <c:v>47.108600000000656</c:v>
                </c:pt>
                <c:pt idx="681">
                  <c:v>47.10870000000066</c:v>
                </c:pt>
                <c:pt idx="682">
                  <c:v>47.108800000000663</c:v>
                </c:pt>
                <c:pt idx="683">
                  <c:v>47.108900000000666</c:v>
                </c:pt>
                <c:pt idx="684">
                  <c:v>47.10900000000067</c:v>
                </c:pt>
                <c:pt idx="685">
                  <c:v>47.109100000000673</c:v>
                </c:pt>
                <c:pt idx="686">
                  <c:v>47.109200000000676</c:v>
                </c:pt>
                <c:pt idx="687">
                  <c:v>47.10930000000068</c:v>
                </c:pt>
                <c:pt idx="688">
                  <c:v>47.109400000000683</c:v>
                </c:pt>
                <c:pt idx="689">
                  <c:v>47.109500000000686</c:v>
                </c:pt>
                <c:pt idx="690">
                  <c:v>47.10960000000069</c:v>
                </c:pt>
                <c:pt idx="691">
                  <c:v>47.109700000000693</c:v>
                </c:pt>
                <c:pt idx="692">
                  <c:v>47.109800000000696</c:v>
                </c:pt>
                <c:pt idx="693">
                  <c:v>47.1099000000007</c:v>
                </c:pt>
                <c:pt idx="694">
                  <c:v>47.110000000000703</c:v>
                </c:pt>
                <c:pt idx="695">
                  <c:v>47.110100000000706</c:v>
                </c:pt>
                <c:pt idx="696">
                  <c:v>47.11020000000071</c:v>
                </c:pt>
                <c:pt idx="697">
                  <c:v>47.110300000000713</c:v>
                </c:pt>
                <c:pt idx="698">
                  <c:v>47.110400000000716</c:v>
                </c:pt>
                <c:pt idx="699">
                  <c:v>47.110500000000719</c:v>
                </c:pt>
                <c:pt idx="700">
                  <c:v>47.110600000000723</c:v>
                </c:pt>
                <c:pt idx="701">
                  <c:v>47.110700000000726</c:v>
                </c:pt>
                <c:pt idx="702">
                  <c:v>47.110800000000729</c:v>
                </c:pt>
                <c:pt idx="703">
                  <c:v>47.110900000000733</c:v>
                </c:pt>
                <c:pt idx="704">
                  <c:v>47.111000000000736</c:v>
                </c:pt>
                <c:pt idx="705">
                  <c:v>47.111100000000739</c:v>
                </c:pt>
                <c:pt idx="706">
                  <c:v>47.111200000000743</c:v>
                </c:pt>
                <c:pt idx="707">
                  <c:v>47.111300000000746</c:v>
                </c:pt>
                <c:pt idx="708">
                  <c:v>47.111400000000749</c:v>
                </c:pt>
                <c:pt idx="709">
                  <c:v>47.111500000000753</c:v>
                </c:pt>
                <c:pt idx="710">
                  <c:v>47.111600000000756</c:v>
                </c:pt>
                <c:pt idx="711">
                  <c:v>47.111700000000759</c:v>
                </c:pt>
                <c:pt idx="712">
                  <c:v>47.111800000000763</c:v>
                </c:pt>
                <c:pt idx="713">
                  <c:v>47.111900000000766</c:v>
                </c:pt>
                <c:pt idx="714">
                  <c:v>47.112000000000769</c:v>
                </c:pt>
                <c:pt idx="715">
                  <c:v>47.112100000000773</c:v>
                </c:pt>
                <c:pt idx="716">
                  <c:v>47.112200000000776</c:v>
                </c:pt>
                <c:pt idx="717">
                  <c:v>47.112300000000779</c:v>
                </c:pt>
                <c:pt idx="718">
                  <c:v>47.112400000000783</c:v>
                </c:pt>
                <c:pt idx="719">
                  <c:v>47.112500000000786</c:v>
                </c:pt>
                <c:pt idx="720">
                  <c:v>47.112600000000789</c:v>
                </c:pt>
                <c:pt idx="721">
                  <c:v>47.112700000000792</c:v>
                </c:pt>
                <c:pt idx="722">
                  <c:v>47.112800000000796</c:v>
                </c:pt>
                <c:pt idx="723">
                  <c:v>47.112900000000799</c:v>
                </c:pt>
                <c:pt idx="724">
                  <c:v>47.113000000000802</c:v>
                </c:pt>
                <c:pt idx="725">
                  <c:v>47.113100000000806</c:v>
                </c:pt>
                <c:pt idx="726">
                  <c:v>47.113200000000809</c:v>
                </c:pt>
                <c:pt idx="727">
                  <c:v>47.113300000000812</c:v>
                </c:pt>
                <c:pt idx="728">
                  <c:v>47.113400000000816</c:v>
                </c:pt>
                <c:pt idx="729">
                  <c:v>47.113500000000819</c:v>
                </c:pt>
                <c:pt idx="730">
                  <c:v>47.113600000000822</c:v>
                </c:pt>
                <c:pt idx="731">
                  <c:v>47.113700000000826</c:v>
                </c:pt>
                <c:pt idx="732">
                  <c:v>47.113800000000829</c:v>
                </c:pt>
                <c:pt idx="733">
                  <c:v>47.113900000000832</c:v>
                </c:pt>
                <c:pt idx="734">
                  <c:v>47.114000000000836</c:v>
                </c:pt>
                <c:pt idx="735">
                  <c:v>47.114100000000839</c:v>
                </c:pt>
                <c:pt idx="736">
                  <c:v>47.114200000000842</c:v>
                </c:pt>
                <c:pt idx="737">
                  <c:v>47.114300000000846</c:v>
                </c:pt>
                <c:pt idx="738">
                  <c:v>47.114400000000849</c:v>
                </c:pt>
                <c:pt idx="739">
                  <c:v>47.114500000000852</c:v>
                </c:pt>
                <c:pt idx="740">
                  <c:v>47.114600000000856</c:v>
                </c:pt>
                <c:pt idx="741">
                  <c:v>47.114700000000859</c:v>
                </c:pt>
                <c:pt idx="742">
                  <c:v>47.114800000000862</c:v>
                </c:pt>
                <c:pt idx="743">
                  <c:v>47.114900000000866</c:v>
                </c:pt>
                <c:pt idx="744">
                  <c:v>47.115000000000869</c:v>
                </c:pt>
                <c:pt idx="745">
                  <c:v>47.115100000000872</c:v>
                </c:pt>
                <c:pt idx="746">
                  <c:v>47.115200000000875</c:v>
                </c:pt>
                <c:pt idx="747">
                  <c:v>47.115300000000879</c:v>
                </c:pt>
                <c:pt idx="748">
                  <c:v>47.115400000000882</c:v>
                </c:pt>
                <c:pt idx="749">
                  <c:v>47.115500000000885</c:v>
                </c:pt>
                <c:pt idx="750">
                  <c:v>47.115600000000889</c:v>
                </c:pt>
                <c:pt idx="751">
                  <c:v>47.115700000000892</c:v>
                </c:pt>
                <c:pt idx="752">
                  <c:v>47.115800000000895</c:v>
                </c:pt>
                <c:pt idx="753">
                  <c:v>47.115900000000899</c:v>
                </c:pt>
                <c:pt idx="754">
                  <c:v>47.116000000000902</c:v>
                </c:pt>
                <c:pt idx="755">
                  <c:v>47.116100000000905</c:v>
                </c:pt>
                <c:pt idx="756">
                  <c:v>47.116200000000909</c:v>
                </c:pt>
                <c:pt idx="757">
                  <c:v>47.116300000000912</c:v>
                </c:pt>
                <c:pt idx="758">
                  <c:v>47.116400000000915</c:v>
                </c:pt>
                <c:pt idx="759">
                  <c:v>47.116500000000919</c:v>
                </c:pt>
                <c:pt idx="760">
                  <c:v>47.116600000000922</c:v>
                </c:pt>
                <c:pt idx="761">
                  <c:v>47.116700000000925</c:v>
                </c:pt>
                <c:pt idx="762">
                  <c:v>47.116800000000929</c:v>
                </c:pt>
                <c:pt idx="763">
                  <c:v>47.116900000000932</c:v>
                </c:pt>
                <c:pt idx="764">
                  <c:v>47.117000000000935</c:v>
                </c:pt>
                <c:pt idx="765">
                  <c:v>47.117100000000939</c:v>
                </c:pt>
                <c:pt idx="766">
                  <c:v>47.117200000000942</c:v>
                </c:pt>
                <c:pt idx="767">
                  <c:v>47.117300000000945</c:v>
                </c:pt>
                <c:pt idx="768">
                  <c:v>47.117400000000949</c:v>
                </c:pt>
                <c:pt idx="769">
                  <c:v>47.117500000000952</c:v>
                </c:pt>
                <c:pt idx="770">
                  <c:v>47.117600000000955</c:v>
                </c:pt>
                <c:pt idx="771">
                  <c:v>47.117700000000958</c:v>
                </c:pt>
                <c:pt idx="772">
                  <c:v>47.117800000000962</c:v>
                </c:pt>
                <c:pt idx="773">
                  <c:v>47.117900000000965</c:v>
                </c:pt>
                <c:pt idx="774">
                  <c:v>47.118000000000968</c:v>
                </c:pt>
                <c:pt idx="775">
                  <c:v>47.118100000000972</c:v>
                </c:pt>
                <c:pt idx="776">
                  <c:v>47.118200000000975</c:v>
                </c:pt>
                <c:pt idx="777">
                  <c:v>47.118300000000978</c:v>
                </c:pt>
                <c:pt idx="778">
                  <c:v>47.118400000000982</c:v>
                </c:pt>
                <c:pt idx="779">
                  <c:v>47.118500000000985</c:v>
                </c:pt>
                <c:pt idx="780">
                  <c:v>47.118600000000988</c:v>
                </c:pt>
                <c:pt idx="781">
                  <c:v>47.118700000000992</c:v>
                </c:pt>
                <c:pt idx="782">
                  <c:v>47.118800000000995</c:v>
                </c:pt>
                <c:pt idx="783">
                  <c:v>47.118900000000998</c:v>
                </c:pt>
                <c:pt idx="784">
                  <c:v>47.119000000001002</c:v>
                </c:pt>
                <c:pt idx="785">
                  <c:v>47.119100000001005</c:v>
                </c:pt>
                <c:pt idx="786">
                  <c:v>47.119200000001008</c:v>
                </c:pt>
                <c:pt idx="787">
                  <c:v>47.119300000001012</c:v>
                </c:pt>
                <c:pt idx="788">
                  <c:v>47.119400000001015</c:v>
                </c:pt>
                <c:pt idx="789">
                  <c:v>47.119500000001018</c:v>
                </c:pt>
                <c:pt idx="790">
                  <c:v>47.119600000001022</c:v>
                </c:pt>
                <c:pt idx="791">
                  <c:v>47.119700000001025</c:v>
                </c:pt>
                <c:pt idx="792">
                  <c:v>47.119800000001028</c:v>
                </c:pt>
                <c:pt idx="793">
                  <c:v>47.119900000001032</c:v>
                </c:pt>
                <c:pt idx="794">
                  <c:v>47.120000000001035</c:v>
                </c:pt>
                <c:pt idx="795">
                  <c:v>47.120100000001038</c:v>
                </c:pt>
                <c:pt idx="796">
                  <c:v>47.120200000001041</c:v>
                </c:pt>
                <c:pt idx="797">
                  <c:v>47.120300000001045</c:v>
                </c:pt>
                <c:pt idx="798">
                  <c:v>47.120400000001048</c:v>
                </c:pt>
                <c:pt idx="799">
                  <c:v>47.120500000001051</c:v>
                </c:pt>
                <c:pt idx="800">
                  <c:v>47.120600000001055</c:v>
                </c:pt>
                <c:pt idx="801">
                  <c:v>47.120700000001058</c:v>
                </c:pt>
                <c:pt idx="802">
                  <c:v>47.120800000001061</c:v>
                </c:pt>
                <c:pt idx="803">
                  <c:v>47.120900000001065</c:v>
                </c:pt>
                <c:pt idx="804">
                  <c:v>47.121000000001068</c:v>
                </c:pt>
                <c:pt idx="805">
                  <c:v>47.121100000001071</c:v>
                </c:pt>
                <c:pt idx="806">
                  <c:v>47.121200000001075</c:v>
                </c:pt>
                <c:pt idx="807">
                  <c:v>47.121300000001078</c:v>
                </c:pt>
                <c:pt idx="808">
                  <c:v>47.121400000001081</c:v>
                </c:pt>
                <c:pt idx="809">
                  <c:v>47.121500000001085</c:v>
                </c:pt>
                <c:pt idx="810">
                  <c:v>47.121600000001088</c:v>
                </c:pt>
                <c:pt idx="811">
                  <c:v>47.121700000001091</c:v>
                </c:pt>
                <c:pt idx="812">
                  <c:v>47.121800000001095</c:v>
                </c:pt>
                <c:pt idx="813">
                  <c:v>47.121900000001098</c:v>
                </c:pt>
                <c:pt idx="814">
                  <c:v>47.122000000001101</c:v>
                </c:pt>
                <c:pt idx="815">
                  <c:v>47.122100000001105</c:v>
                </c:pt>
                <c:pt idx="816">
                  <c:v>47.122200000001108</c:v>
                </c:pt>
                <c:pt idx="817">
                  <c:v>47.122300000001111</c:v>
                </c:pt>
                <c:pt idx="818">
                  <c:v>47.122400000001115</c:v>
                </c:pt>
                <c:pt idx="819">
                  <c:v>47.122500000001118</c:v>
                </c:pt>
                <c:pt idx="820">
                  <c:v>47.122600000001121</c:v>
                </c:pt>
                <c:pt idx="821">
                  <c:v>47.122700000001124</c:v>
                </c:pt>
                <c:pt idx="822">
                  <c:v>47.122800000001128</c:v>
                </c:pt>
                <c:pt idx="823">
                  <c:v>47.122900000001131</c:v>
                </c:pt>
                <c:pt idx="824">
                  <c:v>47.123000000001134</c:v>
                </c:pt>
                <c:pt idx="825">
                  <c:v>47.123100000001138</c:v>
                </c:pt>
                <c:pt idx="826">
                  <c:v>47.123200000001141</c:v>
                </c:pt>
                <c:pt idx="827">
                  <c:v>47.123300000001144</c:v>
                </c:pt>
                <c:pt idx="828">
                  <c:v>47.123400000001148</c:v>
                </c:pt>
                <c:pt idx="829">
                  <c:v>47.123500000001151</c:v>
                </c:pt>
                <c:pt idx="830">
                  <c:v>47.123600000001154</c:v>
                </c:pt>
                <c:pt idx="831">
                  <c:v>47.123700000001158</c:v>
                </c:pt>
                <c:pt idx="832">
                  <c:v>47.123800000001161</c:v>
                </c:pt>
                <c:pt idx="833">
                  <c:v>47.123900000001164</c:v>
                </c:pt>
                <c:pt idx="834">
                  <c:v>47.124000000001168</c:v>
                </c:pt>
                <c:pt idx="835">
                  <c:v>47.124100000001171</c:v>
                </c:pt>
                <c:pt idx="836">
                  <c:v>47.124200000001174</c:v>
                </c:pt>
                <c:pt idx="837">
                  <c:v>47.124300000001178</c:v>
                </c:pt>
                <c:pt idx="838">
                  <c:v>47.124400000001181</c:v>
                </c:pt>
                <c:pt idx="839">
                  <c:v>47.124500000001184</c:v>
                </c:pt>
                <c:pt idx="840">
                  <c:v>47.124600000001188</c:v>
                </c:pt>
                <c:pt idx="841">
                  <c:v>47.124700000001191</c:v>
                </c:pt>
                <c:pt idx="842">
                  <c:v>47.124800000001194</c:v>
                </c:pt>
                <c:pt idx="843">
                  <c:v>47.124900000001197</c:v>
                </c:pt>
                <c:pt idx="844">
                  <c:v>47.125000000001201</c:v>
                </c:pt>
                <c:pt idx="845">
                  <c:v>47.125100000001204</c:v>
                </c:pt>
                <c:pt idx="846">
                  <c:v>47.125200000001207</c:v>
                </c:pt>
                <c:pt idx="847">
                  <c:v>47.125300000001211</c:v>
                </c:pt>
                <c:pt idx="848">
                  <c:v>47.125400000001214</c:v>
                </c:pt>
                <c:pt idx="849">
                  <c:v>47.125500000001217</c:v>
                </c:pt>
                <c:pt idx="850">
                  <c:v>47.125600000001221</c:v>
                </c:pt>
                <c:pt idx="851">
                  <c:v>47.125700000001224</c:v>
                </c:pt>
                <c:pt idx="852">
                  <c:v>47.125800000001227</c:v>
                </c:pt>
                <c:pt idx="853">
                  <c:v>47.125900000001231</c:v>
                </c:pt>
                <c:pt idx="854">
                  <c:v>47.126000000001234</c:v>
                </c:pt>
                <c:pt idx="855">
                  <c:v>47.126100000001237</c:v>
                </c:pt>
                <c:pt idx="856">
                  <c:v>47.126200000001241</c:v>
                </c:pt>
                <c:pt idx="857">
                  <c:v>47.126300000001244</c:v>
                </c:pt>
                <c:pt idx="858">
                  <c:v>47.126400000001247</c:v>
                </c:pt>
                <c:pt idx="859">
                  <c:v>47.126500000001251</c:v>
                </c:pt>
                <c:pt idx="860">
                  <c:v>47.126600000001254</c:v>
                </c:pt>
                <c:pt idx="861">
                  <c:v>47.126700000001257</c:v>
                </c:pt>
                <c:pt idx="862">
                  <c:v>47.126800000001261</c:v>
                </c:pt>
                <c:pt idx="863">
                  <c:v>47.126900000001264</c:v>
                </c:pt>
                <c:pt idx="864">
                  <c:v>47.127000000001267</c:v>
                </c:pt>
                <c:pt idx="865">
                  <c:v>47.127100000001271</c:v>
                </c:pt>
                <c:pt idx="866">
                  <c:v>47.127200000001274</c:v>
                </c:pt>
                <c:pt idx="867">
                  <c:v>47.127300000001277</c:v>
                </c:pt>
                <c:pt idx="868">
                  <c:v>47.12740000000128</c:v>
                </c:pt>
                <c:pt idx="869">
                  <c:v>47.127500000001284</c:v>
                </c:pt>
                <c:pt idx="870">
                  <c:v>47.127600000001287</c:v>
                </c:pt>
                <c:pt idx="871">
                  <c:v>47.12770000000129</c:v>
                </c:pt>
                <c:pt idx="872">
                  <c:v>47.127800000001294</c:v>
                </c:pt>
                <c:pt idx="873">
                  <c:v>47.127900000001297</c:v>
                </c:pt>
                <c:pt idx="874">
                  <c:v>47.1280000000013</c:v>
                </c:pt>
                <c:pt idx="875">
                  <c:v>47.128100000001304</c:v>
                </c:pt>
                <c:pt idx="876">
                  <c:v>47.128200000001307</c:v>
                </c:pt>
                <c:pt idx="877">
                  <c:v>47.12830000000131</c:v>
                </c:pt>
                <c:pt idx="878">
                  <c:v>47.128400000001314</c:v>
                </c:pt>
                <c:pt idx="879">
                  <c:v>47.128500000001317</c:v>
                </c:pt>
                <c:pt idx="880">
                  <c:v>47.12860000000132</c:v>
                </c:pt>
                <c:pt idx="881">
                  <c:v>47.128700000001324</c:v>
                </c:pt>
                <c:pt idx="882">
                  <c:v>47.128800000001327</c:v>
                </c:pt>
                <c:pt idx="883">
                  <c:v>47.12890000000133</c:v>
                </c:pt>
                <c:pt idx="884">
                  <c:v>47.129000000001334</c:v>
                </c:pt>
                <c:pt idx="885">
                  <c:v>47.129100000001337</c:v>
                </c:pt>
                <c:pt idx="886">
                  <c:v>47.12920000000134</c:v>
                </c:pt>
                <c:pt idx="887">
                  <c:v>47.129300000001344</c:v>
                </c:pt>
                <c:pt idx="888">
                  <c:v>47.129400000001347</c:v>
                </c:pt>
                <c:pt idx="889">
                  <c:v>47.12950000000135</c:v>
                </c:pt>
                <c:pt idx="890">
                  <c:v>47.129600000001354</c:v>
                </c:pt>
                <c:pt idx="891">
                  <c:v>47.129700000001357</c:v>
                </c:pt>
                <c:pt idx="892">
                  <c:v>47.12980000000136</c:v>
                </c:pt>
                <c:pt idx="893">
                  <c:v>47.129900000001363</c:v>
                </c:pt>
                <c:pt idx="894">
                  <c:v>47.130000000001367</c:v>
                </c:pt>
                <c:pt idx="895">
                  <c:v>47.13010000000137</c:v>
                </c:pt>
                <c:pt idx="896">
                  <c:v>47.130200000001373</c:v>
                </c:pt>
                <c:pt idx="897">
                  <c:v>47.130300000001377</c:v>
                </c:pt>
                <c:pt idx="898">
                  <c:v>47.13040000000138</c:v>
                </c:pt>
                <c:pt idx="899">
                  <c:v>47.130500000001383</c:v>
                </c:pt>
                <c:pt idx="900">
                  <c:v>47.130600000001387</c:v>
                </c:pt>
                <c:pt idx="901">
                  <c:v>47.13070000000139</c:v>
                </c:pt>
                <c:pt idx="902">
                  <c:v>47.130800000001393</c:v>
                </c:pt>
                <c:pt idx="903">
                  <c:v>47.130900000001397</c:v>
                </c:pt>
                <c:pt idx="904">
                  <c:v>47.1310000000014</c:v>
                </c:pt>
                <c:pt idx="905">
                  <c:v>47.131100000001403</c:v>
                </c:pt>
                <c:pt idx="906">
                  <c:v>47.131200000001407</c:v>
                </c:pt>
                <c:pt idx="907">
                  <c:v>47.13130000000141</c:v>
                </c:pt>
                <c:pt idx="908">
                  <c:v>47.131400000001413</c:v>
                </c:pt>
                <c:pt idx="909">
                  <c:v>47.131500000001417</c:v>
                </c:pt>
                <c:pt idx="910">
                  <c:v>47.13160000000142</c:v>
                </c:pt>
                <c:pt idx="911">
                  <c:v>47.131700000001423</c:v>
                </c:pt>
                <c:pt idx="912">
                  <c:v>47.131800000001427</c:v>
                </c:pt>
                <c:pt idx="913">
                  <c:v>47.13190000000143</c:v>
                </c:pt>
                <c:pt idx="914">
                  <c:v>47.132000000001433</c:v>
                </c:pt>
                <c:pt idx="915">
                  <c:v>47.132100000001437</c:v>
                </c:pt>
                <c:pt idx="916">
                  <c:v>47.13220000000144</c:v>
                </c:pt>
                <c:pt idx="917">
                  <c:v>47.132300000001443</c:v>
                </c:pt>
                <c:pt idx="918">
                  <c:v>47.132400000001446</c:v>
                </c:pt>
                <c:pt idx="919">
                  <c:v>47.13250000000145</c:v>
                </c:pt>
                <c:pt idx="920">
                  <c:v>47.132600000001453</c:v>
                </c:pt>
                <c:pt idx="921">
                  <c:v>47.132700000001456</c:v>
                </c:pt>
                <c:pt idx="922">
                  <c:v>47.13280000000146</c:v>
                </c:pt>
                <c:pt idx="923">
                  <c:v>47.132900000001463</c:v>
                </c:pt>
                <c:pt idx="924">
                  <c:v>47.133000000001466</c:v>
                </c:pt>
                <c:pt idx="925">
                  <c:v>47.13310000000147</c:v>
                </c:pt>
                <c:pt idx="926">
                  <c:v>47.133200000001473</c:v>
                </c:pt>
                <c:pt idx="927">
                  <c:v>47.133300000001476</c:v>
                </c:pt>
                <c:pt idx="928">
                  <c:v>47.13340000000148</c:v>
                </c:pt>
                <c:pt idx="929">
                  <c:v>47.133500000001483</c:v>
                </c:pt>
                <c:pt idx="930">
                  <c:v>47.133600000001486</c:v>
                </c:pt>
                <c:pt idx="931">
                  <c:v>47.13370000000149</c:v>
                </c:pt>
                <c:pt idx="932">
                  <c:v>47.133800000001493</c:v>
                </c:pt>
                <c:pt idx="933">
                  <c:v>47.133900000001496</c:v>
                </c:pt>
                <c:pt idx="934">
                  <c:v>47.1340000000015</c:v>
                </c:pt>
                <c:pt idx="935">
                  <c:v>47.134100000001503</c:v>
                </c:pt>
                <c:pt idx="936">
                  <c:v>47.134200000001506</c:v>
                </c:pt>
                <c:pt idx="937">
                  <c:v>47.13430000000151</c:v>
                </c:pt>
                <c:pt idx="938">
                  <c:v>47.134400000001513</c:v>
                </c:pt>
                <c:pt idx="939">
                  <c:v>47.134500000001516</c:v>
                </c:pt>
                <c:pt idx="940">
                  <c:v>47.13460000000152</c:v>
                </c:pt>
                <c:pt idx="941">
                  <c:v>47.134700000001523</c:v>
                </c:pt>
                <c:pt idx="942">
                  <c:v>47.134800000001526</c:v>
                </c:pt>
                <c:pt idx="943">
                  <c:v>47.134900000001529</c:v>
                </c:pt>
                <c:pt idx="944">
                  <c:v>47.135000000001533</c:v>
                </c:pt>
                <c:pt idx="945">
                  <c:v>47.135100000001536</c:v>
                </c:pt>
                <c:pt idx="946">
                  <c:v>47.135200000001539</c:v>
                </c:pt>
                <c:pt idx="947">
                  <c:v>47.135300000001543</c:v>
                </c:pt>
                <c:pt idx="948">
                  <c:v>47.135400000001546</c:v>
                </c:pt>
                <c:pt idx="949">
                  <c:v>47.135500000001549</c:v>
                </c:pt>
                <c:pt idx="950">
                  <c:v>47.135600000001553</c:v>
                </c:pt>
                <c:pt idx="951">
                  <c:v>47.135700000001556</c:v>
                </c:pt>
                <c:pt idx="952">
                  <c:v>47.135800000001559</c:v>
                </c:pt>
                <c:pt idx="953">
                  <c:v>47.135900000001563</c:v>
                </c:pt>
                <c:pt idx="954">
                  <c:v>47.136000000001566</c:v>
                </c:pt>
                <c:pt idx="955">
                  <c:v>47.136100000001569</c:v>
                </c:pt>
                <c:pt idx="956">
                  <c:v>47.136200000001573</c:v>
                </c:pt>
                <c:pt idx="957">
                  <c:v>47.136300000001576</c:v>
                </c:pt>
                <c:pt idx="958">
                  <c:v>47.136400000001579</c:v>
                </c:pt>
                <c:pt idx="959">
                  <c:v>47.136500000001583</c:v>
                </c:pt>
                <c:pt idx="960">
                  <c:v>47.136600000001586</c:v>
                </c:pt>
                <c:pt idx="961">
                  <c:v>47.136700000001589</c:v>
                </c:pt>
                <c:pt idx="962">
                  <c:v>47.136800000001593</c:v>
                </c:pt>
                <c:pt idx="963">
                  <c:v>47.136900000001596</c:v>
                </c:pt>
                <c:pt idx="964">
                  <c:v>47.137000000001599</c:v>
                </c:pt>
                <c:pt idx="965">
                  <c:v>47.137100000001602</c:v>
                </c:pt>
                <c:pt idx="966">
                  <c:v>47.137200000001606</c:v>
                </c:pt>
                <c:pt idx="967">
                  <c:v>47.137300000001609</c:v>
                </c:pt>
                <c:pt idx="968">
                  <c:v>47.137400000001612</c:v>
                </c:pt>
                <c:pt idx="969">
                  <c:v>47.137500000001616</c:v>
                </c:pt>
                <c:pt idx="970">
                  <c:v>47.137600000001619</c:v>
                </c:pt>
                <c:pt idx="971">
                  <c:v>47.137700000001622</c:v>
                </c:pt>
                <c:pt idx="972">
                  <c:v>47.137800000001626</c:v>
                </c:pt>
                <c:pt idx="973">
                  <c:v>47.137900000001629</c:v>
                </c:pt>
                <c:pt idx="974">
                  <c:v>47.138000000001632</c:v>
                </c:pt>
                <c:pt idx="975">
                  <c:v>47.138100000001636</c:v>
                </c:pt>
                <c:pt idx="976">
                  <c:v>47.138200000001639</c:v>
                </c:pt>
                <c:pt idx="977">
                  <c:v>47.138300000001642</c:v>
                </c:pt>
                <c:pt idx="978">
                  <c:v>47.138400000001646</c:v>
                </c:pt>
                <c:pt idx="979">
                  <c:v>47.138500000001649</c:v>
                </c:pt>
                <c:pt idx="980">
                  <c:v>47.138600000001652</c:v>
                </c:pt>
                <c:pt idx="981">
                  <c:v>47.138700000001656</c:v>
                </c:pt>
                <c:pt idx="982">
                  <c:v>47.138800000001659</c:v>
                </c:pt>
                <c:pt idx="983">
                  <c:v>47.138900000001662</c:v>
                </c:pt>
                <c:pt idx="984">
                  <c:v>47.139000000001666</c:v>
                </c:pt>
                <c:pt idx="985">
                  <c:v>47.139100000001669</c:v>
                </c:pt>
                <c:pt idx="986">
                  <c:v>47.139200000001672</c:v>
                </c:pt>
                <c:pt idx="987">
                  <c:v>47.139300000001676</c:v>
                </c:pt>
                <c:pt idx="988">
                  <c:v>47.139400000001679</c:v>
                </c:pt>
                <c:pt idx="989">
                  <c:v>47.139500000001682</c:v>
                </c:pt>
                <c:pt idx="990">
                  <c:v>47.139600000001685</c:v>
                </c:pt>
                <c:pt idx="991">
                  <c:v>47.139700000001689</c:v>
                </c:pt>
                <c:pt idx="992">
                  <c:v>47.139800000001692</c:v>
                </c:pt>
                <c:pt idx="993">
                  <c:v>47.139900000001695</c:v>
                </c:pt>
                <c:pt idx="994">
                  <c:v>47.140000000001699</c:v>
                </c:pt>
                <c:pt idx="995">
                  <c:v>47.140100000001702</c:v>
                </c:pt>
                <c:pt idx="996">
                  <c:v>47.140200000001705</c:v>
                </c:pt>
                <c:pt idx="997">
                  <c:v>47.140300000001709</c:v>
                </c:pt>
                <c:pt idx="998">
                  <c:v>47.140400000001712</c:v>
                </c:pt>
                <c:pt idx="999">
                  <c:v>47.140500000001715</c:v>
                </c:pt>
                <c:pt idx="1000">
                  <c:v>47.140600000001719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883.12</c:v>
                </c:pt>
                <c:pt idx="1">
                  <c:v>885.04722432312724</c:v>
                </c:pt>
                <c:pt idx="2">
                  <c:v>886.97705860169447</c:v>
                </c:pt>
                <c:pt idx="3">
                  <c:v>888.91357576788494</c:v>
                </c:pt>
                <c:pt idx="4">
                  <c:v>890.85751191203963</c:v>
                </c:pt>
                <c:pt idx="5">
                  <c:v>892.80815548327644</c:v>
                </c:pt>
                <c:pt idx="6">
                  <c:v>894.76523589599708</c:v>
                </c:pt>
                <c:pt idx="7">
                  <c:v>896.72870302692411</c:v>
                </c:pt>
                <c:pt idx="8">
                  <c:v>898.6985067595491</c:v>
                </c:pt>
                <c:pt idx="9">
                  <c:v>900.67459698553307</c:v>
                </c:pt>
                <c:pt idx="10">
                  <c:v>902.65692360609626</c:v>
                </c:pt>
                <c:pt idx="11">
                  <c:v>904.64543653339706</c:v>
                </c:pt>
                <c:pt idx="12">
                  <c:v>906.64008569189991</c:v>
                </c:pt>
                <c:pt idx="13">
                  <c:v>908.6408210197327</c:v>
                </c:pt>
                <c:pt idx="14">
                  <c:v>910.64759247003269</c:v>
                </c:pt>
                <c:pt idx="15">
                  <c:v>912.66035001228204</c:v>
                </c:pt>
                <c:pt idx="16">
                  <c:v>914.67904363363164</c:v>
                </c:pt>
                <c:pt idx="17">
                  <c:v>916.70362334021422</c:v>
                </c:pt>
                <c:pt idx="18">
                  <c:v>918.73403915844608</c:v>
                </c:pt>
                <c:pt idx="19">
                  <c:v>920.77024113631762</c:v>
                </c:pt>
                <c:pt idx="20">
                  <c:v>922.81217934467247</c:v>
                </c:pt>
                <c:pt idx="21">
                  <c:v>924.8598038784753</c:v>
                </c:pt>
                <c:pt idx="22">
                  <c:v>926.91306485806865</c:v>
                </c:pt>
                <c:pt idx="23">
                  <c:v>928.97191243041732</c:v>
                </c:pt>
                <c:pt idx="24">
                  <c:v>931.03629677034246</c:v>
                </c:pt>
                <c:pt idx="25">
                  <c:v>933.10616808174314</c:v>
                </c:pt>
                <c:pt idx="26">
                  <c:v>935.18147659880708</c:v>
                </c:pt>
                <c:pt idx="27">
                  <c:v>937.26217258720931</c:v>
                </c:pt>
                <c:pt idx="28">
                  <c:v>939.34820634529933</c:v>
                </c:pt>
                <c:pt idx="29">
                  <c:v>941.4395282052767</c:v>
                </c:pt>
                <c:pt idx="30">
                  <c:v>943.5360885343548</c:v>
                </c:pt>
                <c:pt idx="31">
                  <c:v>945.63783773591297</c:v>
                </c:pt>
                <c:pt idx="32">
                  <c:v>947.74472625063686</c:v>
                </c:pt>
                <c:pt idx="33">
                  <c:v>949.85670455764671</c:v>
                </c:pt>
                <c:pt idx="34">
                  <c:v>951.9737231756144</c:v>
                </c:pt>
                <c:pt idx="35">
                  <c:v>954.09573266386826</c:v>
                </c:pt>
                <c:pt idx="36">
                  <c:v>956.2226836234862</c:v>
                </c:pt>
                <c:pt idx="37">
                  <c:v>958.35452669837684</c:v>
                </c:pt>
                <c:pt idx="38">
                  <c:v>960.49121257634874</c:v>
                </c:pt>
                <c:pt idx="39">
                  <c:v>962.63269199016815</c:v>
                </c:pt>
                <c:pt idx="40">
                  <c:v>964.77891571860437</c:v>
                </c:pt>
                <c:pt idx="41">
                  <c:v>966.92983458746357</c:v>
                </c:pt>
                <c:pt idx="42">
                  <c:v>969.08539947061024</c:v>
                </c:pt>
                <c:pt idx="43">
                  <c:v>971.24556129097732</c:v>
                </c:pt>
                <c:pt idx="44">
                  <c:v>973.41027102156386</c:v>
                </c:pt>
                <c:pt idx="45">
                  <c:v>975.57947968642122</c:v>
                </c:pt>
                <c:pt idx="46">
                  <c:v>977.75313836162695</c:v>
                </c:pt>
                <c:pt idx="47">
                  <c:v>979.93119817624688</c:v>
                </c:pt>
                <c:pt idx="48">
                  <c:v>982.11361031328556</c:v>
                </c:pt>
                <c:pt idx="49">
                  <c:v>984.30032601062419</c:v>
                </c:pt>
                <c:pt idx="50">
                  <c:v>986.49129656194725</c:v>
                </c:pt>
                <c:pt idx="51">
                  <c:v>988.68647331765692</c:v>
                </c:pt>
                <c:pt idx="52">
                  <c:v>990.8858076857756</c:v>
                </c:pt>
                <c:pt idx="53">
                  <c:v>993.08925113283669</c:v>
                </c:pt>
                <c:pt idx="54">
                  <c:v>995.29675518476324</c:v>
                </c:pt>
                <c:pt idx="55">
                  <c:v>997.50827142773494</c:v>
                </c:pt>
                <c:pt idx="56">
                  <c:v>999.72375150904361</c:v>
                </c:pt>
                <c:pt idx="57">
                  <c:v>1001.943147137936</c:v>
                </c:pt>
                <c:pt idx="58">
                  <c:v>1004.1664100864454</c:v>
                </c:pt>
                <c:pt idx="59">
                  <c:v>1006.3934921902115</c:v>
                </c:pt>
                <c:pt idx="60">
                  <c:v>1008.6243453492887</c:v>
                </c:pt>
                <c:pt idx="61">
                  <c:v>1010.8589215289412</c:v>
                </c:pt>
                <c:pt idx="62">
                  <c:v>1013.0971727604286</c:v>
                </c:pt>
                <c:pt idx="63">
                  <c:v>1015.3390318025245</c:v>
                </c:pt>
                <c:pt idx="64">
                  <c:v>1017.5843928270252</c:v>
                </c:pt>
                <c:pt idx="65">
                  <c:v>1019.833130822696</c:v>
                </c:pt>
                <c:pt idx="66">
                  <c:v>1022.0851209765161</c:v>
                </c:pt>
                <c:pt idx="67">
                  <c:v>1024.3402209400624</c:v>
                </c:pt>
                <c:pt idx="68">
                  <c:v>1026.5982531205573</c:v>
                </c:pt>
                <c:pt idx="69">
                  <c:v>1028.8589909307138</c:v>
                </c:pt>
                <c:pt idx="70">
                  <c:v>1031.1221450639896</c:v>
                </c:pt>
                <c:pt idx="71">
                  <c:v>1033.3873951758574</c:v>
                </c:pt>
                <c:pt idx="72">
                  <c:v>1035.6544215218846</c:v>
                </c:pt>
                <c:pt idx="73">
                  <c:v>1037.9229049746293</c:v>
                </c:pt>
                <c:pt idx="74">
                  <c:v>1040.1925270400793</c:v>
                </c:pt>
                <c:pt idx="75">
                  <c:v>1042.4629698736403</c:v>
                </c:pt>
                <c:pt idx="76">
                  <c:v>1044.7339162956689</c:v>
                </c:pt>
                <c:pt idx="77">
                  <c:v>1047.0050498065548</c:v>
                </c:pt>
                <c:pt idx="78">
                  <c:v>1049.2760546013526</c:v>
                </c:pt>
                <c:pt idx="79">
                  <c:v>1051.5466155839638</c:v>
                </c:pt>
                <c:pt idx="80">
                  <c:v>1053.816418380871</c:v>
                </c:pt>
                <c:pt idx="81">
                  <c:v>1056.0851869221869</c:v>
                </c:pt>
                <c:pt idx="82">
                  <c:v>1058.3527209342972</c:v>
                </c:pt>
                <c:pt idx="83">
                  <c:v>1060.6188581959623</c:v>
                </c:pt>
                <c:pt idx="84">
                  <c:v>1062.8834368772511</c:v>
                </c:pt>
                <c:pt idx="85">
                  <c:v>1065.1462955418474</c:v>
                </c:pt>
                <c:pt idx="86">
                  <c:v>1067.407273149242</c:v>
                </c:pt>
                <c:pt idx="87">
                  <c:v>1069.6662090568143</c:v>
                </c:pt>
                <c:pt idx="88">
                  <c:v>1071.9229430218022</c:v>
                </c:pt>
                <c:pt idx="89">
                  <c:v>1074.1773270758865</c:v>
                </c:pt>
                <c:pt idx="90">
                  <c:v>1076.4292373693206</c:v>
                </c:pt>
                <c:pt idx="91">
                  <c:v>1078.6785622371956</c:v>
                </c:pt>
                <c:pt idx="92">
                  <c:v>1080.9251902953195</c:v>
                </c:pt>
                <c:pt idx="93">
                  <c:v>1083.169013409248</c:v>
                </c:pt>
                <c:pt idx="94">
                  <c:v>1085.409929655468</c:v>
                </c:pt>
                <c:pt idx="95">
                  <c:v>1087.6478403367792</c:v>
                </c:pt>
                <c:pt idx="96">
                  <c:v>1089.8826470053405</c:v>
                </c:pt>
                <c:pt idx="97">
                  <c:v>1092.1142633392501</c:v>
                </c:pt>
                <c:pt idx="98">
                  <c:v>1094.3426269871832</c:v>
                </c:pt>
                <c:pt idx="99">
                  <c:v>1096.5676876270061</c:v>
                </c:pt>
                <c:pt idx="100">
                  <c:v>1098.7893950561586</c:v>
                </c:pt>
                <c:pt idx="101">
                  <c:v>1101.0076991911692</c:v>
                </c:pt>
                <c:pt idx="102">
                  <c:v>1103.2225500671618</c:v>
                </c:pt>
                <c:pt idx="103">
                  <c:v>1105.4338978373573</c:v>
                </c:pt>
                <c:pt idx="104">
                  <c:v>1107.6416927725677</c:v>
                </c:pt>
                <c:pt idx="105">
                  <c:v>1109.8458852606839</c:v>
                </c:pt>
                <c:pt idx="106">
                  <c:v>1112.0464258061577</c:v>
                </c:pt>
                <c:pt idx="107">
                  <c:v>1114.2432650294772</c:v>
                </c:pt>
                <c:pt idx="108">
                  <c:v>1116.4363536666356</c:v>
                </c:pt>
                <c:pt idx="109">
                  <c:v>1118.6256574154115</c:v>
                </c:pt>
                <c:pt idx="110">
                  <c:v>1120.8111717407921</c:v>
                </c:pt>
                <c:pt idx="111">
                  <c:v>1122.9929069464865</c:v>
                </c:pt>
                <c:pt idx="112">
                  <c:v>1125.170873287718</c:v>
                </c:pt>
                <c:pt idx="113">
                  <c:v>1127.3450809715271</c:v>
                </c:pt>
                <c:pt idx="114">
                  <c:v>1129.5155401570737</c:v>
                </c:pt>
                <c:pt idx="115">
                  <c:v>1131.6822609559365</c:v>
                </c:pt>
                <c:pt idx="116">
                  <c:v>1133.8452534324097</c:v>
                </c:pt>
                <c:pt idx="117">
                  <c:v>1136.004527603797</c:v>
                </c:pt>
                <c:pt idx="118">
                  <c:v>1138.1600934407049</c:v>
                </c:pt>
                <c:pt idx="119">
                  <c:v>1140.3119608673319</c:v>
                </c:pt>
                <c:pt idx="120">
                  <c:v>1142.460139761756</c:v>
                </c:pt>
                <c:pt idx="121">
                  <c:v>1144.604639956221</c:v>
                </c:pt>
                <c:pt idx="122">
                  <c:v>1146.745471237419</c:v>
                </c:pt>
                <c:pt idx="123">
                  <c:v>1148.8826433467716</c:v>
                </c:pt>
                <c:pt idx="124">
                  <c:v>1151.016165980709</c:v>
                </c:pt>
                <c:pt idx="125">
                  <c:v>1153.1460487909465</c:v>
                </c:pt>
                <c:pt idx="126">
                  <c:v>1155.2723013847583</c:v>
                </c:pt>
                <c:pt idx="127">
                  <c:v>1157.3949333252515</c:v>
                </c:pt>
                <c:pt idx="128">
                  <c:v>1159.513954131635</c:v>
                </c:pt>
                <c:pt idx="129">
                  <c:v>1161.6293732794886</c:v>
                </c:pt>
                <c:pt idx="130">
                  <c:v>1163.7412002010285</c:v>
                </c:pt>
                <c:pt idx="131">
                  <c:v>1165.8494442853716</c:v>
                </c:pt>
                <c:pt idx="132">
                  <c:v>1167.954114878798</c:v>
                </c:pt>
                <c:pt idx="133">
                  <c:v>1170.0552212850107</c:v>
                </c:pt>
                <c:pt idx="134">
                  <c:v>1172.1527727653938</c:v>
                </c:pt>
                <c:pt idx="135">
                  <c:v>1174.2467785392687</c:v>
                </c:pt>
                <c:pt idx="136">
                  <c:v>1176.3372477841481</c:v>
                </c:pt>
                <c:pt idx="137">
                  <c:v>1178.4241896359883</c:v>
                </c:pt>
                <c:pt idx="138">
                  <c:v>1180.50761318944</c:v>
                </c:pt>
                <c:pt idx="139">
                  <c:v>1182.5875274980956</c:v>
                </c:pt>
                <c:pt idx="140">
                  <c:v>1184.6639415747372</c:v>
                </c:pt>
                <c:pt idx="141">
                  <c:v>1186.7368643915802</c:v>
                </c:pt>
                <c:pt idx="142">
                  <c:v>1188.8063048805163</c:v>
                </c:pt>
                <c:pt idx="143">
                  <c:v>1190.8722719333553</c:v>
                </c:pt>
                <c:pt idx="144">
                  <c:v>1192.9347744020629</c:v>
                </c:pt>
                <c:pt idx="145">
                  <c:v>1194.9938210989997</c:v>
                </c:pt>
                <c:pt idx="146">
                  <c:v>1197.0494207971553</c:v>
                </c:pt>
                <c:pt idx="147">
                  <c:v>1199.1015822303834</c:v>
                </c:pt>
                <c:pt idx="148">
                  <c:v>1201.1503140936331</c:v>
                </c:pt>
                <c:pt idx="149">
                  <c:v>1203.1956250431795</c:v>
                </c:pt>
                <c:pt idx="150">
                  <c:v>1205.2375236968523</c:v>
                </c:pt>
                <c:pt idx="151">
                  <c:v>1207.2760186342632</c:v>
                </c:pt>
                <c:pt idx="152">
                  <c:v>1209.3111183970304</c:v>
                </c:pt>
                <c:pt idx="153">
                  <c:v>1211.3428314890027</c:v>
                </c:pt>
                <c:pt idx="154">
                  <c:v>1213.3711663764814</c:v>
                </c:pt>
                <c:pt idx="155">
                  <c:v>1215.3961314884402</c:v>
                </c:pt>
                <c:pt idx="156">
                  <c:v>1217.4177352167449</c:v>
                </c:pt>
                <c:pt idx="157">
                  <c:v>1219.4359859163685</c:v>
                </c:pt>
                <c:pt idx="158">
                  <c:v>1221.4508919056091</c:v>
                </c:pt>
                <c:pt idx="159">
                  <c:v>1223.4624614663016</c:v>
                </c:pt>
                <c:pt idx="160">
                  <c:v>1225.4707028440314</c:v>
                </c:pt>
                <c:pt idx="161">
                  <c:v>1227.4756242483445</c:v>
                </c:pt>
                <c:pt idx="162">
                  <c:v>1229.4772338529569</c:v>
                </c:pt>
                <c:pt idx="163">
                  <c:v>1231.475539795962</c:v>
                </c:pt>
                <c:pt idx="164">
                  <c:v>1233.4705501800372</c:v>
                </c:pt>
                <c:pt idx="165">
                  <c:v>1235.4622730726483</c:v>
                </c:pt>
                <c:pt idx="166">
                  <c:v>1237.4507165062523</c:v>
                </c:pt>
                <c:pt idx="167">
                  <c:v>1239.4358884784997</c:v>
                </c:pt>
                <c:pt idx="168">
                  <c:v>1241.4177969524344</c:v>
                </c:pt>
                <c:pt idx="169">
                  <c:v>1243.3964498566927</c:v>
                </c:pt>
                <c:pt idx="170">
                  <c:v>1245.3718550857</c:v>
                </c:pt>
                <c:pt idx="171">
                  <c:v>1247.3440204998674</c:v>
                </c:pt>
                <c:pt idx="172">
                  <c:v>1249.3129539257861</c:v>
                </c:pt>
                <c:pt idx="173">
                  <c:v>1251.27866315642</c:v>
                </c:pt>
                <c:pt idx="174">
                  <c:v>1253.2411559512975</c:v>
                </c:pt>
                <c:pt idx="175">
                  <c:v>1255.2004400367025</c:v>
                </c:pt>
                <c:pt idx="176">
                  <c:v>1257.1565231058626</c:v>
                </c:pt>
                <c:pt idx="177">
                  <c:v>1259.1094128191369</c:v>
                </c:pt>
                <c:pt idx="178">
                  <c:v>1261.0591168042026</c:v>
                </c:pt>
                <c:pt idx="179">
                  <c:v>1263.0056426562394</c:v>
                </c:pt>
                <c:pt idx="180">
                  <c:v>1264.9489979381133</c:v>
                </c:pt>
                <c:pt idx="181">
                  <c:v>1266.8891901805591</c:v>
                </c:pt>
                <c:pt idx="182">
                  <c:v>1268.8262268823614</c:v>
                </c:pt>
                <c:pt idx="183">
                  <c:v>1270.760115510534</c:v>
                </c:pt>
                <c:pt idx="184">
                  <c:v>1272.6908635004984</c:v>
                </c:pt>
                <c:pt idx="185">
                  <c:v>1274.6184782562614</c:v>
                </c:pt>
                <c:pt idx="186">
                  <c:v>1276.5429671505906</c:v>
                </c:pt>
                <c:pt idx="187">
                  <c:v>1278.4643375251894</c:v>
                </c:pt>
                <c:pt idx="188">
                  <c:v>1280.3825966908701</c:v>
                </c:pt>
                <c:pt idx="189">
                  <c:v>1282.297751927726</c:v>
                </c:pt>
                <c:pt idx="190">
                  <c:v>1284.2098104853035</c:v>
                </c:pt>
                <c:pt idx="191">
                  <c:v>1286.1187795827707</c:v>
                </c:pt>
                <c:pt idx="192">
                  <c:v>1288.0246664090866</c:v>
                </c:pt>
                <c:pt idx="193">
                  <c:v>1289.9274781231684</c:v>
                </c:pt>
                <c:pt idx="194">
                  <c:v>1291.8272218540578</c:v>
                </c:pt>
                <c:pt idx="195">
                  <c:v>1293.7239047010867</c:v>
                </c:pt>
                <c:pt idx="196">
                  <c:v>1295.6175337340399</c:v>
                </c:pt>
                <c:pt idx="197">
                  <c:v>1297.5081159933188</c:v>
                </c:pt>
                <c:pt idx="198">
                  <c:v>1299.3956584901036</c:v>
                </c:pt>
                <c:pt idx="199">
                  <c:v>1301.2801682065126</c:v>
                </c:pt>
                <c:pt idx="200">
                  <c:v>1303.1616520957625</c:v>
                </c:pt>
                <c:pt idx="201">
                  <c:v>1321.810606818723</c:v>
                </c:pt>
                <c:pt idx="202">
                  <c:v>1340.1614272177399</c:v>
                </c:pt>
                <c:pt idx="203">
                  <c:v>1358.2207960033118</c:v>
                </c:pt>
                <c:pt idx="204">
                  <c:v>1375.9951268880332</c:v>
                </c:pt>
                <c:pt idx="205">
                  <c:v>1393.4905787635607</c:v>
                </c:pt>
                <c:pt idx="206">
                  <c:v>1410.7130689442679</c:v>
                </c:pt>
                <c:pt idx="207">
                  <c:v>1427.6682855506911</c:v>
                </c:pt>
                <c:pt idx="208">
                  <c:v>1444.3616990992514</c:v>
                </c:pt>
                <c:pt idx="209">
                  <c:v>1460.798573358793</c:v>
                </c:pt>
                <c:pt idx="210">
                  <c:v>1476.9839755291316</c:v>
                </c:pt>
                <c:pt idx="211">
                  <c:v>1492.9227857920046</c:v>
                </c:pt>
                <c:pt idx="212">
                  <c:v>1508.6197062804756</c:v>
                </c:pt>
                <c:pt idx="213">
                  <c:v>1524.0792695089358</c:v>
                </c:pt>
                <c:pt idx="214">
                  <c:v>1539.3058463023081</c:v>
                </c:pt>
                <c:pt idx="215">
                  <c:v>1554.3036532598612</c:v>
                </c:pt>
                <c:pt idx="216">
                  <c:v>1569.0767597861413</c:v>
                </c:pt>
                <c:pt idx="217">
                  <c:v>1583.6290947188966</c:v>
                </c:pt>
                <c:pt idx="218">
                  <c:v>1597.9644525814851</c:v>
                </c:pt>
                <c:pt idx="219">
                  <c:v>1612.0864994850797</c:v>
                </c:pt>
                <c:pt idx="220">
                  <c:v>1625.9987787040059</c:v>
                </c:pt>
                <c:pt idx="221">
                  <c:v>1639.7047159457502</c:v>
                </c:pt>
                <c:pt idx="222">
                  <c:v>1653.2076243355259</c:v>
                </c:pt>
                <c:pt idx="223">
                  <c:v>1666.5107091337838</c:v>
                </c:pt>
                <c:pt idx="224">
                  <c:v>1679.6170722036809</c:v>
                </c:pt>
                <c:pt idx="225">
                  <c:v>1692.5297162442623</c:v>
                </c:pt>
                <c:pt idx="226">
                  <c:v>1705.251548803961</c:v>
                </c:pt>
                <c:pt idx="227">
                  <c:v>1717.7853860879609</c:v>
                </c:pt>
                <c:pt idx="228">
                  <c:v>1730.1339565720009</c:v>
                </c:pt>
                <c:pt idx="229">
                  <c:v>1742.2999044343069</c:v>
                </c:pt>
                <c:pt idx="230">
                  <c:v>1754.285792816517</c:v>
                </c:pt>
                <c:pt idx="231">
                  <c:v>1766.0941069237124</c:v>
                </c:pt>
                <c:pt idx="232">
                  <c:v>1777.7272569729721</c:v>
                </c:pt>
                <c:pt idx="233">
                  <c:v>1789.1875809992273</c:v>
                </c:pt>
                <c:pt idx="234">
                  <c:v>1800.4773475266006</c:v>
                </c:pt>
                <c:pt idx="235">
                  <c:v>1811.5987581128704</c:v>
                </c:pt>
                <c:pt idx="236">
                  <c:v>1822.5539497741931</c:v>
                </c:pt>
                <c:pt idx="237">
                  <c:v>1833.3449972967521</c:v>
                </c:pt>
                <c:pt idx="238">
                  <c:v>1843.9739154415688</c:v>
                </c:pt>
                <c:pt idx="239">
                  <c:v>1854.442661048309</c:v>
                </c:pt>
                <c:pt idx="240">
                  <c:v>1864.7531350435495</c:v>
                </c:pt>
                <c:pt idx="241">
                  <c:v>1874.9071843586241</c:v>
                </c:pt>
                <c:pt idx="242">
                  <c:v>1884.9066037618463</c:v>
                </c:pt>
                <c:pt idx="243">
                  <c:v>1894.7531376096131</c:v>
                </c:pt>
                <c:pt idx="244">
                  <c:v>1904.4484815206142</c:v>
                </c:pt>
                <c:pt idx="245">
                  <c:v>1913.9942839771147</c:v>
                </c:pt>
                <c:pt idx="246">
                  <c:v>1923.3921478570421</c:v>
                </c:pt>
                <c:pt idx="247">
                  <c:v>1932.6436319003826</c:v>
                </c:pt>
                <c:pt idx="248">
                  <c:v>1941.7502521131855</c:v>
                </c:pt>
                <c:pt idx="249">
                  <c:v>1950.7134831122814</c:v>
                </c:pt>
                <c:pt idx="250">
                  <c:v>1959.5347594136358</c:v>
                </c:pt>
                <c:pt idx="251">
                  <c:v>1968.215476667094</c:v>
                </c:pt>
                <c:pt idx="252">
                  <c:v>1976.7569928401142</c:v>
                </c:pt>
                <c:pt idx="253">
                  <c:v>1985.1606293529376</c:v>
                </c:pt>
                <c:pt idx="254">
                  <c:v>1993.427672167506</c:v>
                </c:pt>
                <c:pt idx="255">
                  <c:v>2001.559372832309</c:v>
                </c:pt>
                <c:pt idx="256">
                  <c:v>2009.5569494852223</c:v>
                </c:pt>
                <c:pt idx="257">
                  <c:v>2017.4215878162811</c:v>
                </c:pt>
                <c:pt idx="258">
                  <c:v>2025.1544419922341</c:v>
                </c:pt>
                <c:pt idx="259">
                  <c:v>2032.756635544614</c:v>
                </c:pt>
                <c:pt idx="260">
                  <c:v>2040.2292622229759</c:v>
                </c:pt>
                <c:pt idx="261">
                  <c:v>2047.5733868148602</c:v>
                </c:pt>
                <c:pt idx="262">
                  <c:v>2054.7900459339589</c:v>
                </c:pt>
                <c:pt idx="263">
                  <c:v>2061.8802487778826</c:v>
                </c:pt>
                <c:pt idx="264">
                  <c:v>2068.8449778568552</c:v>
                </c:pt>
                <c:pt idx="265">
                  <c:v>2075.6851896945946</c:v>
                </c:pt>
                <c:pt idx="266">
                  <c:v>2082.4018155025728</c:v>
                </c:pt>
                <c:pt idx="267">
                  <c:v>2088.9957618287845</c:v>
                </c:pt>
                <c:pt idx="268">
                  <c:v>2095.4679111821029</c:v>
                </c:pt>
                <c:pt idx="269">
                  <c:v>2101.8191226332438</c:v>
                </c:pt>
                <c:pt idx="270">
                  <c:v>2108.0502323933056</c:v>
                </c:pt>
                <c:pt idx="271">
                  <c:v>2114.1620543708113</c:v>
                </c:pt>
                <c:pt idx="272">
                  <c:v>2120.1553807081273</c:v>
                </c:pt>
                <c:pt idx="273">
                  <c:v>2126.0309822980985</c:v>
                </c:pt>
                <c:pt idx="274">
                  <c:v>2131.7896092816891</c:v>
                </c:pt>
                <c:pt idx="275">
                  <c:v>2137.4319915273945</c:v>
                </c:pt>
                <c:pt idx="276">
                  <c:v>2142.9588390931394</c:v>
                </c:pt>
                <c:pt idx="277">
                  <c:v>2148.3708426713565</c:v>
                </c:pt>
                <c:pt idx="278">
                  <c:v>2153.668674017902</c:v>
                </c:pt>
                <c:pt idx="279">
                  <c:v>2158.8529863654367</c:v>
                </c:pt>
                <c:pt idx="280">
                  <c:v>2163.9244148218731</c:v>
                </c:pt>
                <c:pt idx="281">
                  <c:v>2168.883576754466</c:v>
                </c:pt>
                <c:pt idx="282">
                  <c:v>2173.7310721600943</c:v>
                </c:pt>
                <c:pt idx="283">
                  <c:v>2178.4674840222692</c:v>
                </c:pt>
                <c:pt idx="284">
                  <c:v>2183.0933786553715</c:v>
                </c:pt>
                <c:pt idx="285">
                  <c:v>2187.609306036612</c:v>
                </c:pt>
                <c:pt idx="286">
                  <c:v>2192.0158001261852</c:v>
                </c:pt>
                <c:pt idx="287">
                  <c:v>2196.3133791760752</c:v>
                </c:pt>
                <c:pt idx="288">
                  <c:v>2200.5025460279553</c:v>
                </c:pt>
                <c:pt idx="289">
                  <c:v>2204.583788400616</c:v>
                </c:pt>
                <c:pt idx="290">
                  <c:v>2208.5575791673405</c:v>
                </c:pt>
                <c:pt idx="291">
                  <c:v>2212.4243766236432</c:v>
                </c:pt>
                <c:pt idx="292">
                  <c:v>2216.1846247457788</c:v>
                </c:pt>
                <c:pt idx="293">
                  <c:v>2219.8387534404292</c:v>
                </c:pt>
                <c:pt idx="294">
                  <c:v>2223.3871787859739</c:v>
                </c:pt>
                <c:pt idx="295">
                  <c:v>2226.8303032657491</c:v>
                </c:pt>
                <c:pt idx="296">
                  <c:v>2230.1685159937169</c:v>
                </c:pt>
                <c:pt idx="297">
                  <c:v>2233.4021929329665</c:v>
                </c:pt>
                <c:pt idx="298">
                  <c:v>2236.5316971074885</c:v>
                </c:pt>
                <c:pt idx="299">
                  <c:v>2239.5573788076913</c:v>
                </c:pt>
                <c:pt idx="300">
                  <c:v>2242.4795757901447</c:v>
                </c:pt>
                <c:pt idx="301">
                  <c:v>2245.2986134720795</c:v>
                </c:pt>
                <c:pt idx="302">
                  <c:v>2248.0148051212163</c:v>
                </c:pt>
                <c:pt idx="303">
                  <c:v>2250.6284520415493</c:v>
                </c:pt>
                <c:pt idx="304">
                  <c:v>2253.1398437557777</c:v>
                </c:pt>
                <c:pt idx="305">
                  <c:v>2255.5492581851718</c:v>
                </c:pt>
                <c:pt idx="306">
                  <c:v>2257.856961827747</c:v>
                </c:pt>
                <c:pt idx="307">
                  <c:v>2260.063209935754</c:v>
                </c:pt>
                <c:pt idx="308">
                  <c:v>2262.1682466936386</c:v>
                </c:pt>
                <c:pt idx="309">
                  <c:v>2264.1723053977998</c:v>
                </c:pt>
                <c:pt idx="310">
                  <c:v>2266.0756086396891</c:v>
                </c:pt>
                <c:pt idx="311">
                  <c:v>2267.8783684940418</c:v>
                </c:pt>
                <c:pt idx="312">
                  <c:v>2269.580786714329</c:v>
                </c:pt>
                <c:pt idx="313">
                  <c:v>2271.183054937856</c:v>
                </c:pt>
                <c:pt idx="314">
                  <c:v>2272.6853549033249</c:v>
                </c:pt>
                <c:pt idx="315">
                  <c:v>2274.0878586841172</c:v>
                </c:pt>
                <c:pt idx="316">
                  <c:v>2275.390728941039</c:v>
                </c:pt>
                <c:pt idx="317">
                  <c:v>2276.5941191987786</c:v>
                </c:pt>
                <c:pt idx="318">
                  <c:v>2277.6981741508475</c:v>
                </c:pt>
                <c:pt idx="319">
                  <c:v>2278.7030299982544</c:v>
                </c:pt>
                <c:pt idx="320">
                  <c:v>2279.6088148275594</c:v>
                </c:pt>
                <c:pt idx="321">
                  <c:v>2280.4156490341652</c:v>
                </c:pt>
                <c:pt idx="322">
                  <c:v>2281.1236457966493</c:v>
                </c:pt>
                <c:pt idx="323">
                  <c:v>2281.7329116074857</c:v>
                </c:pt>
                <c:pt idx="324">
                  <c:v>2282.2435468645308</c:v>
                </c:pt>
                <c:pt idx="325">
                  <c:v>2282.6556465260455</c:v>
                </c:pt>
                <c:pt idx="326">
                  <c:v>2282.9693008297431</c:v>
                </c:pt>
                <c:pt idx="327">
                  <c:v>2283.1845960734186</c:v>
                </c:pt>
                <c:pt idx="328">
                  <c:v>2283.3016154512825</c:v>
                </c:pt>
                <c:pt idx="329">
                  <c:v>2283.3204399364904</c:v>
                </c:pt>
                <c:pt idx="330">
                  <c:v>2283.2411491969215</c:v>
                </c:pt>
                <c:pt idx="331">
                  <c:v>2283.0638225284806</c:v>
                </c:pt>
                <c:pt idx="332">
                  <c:v>2282.7885397884984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51-4567-B7A1-067915120221}"/>
            </c:ext>
          </c:extLst>
        </c:ser>
        <c:ser>
          <c:idx val="6"/>
          <c:order val="6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Trajecto!$B$157</c:f>
              <c:numCache>
                <c:formatCode>General</c:formatCode>
                <c:ptCount val="1"/>
                <c:pt idx="0">
                  <c:v>5.25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1141.2076911557224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51-4567-B7A1-067915120221}"/>
            </c:ext>
          </c:extLst>
        </c:ser>
        <c:ser>
          <c:idx val="7"/>
          <c:order val="7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Trajecto!$B$158</c:f>
              <c:numCache>
                <c:formatCode>General</c:formatCode>
                <c:ptCount val="1"/>
                <c:pt idx="0">
                  <c:v>33.800000000000182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1141.6508077256412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51-4567-B7A1-06791512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5008"/>
        <c:axId val="149276928"/>
      </c:scatterChart>
      <c:valAx>
        <c:axId val="149275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Trajecto!$B$112</c:f>
              <c:strCache>
                <c:ptCount val="1"/>
                <c:pt idx="0">
                  <c:v>Temps [s]</c:v>
                </c:pt>
              </c:strCache>
            </c:strRef>
          </c:tx>
          <c:layout>
            <c:manualLayout>
              <c:xMode val="edge"/>
              <c:yMode val="edge"/>
              <c:x val="0.60555551848391842"/>
              <c:y val="0.8513930569999506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276928"/>
        <c:crosses val="autoZero"/>
        <c:crossBetween val="midCat"/>
      </c:valAx>
      <c:valAx>
        <c:axId val="1492769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9.0000333644735087E-2"/>
              <c:y val="6.811139173641031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275008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Forces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4183243282920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Courbes!$B$134</c:f>
              <c:strCache>
                <c:ptCount val="1"/>
                <c:pt idx="0">
                  <c:v>Poussée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5.7</c:v>
                </c:pt>
                <c:pt idx="1">
                  <c:v>5.71</c:v>
                </c:pt>
                <c:pt idx="2">
                  <c:v>5.72</c:v>
                </c:pt>
                <c:pt idx="3">
                  <c:v>5.7299999999999995</c:v>
                </c:pt>
                <c:pt idx="4">
                  <c:v>5.7399999999999993</c:v>
                </c:pt>
                <c:pt idx="5">
                  <c:v>5.7499999999999991</c:v>
                </c:pt>
                <c:pt idx="6">
                  <c:v>5.7599999999999989</c:v>
                </c:pt>
                <c:pt idx="7">
                  <c:v>5.7699999999999987</c:v>
                </c:pt>
                <c:pt idx="8">
                  <c:v>5.7799999999999985</c:v>
                </c:pt>
                <c:pt idx="9">
                  <c:v>5.7899999999999983</c:v>
                </c:pt>
                <c:pt idx="10">
                  <c:v>5.799999999999998</c:v>
                </c:pt>
                <c:pt idx="11">
                  <c:v>5.8099999999999978</c:v>
                </c:pt>
                <c:pt idx="12">
                  <c:v>5.8199999999999976</c:v>
                </c:pt>
                <c:pt idx="13">
                  <c:v>5.8299999999999974</c:v>
                </c:pt>
                <c:pt idx="14">
                  <c:v>5.8399999999999972</c:v>
                </c:pt>
                <c:pt idx="15">
                  <c:v>5.849999999999997</c:v>
                </c:pt>
                <c:pt idx="16">
                  <c:v>5.8599999999999968</c:v>
                </c:pt>
                <c:pt idx="17">
                  <c:v>5.8699999999999966</c:v>
                </c:pt>
                <c:pt idx="18">
                  <c:v>5.8799999999999963</c:v>
                </c:pt>
                <c:pt idx="19">
                  <c:v>5.8899999999999961</c:v>
                </c:pt>
                <c:pt idx="20">
                  <c:v>5.8999999999999959</c:v>
                </c:pt>
                <c:pt idx="21">
                  <c:v>5.9099999999999957</c:v>
                </c:pt>
                <c:pt idx="22">
                  <c:v>5.9199999999999955</c:v>
                </c:pt>
                <c:pt idx="23">
                  <c:v>5.9299999999999953</c:v>
                </c:pt>
                <c:pt idx="24">
                  <c:v>5.9399999999999951</c:v>
                </c:pt>
                <c:pt idx="25">
                  <c:v>5.9499999999999948</c:v>
                </c:pt>
                <c:pt idx="26">
                  <c:v>5.9599999999999946</c:v>
                </c:pt>
                <c:pt idx="27">
                  <c:v>5.9699999999999944</c:v>
                </c:pt>
                <c:pt idx="28">
                  <c:v>5.9799999999999942</c:v>
                </c:pt>
                <c:pt idx="29">
                  <c:v>5.989999999999994</c:v>
                </c:pt>
                <c:pt idx="30">
                  <c:v>5.9999999999999938</c:v>
                </c:pt>
                <c:pt idx="31">
                  <c:v>6.0099999999999936</c:v>
                </c:pt>
                <c:pt idx="32">
                  <c:v>6.0199999999999934</c:v>
                </c:pt>
                <c:pt idx="33">
                  <c:v>6.0299999999999931</c:v>
                </c:pt>
                <c:pt idx="34">
                  <c:v>6.0399999999999929</c:v>
                </c:pt>
                <c:pt idx="35">
                  <c:v>6.0499999999999927</c:v>
                </c:pt>
                <c:pt idx="36">
                  <c:v>6.0599999999999925</c:v>
                </c:pt>
                <c:pt idx="37">
                  <c:v>6.0699999999999923</c:v>
                </c:pt>
                <c:pt idx="38">
                  <c:v>6.0799999999999921</c:v>
                </c:pt>
                <c:pt idx="39">
                  <c:v>6.0899999999999919</c:v>
                </c:pt>
                <c:pt idx="40">
                  <c:v>6.0999999999999917</c:v>
                </c:pt>
                <c:pt idx="41">
                  <c:v>6.1099999999999914</c:v>
                </c:pt>
                <c:pt idx="42">
                  <c:v>6.1199999999999912</c:v>
                </c:pt>
                <c:pt idx="43">
                  <c:v>6.129999999999991</c:v>
                </c:pt>
                <c:pt idx="44">
                  <c:v>6.1399999999999908</c:v>
                </c:pt>
                <c:pt idx="45">
                  <c:v>6.1499999999999906</c:v>
                </c:pt>
                <c:pt idx="46">
                  <c:v>6.1599999999999904</c:v>
                </c:pt>
                <c:pt idx="47">
                  <c:v>6.1699999999999902</c:v>
                </c:pt>
                <c:pt idx="48">
                  <c:v>6.1799999999999899</c:v>
                </c:pt>
                <c:pt idx="49">
                  <c:v>6.1899999999999897</c:v>
                </c:pt>
                <c:pt idx="50">
                  <c:v>6.1999999999999895</c:v>
                </c:pt>
                <c:pt idx="51">
                  <c:v>6.2099999999999893</c:v>
                </c:pt>
                <c:pt idx="52">
                  <c:v>6.2199999999999891</c:v>
                </c:pt>
                <c:pt idx="53">
                  <c:v>6.2299999999999889</c:v>
                </c:pt>
                <c:pt idx="54">
                  <c:v>6.2399999999999887</c:v>
                </c:pt>
                <c:pt idx="55">
                  <c:v>6.2499999999999885</c:v>
                </c:pt>
                <c:pt idx="56">
                  <c:v>6.2599999999999882</c:v>
                </c:pt>
                <c:pt idx="57">
                  <c:v>6.269999999999988</c:v>
                </c:pt>
                <c:pt idx="58">
                  <c:v>6.2799999999999878</c:v>
                </c:pt>
                <c:pt idx="59">
                  <c:v>6.2899999999999876</c:v>
                </c:pt>
                <c:pt idx="60">
                  <c:v>6.2999999999999874</c:v>
                </c:pt>
                <c:pt idx="61">
                  <c:v>6.3099999999999872</c:v>
                </c:pt>
                <c:pt idx="62">
                  <c:v>6.319999999999987</c:v>
                </c:pt>
                <c:pt idx="63">
                  <c:v>6.3299999999999867</c:v>
                </c:pt>
                <c:pt idx="64">
                  <c:v>6.3399999999999865</c:v>
                </c:pt>
                <c:pt idx="65">
                  <c:v>6.3499999999999863</c:v>
                </c:pt>
                <c:pt idx="66">
                  <c:v>6.3599999999999861</c:v>
                </c:pt>
                <c:pt idx="67">
                  <c:v>6.3699999999999859</c:v>
                </c:pt>
                <c:pt idx="68">
                  <c:v>6.3799999999999857</c:v>
                </c:pt>
                <c:pt idx="69">
                  <c:v>6.3899999999999855</c:v>
                </c:pt>
                <c:pt idx="70">
                  <c:v>6.3999999999999853</c:v>
                </c:pt>
                <c:pt idx="71">
                  <c:v>6.409999999999985</c:v>
                </c:pt>
                <c:pt idx="72">
                  <c:v>6.4199999999999848</c:v>
                </c:pt>
                <c:pt idx="73">
                  <c:v>6.4299999999999846</c:v>
                </c:pt>
                <c:pt idx="74">
                  <c:v>6.4399999999999844</c:v>
                </c:pt>
                <c:pt idx="75">
                  <c:v>6.4499999999999842</c:v>
                </c:pt>
                <c:pt idx="76">
                  <c:v>6.459999999999984</c:v>
                </c:pt>
                <c:pt idx="77">
                  <c:v>6.4699999999999838</c:v>
                </c:pt>
                <c:pt idx="78">
                  <c:v>6.4799999999999836</c:v>
                </c:pt>
                <c:pt idx="79">
                  <c:v>6.4899999999999833</c:v>
                </c:pt>
                <c:pt idx="80">
                  <c:v>6.4999999999999831</c:v>
                </c:pt>
                <c:pt idx="81">
                  <c:v>6.5099999999999829</c:v>
                </c:pt>
                <c:pt idx="82">
                  <c:v>6.5199999999999827</c:v>
                </c:pt>
                <c:pt idx="83">
                  <c:v>6.5299999999999825</c:v>
                </c:pt>
                <c:pt idx="84">
                  <c:v>6.5399999999999823</c:v>
                </c:pt>
                <c:pt idx="85">
                  <c:v>6.5499999999999821</c:v>
                </c:pt>
                <c:pt idx="86">
                  <c:v>6.5599999999999818</c:v>
                </c:pt>
                <c:pt idx="87">
                  <c:v>6.5699999999999816</c:v>
                </c:pt>
                <c:pt idx="88">
                  <c:v>6.5799999999999814</c:v>
                </c:pt>
                <c:pt idx="89">
                  <c:v>6.5899999999999812</c:v>
                </c:pt>
                <c:pt idx="90">
                  <c:v>6.599999999999981</c:v>
                </c:pt>
                <c:pt idx="91">
                  <c:v>6.6099999999999808</c:v>
                </c:pt>
                <c:pt idx="92">
                  <c:v>6.6199999999999806</c:v>
                </c:pt>
                <c:pt idx="93">
                  <c:v>6.6299999999999804</c:v>
                </c:pt>
                <c:pt idx="94">
                  <c:v>6.6399999999999801</c:v>
                </c:pt>
                <c:pt idx="95">
                  <c:v>6.6499999999999799</c:v>
                </c:pt>
                <c:pt idx="96">
                  <c:v>6.6599999999999797</c:v>
                </c:pt>
                <c:pt idx="97">
                  <c:v>6.6699999999999795</c:v>
                </c:pt>
                <c:pt idx="98">
                  <c:v>6.6799999999999793</c:v>
                </c:pt>
                <c:pt idx="99">
                  <c:v>6.6899999999999791</c:v>
                </c:pt>
                <c:pt idx="100">
                  <c:v>6.6999999999999789</c:v>
                </c:pt>
                <c:pt idx="101">
                  <c:v>6.7099999999999786</c:v>
                </c:pt>
                <c:pt idx="102">
                  <c:v>6.7199999999999784</c:v>
                </c:pt>
                <c:pt idx="103">
                  <c:v>6.7299999999999782</c:v>
                </c:pt>
                <c:pt idx="104">
                  <c:v>6.739999999999978</c:v>
                </c:pt>
                <c:pt idx="105">
                  <c:v>6.7499999999999778</c:v>
                </c:pt>
                <c:pt idx="106">
                  <c:v>6.7599999999999776</c:v>
                </c:pt>
                <c:pt idx="107">
                  <c:v>6.7699999999999774</c:v>
                </c:pt>
                <c:pt idx="108">
                  <c:v>6.7799999999999772</c:v>
                </c:pt>
                <c:pt idx="109">
                  <c:v>6.7899999999999769</c:v>
                </c:pt>
                <c:pt idx="110">
                  <c:v>6.7999999999999767</c:v>
                </c:pt>
                <c:pt idx="111">
                  <c:v>6.8099999999999765</c:v>
                </c:pt>
                <c:pt idx="112">
                  <c:v>6.8199999999999763</c:v>
                </c:pt>
                <c:pt idx="113">
                  <c:v>6.8299999999999761</c:v>
                </c:pt>
                <c:pt idx="114">
                  <c:v>6.8399999999999759</c:v>
                </c:pt>
                <c:pt idx="115">
                  <c:v>6.8499999999999757</c:v>
                </c:pt>
                <c:pt idx="116">
                  <c:v>6.8599999999999755</c:v>
                </c:pt>
                <c:pt idx="117">
                  <c:v>6.8699999999999752</c:v>
                </c:pt>
                <c:pt idx="118">
                  <c:v>6.879999999999975</c:v>
                </c:pt>
                <c:pt idx="119">
                  <c:v>6.8899999999999748</c:v>
                </c:pt>
                <c:pt idx="120">
                  <c:v>6.8999999999999746</c:v>
                </c:pt>
                <c:pt idx="121">
                  <c:v>6.9099999999999744</c:v>
                </c:pt>
                <c:pt idx="122">
                  <c:v>6.9199999999999742</c:v>
                </c:pt>
                <c:pt idx="123">
                  <c:v>6.929999999999974</c:v>
                </c:pt>
                <c:pt idx="124">
                  <c:v>6.9399999999999737</c:v>
                </c:pt>
                <c:pt idx="125">
                  <c:v>6.9499999999999735</c:v>
                </c:pt>
                <c:pt idx="126">
                  <c:v>6.9599999999999733</c:v>
                </c:pt>
                <c:pt idx="127">
                  <c:v>6.9699999999999731</c:v>
                </c:pt>
                <c:pt idx="128">
                  <c:v>6.9799999999999729</c:v>
                </c:pt>
                <c:pt idx="129">
                  <c:v>6.9899999999999727</c:v>
                </c:pt>
                <c:pt idx="130">
                  <c:v>6.9999999999999725</c:v>
                </c:pt>
                <c:pt idx="131">
                  <c:v>7.0099999999999723</c:v>
                </c:pt>
                <c:pt idx="132">
                  <c:v>7.019999999999972</c:v>
                </c:pt>
                <c:pt idx="133">
                  <c:v>7.0299999999999718</c:v>
                </c:pt>
                <c:pt idx="134">
                  <c:v>7.0399999999999716</c:v>
                </c:pt>
                <c:pt idx="135">
                  <c:v>7.0499999999999714</c:v>
                </c:pt>
                <c:pt idx="136">
                  <c:v>7.0599999999999712</c:v>
                </c:pt>
                <c:pt idx="137">
                  <c:v>7.069999999999971</c:v>
                </c:pt>
                <c:pt idx="138">
                  <c:v>7.0799999999999708</c:v>
                </c:pt>
                <c:pt idx="139">
                  <c:v>7.0899999999999705</c:v>
                </c:pt>
                <c:pt idx="140">
                  <c:v>7.0999999999999703</c:v>
                </c:pt>
                <c:pt idx="141">
                  <c:v>7.1099999999999701</c:v>
                </c:pt>
                <c:pt idx="142">
                  <c:v>7.1199999999999699</c:v>
                </c:pt>
                <c:pt idx="143">
                  <c:v>7.1299999999999697</c:v>
                </c:pt>
                <c:pt idx="144">
                  <c:v>7.1399999999999695</c:v>
                </c:pt>
                <c:pt idx="145">
                  <c:v>7.1499999999999693</c:v>
                </c:pt>
                <c:pt idx="146">
                  <c:v>7.1599999999999691</c:v>
                </c:pt>
                <c:pt idx="147">
                  <c:v>7.1699999999999688</c:v>
                </c:pt>
                <c:pt idx="148">
                  <c:v>7.1799999999999686</c:v>
                </c:pt>
                <c:pt idx="149">
                  <c:v>7.1899999999999684</c:v>
                </c:pt>
                <c:pt idx="150">
                  <c:v>7.1999999999999682</c:v>
                </c:pt>
                <c:pt idx="151">
                  <c:v>7.209999999999968</c:v>
                </c:pt>
                <c:pt idx="152">
                  <c:v>7.2199999999999678</c:v>
                </c:pt>
                <c:pt idx="153">
                  <c:v>7.2299999999999676</c:v>
                </c:pt>
                <c:pt idx="154">
                  <c:v>7.2399999999999674</c:v>
                </c:pt>
                <c:pt idx="155">
                  <c:v>7.2499999999999671</c:v>
                </c:pt>
                <c:pt idx="156">
                  <c:v>7.2599999999999669</c:v>
                </c:pt>
                <c:pt idx="157">
                  <c:v>7.2699999999999667</c:v>
                </c:pt>
                <c:pt idx="158">
                  <c:v>7.2799999999999665</c:v>
                </c:pt>
                <c:pt idx="159">
                  <c:v>7.2899999999999663</c:v>
                </c:pt>
                <c:pt idx="160">
                  <c:v>7.2999999999999661</c:v>
                </c:pt>
                <c:pt idx="161">
                  <c:v>7.3099999999999659</c:v>
                </c:pt>
                <c:pt idx="162">
                  <c:v>7.3199999999999656</c:v>
                </c:pt>
                <c:pt idx="163">
                  <c:v>7.3299999999999654</c:v>
                </c:pt>
                <c:pt idx="164">
                  <c:v>7.3399999999999652</c:v>
                </c:pt>
                <c:pt idx="165">
                  <c:v>7.349999999999965</c:v>
                </c:pt>
                <c:pt idx="166">
                  <c:v>7.3599999999999648</c:v>
                </c:pt>
                <c:pt idx="167">
                  <c:v>7.3699999999999646</c:v>
                </c:pt>
                <c:pt idx="168">
                  <c:v>7.3799999999999644</c:v>
                </c:pt>
                <c:pt idx="169">
                  <c:v>7.3899999999999642</c:v>
                </c:pt>
                <c:pt idx="170">
                  <c:v>7.3999999999999639</c:v>
                </c:pt>
                <c:pt idx="171">
                  <c:v>7.4099999999999637</c:v>
                </c:pt>
                <c:pt idx="172">
                  <c:v>7.4199999999999635</c:v>
                </c:pt>
                <c:pt idx="173">
                  <c:v>7.4299999999999633</c:v>
                </c:pt>
                <c:pt idx="174">
                  <c:v>7.4399999999999631</c:v>
                </c:pt>
                <c:pt idx="175">
                  <c:v>7.4499999999999629</c:v>
                </c:pt>
                <c:pt idx="176">
                  <c:v>7.4599999999999627</c:v>
                </c:pt>
                <c:pt idx="177">
                  <c:v>7.4699999999999624</c:v>
                </c:pt>
                <c:pt idx="178">
                  <c:v>7.4799999999999622</c:v>
                </c:pt>
                <c:pt idx="179">
                  <c:v>7.489999999999962</c:v>
                </c:pt>
                <c:pt idx="180">
                  <c:v>7.4999999999999618</c:v>
                </c:pt>
                <c:pt idx="181">
                  <c:v>7.5099999999999616</c:v>
                </c:pt>
                <c:pt idx="182">
                  <c:v>7.5199999999999614</c:v>
                </c:pt>
                <c:pt idx="183">
                  <c:v>7.5299999999999612</c:v>
                </c:pt>
                <c:pt idx="184">
                  <c:v>7.539999999999961</c:v>
                </c:pt>
                <c:pt idx="185">
                  <c:v>7.5499999999999607</c:v>
                </c:pt>
                <c:pt idx="186">
                  <c:v>7.5599999999999605</c:v>
                </c:pt>
                <c:pt idx="187">
                  <c:v>7.5699999999999603</c:v>
                </c:pt>
                <c:pt idx="188">
                  <c:v>7.5799999999999601</c:v>
                </c:pt>
                <c:pt idx="189">
                  <c:v>7.5899999999999599</c:v>
                </c:pt>
                <c:pt idx="190">
                  <c:v>7.5999999999999597</c:v>
                </c:pt>
                <c:pt idx="191">
                  <c:v>7.6099999999999595</c:v>
                </c:pt>
                <c:pt idx="192">
                  <c:v>7.6199999999999593</c:v>
                </c:pt>
                <c:pt idx="193">
                  <c:v>7.629999999999959</c:v>
                </c:pt>
                <c:pt idx="194">
                  <c:v>7.6399999999999588</c:v>
                </c:pt>
                <c:pt idx="195">
                  <c:v>7.6499999999999586</c:v>
                </c:pt>
                <c:pt idx="196">
                  <c:v>7.6599999999999584</c:v>
                </c:pt>
                <c:pt idx="197">
                  <c:v>7.6699999999999582</c:v>
                </c:pt>
                <c:pt idx="198">
                  <c:v>7.679999999999958</c:v>
                </c:pt>
                <c:pt idx="199">
                  <c:v>7.6899999999999578</c:v>
                </c:pt>
                <c:pt idx="200">
                  <c:v>7.6999999999999575</c:v>
                </c:pt>
                <c:pt idx="201">
                  <c:v>7.7999999999999572</c:v>
                </c:pt>
                <c:pt idx="202">
                  <c:v>7.8999999999999568</c:v>
                </c:pt>
                <c:pt idx="203">
                  <c:v>7.9999999999999565</c:v>
                </c:pt>
                <c:pt idx="204">
                  <c:v>8.099999999999957</c:v>
                </c:pt>
                <c:pt idx="205">
                  <c:v>8.1999999999999567</c:v>
                </c:pt>
                <c:pt idx="206">
                  <c:v>8.2999999999999563</c:v>
                </c:pt>
                <c:pt idx="207">
                  <c:v>8.3999999999999559</c:v>
                </c:pt>
                <c:pt idx="208">
                  <c:v>8.4999999999999556</c:v>
                </c:pt>
                <c:pt idx="209">
                  <c:v>8.5999999999999552</c:v>
                </c:pt>
                <c:pt idx="210">
                  <c:v>8.6999999999999549</c:v>
                </c:pt>
                <c:pt idx="211">
                  <c:v>8.7999999999999545</c:v>
                </c:pt>
                <c:pt idx="212">
                  <c:v>8.8999999999999542</c:v>
                </c:pt>
                <c:pt idx="213">
                  <c:v>8.9999999999999538</c:v>
                </c:pt>
                <c:pt idx="214">
                  <c:v>9.0999999999999535</c:v>
                </c:pt>
                <c:pt idx="215">
                  <c:v>9.1999999999999531</c:v>
                </c:pt>
                <c:pt idx="216">
                  <c:v>9.2999999999999527</c:v>
                </c:pt>
                <c:pt idx="217">
                  <c:v>9.3999999999999524</c:v>
                </c:pt>
                <c:pt idx="218">
                  <c:v>9.499999999999952</c:v>
                </c:pt>
                <c:pt idx="219">
                  <c:v>9.5999999999999517</c:v>
                </c:pt>
                <c:pt idx="220">
                  <c:v>9.6999999999999513</c:v>
                </c:pt>
                <c:pt idx="221">
                  <c:v>9.799999999999951</c:v>
                </c:pt>
                <c:pt idx="222">
                  <c:v>9.8999999999999506</c:v>
                </c:pt>
                <c:pt idx="223">
                  <c:v>9.9999999999999503</c:v>
                </c:pt>
                <c:pt idx="224">
                  <c:v>10.09999999999995</c:v>
                </c:pt>
                <c:pt idx="225">
                  <c:v>10.19999999999995</c:v>
                </c:pt>
                <c:pt idx="226">
                  <c:v>10.299999999999949</c:v>
                </c:pt>
                <c:pt idx="227">
                  <c:v>10.399999999999949</c:v>
                </c:pt>
                <c:pt idx="228">
                  <c:v>10.499999999999948</c:v>
                </c:pt>
                <c:pt idx="229">
                  <c:v>10.599999999999948</c:v>
                </c:pt>
                <c:pt idx="230">
                  <c:v>10.699999999999948</c:v>
                </c:pt>
                <c:pt idx="231">
                  <c:v>10.799999999999947</c:v>
                </c:pt>
                <c:pt idx="232">
                  <c:v>10.899999999999947</c:v>
                </c:pt>
                <c:pt idx="233">
                  <c:v>10.999999999999947</c:v>
                </c:pt>
                <c:pt idx="234">
                  <c:v>11.099999999999946</c:v>
                </c:pt>
                <c:pt idx="235">
                  <c:v>11.199999999999946</c:v>
                </c:pt>
                <c:pt idx="236">
                  <c:v>11.299999999999946</c:v>
                </c:pt>
                <c:pt idx="237">
                  <c:v>11.399999999999945</c:v>
                </c:pt>
                <c:pt idx="238">
                  <c:v>11.499999999999945</c:v>
                </c:pt>
                <c:pt idx="239">
                  <c:v>11.599999999999945</c:v>
                </c:pt>
                <c:pt idx="240">
                  <c:v>11.699999999999944</c:v>
                </c:pt>
                <c:pt idx="241">
                  <c:v>11.799999999999944</c:v>
                </c:pt>
                <c:pt idx="242">
                  <c:v>11.899999999999944</c:v>
                </c:pt>
                <c:pt idx="243">
                  <c:v>11.999999999999943</c:v>
                </c:pt>
                <c:pt idx="244">
                  <c:v>12.099999999999943</c:v>
                </c:pt>
                <c:pt idx="245">
                  <c:v>12.199999999999942</c:v>
                </c:pt>
                <c:pt idx="246">
                  <c:v>12.299999999999942</c:v>
                </c:pt>
                <c:pt idx="247">
                  <c:v>12.399999999999942</c:v>
                </c:pt>
                <c:pt idx="248">
                  <c:v>12.499999999999941</c:v>
                </c:pt>
                <c:pt idx="249">
                  <c:v>12.599999999999941</c:v>
                </c:pt>
                <c:pt idx="250">
                  <c:v>12.699999999999941</c:v>
                </c:pt>
                <c:pt idx="251">
                  <c:v>12.79999999999994</c:v>
                </c:pt>
                <c:pt idx="252">
                  <c:v>12.89999999999994</c:v>
                </c:pt>
                <c:pt idx="253">
                  <c:v>12.99999999999994</c:v>
                </c:pt>
                <c:pt idx="254">
                  <c:v>13.099999999999939</c:v>
                </c:pt>
                <c:pt idx="255">
                  <c:v>13.199999999999939</c:v>
                </c:pt>
                <c:pt idx="256">
                  <c:v>13.299999999999939</c:v>
                </c:pt>
                <c:pt idx="257">
                  <c:v>13.399999999999938</c:v>
                </c:pt>
                <c:pt idx="258">
                  <c:v>13.499999999999938</c:v>
                </c:pt>
                <c:pt idx="259">
                  <c:v>13.599999999999937</c:v>
                </c:pt>
                <c:pt idx="260">
                  <c:v>13.699999999999937</c:v>
                </c:pt>
                <c:pt idx="261">
                  <c:v>13.799999999999937</c:v>
                </c:pt>
                <c:pt idx="262">
                  <c:v>13.899999999999936</c:v>
                </c:pt>
                <c:pt idx="263">
                  <c:v>13.999999999999936</c:v>
                </c:pt>
                <c:pt idx="264">
                  <c:v>14.099999999999936</c:v>
                </c:pt>
                <c:pt idx="265">
                  <c:v>14.199999999999935</c:v>
                </c:pt>
                <c:pt idx="266">
                  <c:v>14.299999999999935</c:v>
                </c:pt>
                <c:pt idx="267">
                  <c:v>14.399999999999935</c:v>
                </c:pt>
                <c:pt idx="268">
                  <c:v>14.499999999999934</c:v>
                </c:pt>
                <c:pt idx="269">
                  <c:v>14.599999999999934</c:v>
                </c:pt>
                <c:pt idx="270">
                  <c:v>14.699999999999934</c:v>
                </c:pt>
                <c:pt idx="271">
                  <c:v>14.799999999999933</c:v>
                </c:pt>
                <c:pt idx="272">
                  <c:v>14.899999999999933</c:v>
                </c:pt>
                <c:pt idx="273">
                  <c:v>14.999999999999932</c:v>
                </c:pt>
                <c:pt idx="274">
                  <c:v>15.099999999999932</c:v>
                </c:pt>
                <c:pt idx="275">
                  <c:v>15.199999999999932</c:v>
                </c:pt>
                <c:pt idx="276">
                  <c:v>15.299999999999931</c:v>
                </c:pt>
                <c:pt idx="277">
                  <c:v>15.399999999999931</c:v>
                </c:pt>
                <c:pt idx="278">
                  <c:v>15.499999999999931</c:v>
                </c:pt>
                <c:pt idx="279">
                  <c:v>15.59999999999993</c:v>
                </c:pt>
                <c:pt idx="280">
                  <c:v>15.69999999999993</c:v>
                </c:pt>
                <c:pt idx="281">
                  <c:v>15.79999999999993</c:v>
                </c:pt>
                <c:pt idx="282">
                  <c:v>15.899999999999929</c:v>
                </c:pt>
                <c:pt idx="283">
                  <c:v>15.999999999999929</c:v>
                </c:pt>
                <c:pt idx="284">
                  <c:v>16.09999999999993</c:v>
                </c:pt>
                <c:pt idx="285">
                  <c:v>16.199999999999932</c:v>
                </c:pt>
                <c:pt idx="286">
                  <c:v>16.299999999999933</c:v>
                </c:pt>
                <c:pt idx="287">
                  <c:v>16.399999999999935</c:v>
                </c:pt>
                <c:pt idx="288">
                  <c:v>16.499999999999936</c:v>
                </c:pt>
                <c:pt idx="289">
                  <c:v>16.599999999999937</c:v>
                </c:pt>
                <c:pt idx="290">
                  <c:v>16.699999999999939</c:v>
                </c:pt>
                <c:pt idx="291">
                  <c:v>16.79999999999994</c:v>
                </c:pt>
                <c:pt idx="292">
                  <c:v>16.899999999999942</c:v>
                </c:pt>
                <c:pt idx="293">
                  <c:v>16.999999999999943</c:v>
                </c:pt>
                <c:pt idx="294">
                  <c:v>17.099999999999945</c:v>
                </c:pt>
                <c:pt idx="295">
                  <c:v>17.199999999999946</c:v>
                </c:pt>
                <c:pt idx="296">
                  <c:v>17.299999999999947</c:v>
                </c:pt>
                <c:pt idx="297">
                  <c:v>17.399999999999949</c:v>
                </c:pt>
                <c:pt idx="298">
                  <c:v>17.49999999999995</c:v>
                </c:pt>
                <c:pt idx="299">
                  <c:v>17.599999999999952</c:v>
                </c:pt>
                <c:pt idx="300">
                  <c:v>17.699999999999953</c:v>
                </c:pt>
                <c:pt idx="301">
                  <c:v>17.799999999999955</c:v>
                </c:pt>
                <c:pt idx="302">
                  <c:v>17.899999999999956</c:v>
                </c:pt>
                <c:pt idx="303">
                  <c:v>17.999999999999957</c:v>
                </c:pt>
                <c:pt idx="304">
                  <c:v>18.099999999999959</c:v>
                </c:pt>
                <c:pt idx="305">
                  <c:v>18.19999999999996</c:v>
                </c:pt>
                <c:pt idx="306">
                  <c:v>18.299999999999962</c:v>
                </c:pt>
                <c:pt idx="307">
                  <c:v>18.399999999999963</c:v>
                </c:pt>
                <c:pt idx="308">
                  <c:v>18.499999999999964</c:v>
                </c:pt>
                <c:pt idx="309">
                  <c:v>18.599999999999966</c:v>
                </c:pt>
                <c:pt idx="310">
                  <c:v>18.699999999999967</c:v>
                </c:pt>
                <c:pt idx="311">
                  <c:v>18.799999999999969</c:v>
                </c:pt>
                <c:pt idx="312">
                  <c:v>18.89999999999997</c:v>
                </c:pt>
                <c:pt idx="313">
                  <c:v>18.999999999999972</c:v>
                </c:pt>
                <c:pt idx="314">
                  <c:v>19.099999999999973</c:v>
                </c:pt>
                <c:pt idx="315">
                  <c:v>19.199999999999974</c:v>
                </c:pt>
                <c:pt idx="316">
                  <c:v>19.299999999999976</c:v>
                </c:pt>
                <c:pt idx="317">
                  <c:v>19.399999999999977</c:v>
                </c:pt>
                <c:pt idx="318">
                  <c:v>19.499999999999979</c:v>
                </c:pt>
                <c:pt idx="319">
                  <c:v>19.59999999999998</c:v>
                </c:pt>
                <c:pt idx="320">
                  <c:v>19.699999999999982</c:v>
                </c:pt>
                <c:pt idx="321">
                  <c:v>19.799999999999983</c:v>
                </c:pt>
                <c:pt idx="322">
                  <c:v>19.899999999999984</c:v>
                </c:pt>
                <c:pt idx="323">
                  <c:v>19.999999999999986</c:v>
                </c:pt>
                <c:pt idx="324">
                  <c:v>20.099999999999987</c:v>
                </c:pt>
                <c:pt idx="325">
                  <c:v>20.199999999999989</c:v>
                </c:pt>
                <c:pt idx="326">
                  <c:v>20.29999999999999</c:v>
                </c:pt>
                <c:pt idx="327">
                  <c:v>20.399999999999991</c:v>
                </c:pt>
                <c:pt idx="328">
                  <c:v>20.499999999999993</c:v>
                </c:pt>
                <c:pt idx="329">
                  <c:v>20.599999999999994</c:v>
                </c:pt>
                <c:pt idx="330">
                  <c:v>20.699999999999996</c:v>
                </c:pt>
                <c:pt idx="331">
                  <c:v>20.799999999999997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21.200000000000003</c:v>
                </c:pt>
                <c:pt idx="336">
                  <c:v>21.300000000000004</c:v>
                </c:pt>
                <c:pt idx="337">
                  <c:v>21.400000000000006</c:v>
                </c:pt>
                <c:pt idx="338">
                  <c:v>21.500000000000007</c:v>
                </c:pt>
                <c:pt idx="339">
                  <c:v>21.600000000000009</c:v>
                </c:pt>
                <c:pt idx="340">
                  <c:v>21.70000000000001</c:v>
                </c:pt>
                <c:pt idx="341">
                  <c:v>21.800000000000011</c:v>
                </c:pt>
                <c:pt idx="342">
                  <c:v>21.900000000000013</c:v>
                </c:pt>
                <c:pt idx="343">
                  <c:v>22.000000000000014</c:v>
                </c:pt>
                <c:pt idx="344">
                  <c:v>22.100000000000016</c:v>
                </c:pt>
                <c:pt idx="345">
                  <c:v>22.200000000000017</c:v>
                </c:pt>
                <c:pt idx="346">
                  <c:v>22.300000000000018</c:v>
                </c:pt>
                <c:pt idx="347">
                  <c:v>22.40000000000002</c:v>
                </c:pt>
                <c:pt idx="348">
                  <c:v>22.500000000000021</c:v>
                </c:pt>
                <c:pt idx="349">
                  <c:v>22.600000000000023</c:v>
                </c:pt>
                <c:pt idx="350">
                  <c:v>22.700000000000024</c:v>
                </c:pt>
                <c:pt idx="351">
                  <c:v>22.800000000000026</c:v>
                </c:pt>
                <c:pt idx="352">
                  <c:v>22.900000000000027</c:v>
                </c:pt>
                <c:pt idx="353">
                  <c:v>23.000000000000028</c:v>
                </c:pt>
                <c:pt idx="354">
                  <c:v>23.10000000000003</c:v>
                </c:pt>
                <c:pt idx="355">
                  <c:v>23.200000000000031</c:v>
                </c:pt>
                <c:pt idx="356">
                  <c:v>23.300000000000033</c:v>
                </c:pt>
                <c:pt idx="357">
                  <c:v>23.400000000000034</c:v>
                </c:pt>
                <c:pt idx="358">
                  <c:v>23.500000000000036</c:v>
                </c:pt>
                <c:pt idx="359">
                  <c:v>23.600000000000037</c:v>
                </c:pt>
                <c:pt idx="360">
                  <c:v>23.700000000000038</c:v>
                </c:pt>
                <c:pt idx="361">
                  <c:v>23.80000000000004</c:v>
                </c:pt>
                <c:pt idx="362">
                  <c:v>23.900000000000041</c:v>
                </c:pt>
                <c:pt idx="363">
                  <c:v>24.000000000000043</c:v>
                </c:pt>
                <c:pt idx="364">
                  <c:v>24.100000000000044</c:v>
                </c:pt>
                <c:pt idx="365">
                  <c:v>24.200000000000045</c:v>
                </c:pt>
                <c:pt idx="366">
                  <c:v>24.300000000000047</c:v>
                </c:pt>
                <c:pt idx="367">
                  <c:v>24.400000000000048</c:v>
                </c:pt>
                <c:pt idx="368">
                  <c:v>24.50000000000005</c:v>
                </c:pt>
                <c:pt idx="369">
                  <c:v>24.600000000000051</c:v>
                </c:pt>
                <c:pt idx="370">
                  <c:v>24.700000000000053</c:v>
                </c:pt>
                <c:pt idx="371">
                  <c:v>24.800000000000054</c:v>
                </c:pt>
                <c:pt idx="372">
                  <c:v>24.900000000000055</c:v>
                </c:pt>
                <c:pt idx="373">
                  <c:v>25.000000000000057</c:v>
                </c:pt>
                <c:pt idx="374">
                  <c:v>25.100000000000058</c:v>
                </c:pt>
                <c:pt idx="375">
                  <c:v>25.20000000000006</c:v>
                </c:pt>
                <c:pt idx="376">
                  <c:v>25.300000000000061</c:v>
                </c:pt>
                <c:pt idx="377">
                  <c:v>25.400000000000063</c:v>
                </c:pt>
                <c:pt idx="378">
                  <c:v>25.500000000000064</c:v>
                </c:pt>
                <c:pt idx="379">
                  <c:v>25.600000000000065</c:v>
                </c:pt>
                <c:pt idx="380">
                  <c:v>25.700000000000067</c:v>
                </c:pt>
                <c:pt idx="381">
                  <c:v>25.800000000000068</c:v>
                </c:pt>
                <c:pt idx="382">
                  <c:v>25.90000000000007</c:v>
                </c:pt>
                <c:pt idx="383">
                  <c:v>26.000000000000071</c:v>
                </c:pt>
                <c:pt idx="384">
                  <c:v>26.100000000000072</c:v>
                </c:pt>
                <c:pt idx="385">
                  <c:v>26.200000000000074</c:v>
                </c:pt>
                <c:pt idx="386">
                  <c:v>26.300000000000075</c:v>
                </c:pt>
                <c:pt idx="387">
                  <c:v>26.400000000000077</c:v>
                </c:pt>
                <c:pt idx="388">
                  <c:v>26.500000000000078</c:v>
                </c:pt>
                <c:pt idx="389">
                  <c:v>26.60000000000008</c:v>
                </c:pt>
                <c:pt idx="390">
                  <c:v>26.700000000000081</c:v>
                </c:pt>
                <c:pt idx="391">
                  <c:v>26.800000000000082</c:v>
                </c:pt>
                <c:pt idx="392">
                  <c:v>26.900000000000084</c:v>
                </c:pt>
                <c:pt idx="393">
                  <c:v>27.000000000000085</c:v>
                </c:pt>
                <c:pt idx="394">
                  <c:v>27.100000000000087</c:v>
                </c:pt>
                <c:pt idx="395">
                  <c:v>27.200000000000088</c:v>
                </c:pt>
                <c:pt idx="396">
                  <c:v>27.30000000000009</c:v>
                </c:pt>
                <c:pt idx="397">
                  <c:v>27.400000000000091</c:v>
                </c:pt>
                <c:pt idx="398">
                  <c:v>27.500000000000092</c:v>
                </c:pt>
                <c:pt idx="399">
                  <c:v>27.600000000000094</c:v>
                </c:pt>
                <c:pt idx="400">
                  <c:v>27.700000000000095</c:v>
                </c:pt>
                <c:pt idx="401">
                  <c:v>27.800000000000097</c:v>
                </c:pt>
                <c:pt idx="402">
                  <c:v>27.900000000000098</c:v>
                </c:pt>
                <c:pt idx="403">
                  <c:v>28.000000000000099</c:v>
                </c:pt>
                <c:pt idx="404">
                  <c:v>28.100000000000101</c:v>
                </c:pt>
                <c:pt idx="405">
                  <c:v>28.200000000000102</c:v>
                </c:pt>
                <c:pt idx="406">
                  <c:v>28.300000000000104</c:v>
                </c:pt>
                <c:pt idx="407">
                  <c:v>28.400000000000105</c:v>
                </c:pt>
                <c:pt idx="408">
                  <c:v>28.500000000000107</c:v>
                </c:pt>
                <c:pt idx="409">
                  <c:v>28.600000000000108</c:v>
                </c:pt>
                <c:pt idx="410">
                  <c:v>28.700000000000109</c:v>
                </c:pt>
                <c:pt idx="411">
                  <c:v>28.800000000000111</c:v>
                </c:pt>
                <c:pt idx="412">
                  <c:v>28.900000000000112</c:v>
                </c:pt>
                <c:pt idx="413">
                  <c:v>29.000000000000114</c:v>
                </c:pt>
                <c:pt idx="414">
                  <c:v>29.100000000000115</c:v>
                </c:pt>
                <c:pt idx="415">
                  <c:v>29.200000000000117</c:v>
                </c:pt>
                <c:pt idx="416">
                  <c:v>29.300000000000118</c:v>
                </c:pt>
                <c:pt idx="417">
                  <c:v>29.400000000000119</c:v>
                </c:pt>
                <c:pt idx="418">
                  <c:v>29.500000000000121</c:v>
                </c:pt>
                <c:pt idx="419">
                  <c:v>29.600000000000122</c:v>
                </c:pt>
                <c:pt idx="420">
                  <c:v>29.700000000000124</c:v>
                </c:pt>
                <c:pt idx="421">
                  <c:v>29.800000000000125</c:v>
                </c:pt>
                <c:pt idx="422">
                  <c:v>29.900000000000126</c:v>
                </c:pt>
                <c:pt idx="423">
                  <c:v>30.000000000000128</c:v>
                </c:pt>
                <c:pt idx="424">
                  <c:v>30.100000000000129</c:v>
                </c:pt>
                <c:pt idx="425">
                  <c:v>30.200000000000131</c:v>
                </c:pt>
                <c:pt idx="426">
                  <c:v>30.300000000000132</c:v>
                </c:pt>
                <c:pt idx="427">
                  <c:v>30.400000000000134</c:v>
                </c:pt>
                <c:pt idx="428">
                  <c:v>30.500000000000135</c:v>
                </c:pt>
                <c:pt idx="429">
                  <c:v>30.600000000000136</c:v>
                </c:pt>
                <c:pt idx="430">
                  <c:v>30.700000000000138</c:v>
                </c:pt>
                <c:pt idx="431">
                  <c:v>30.800000000000139</c:v>
                </c:pt>
                <c:pt idx="432">
                  <c:v>30.900000000000141</c:v>
                </c:pt>
                <c:pt idx="433">
                  <c:v>31.000000000000142</c:v>
                </c:pt>
                <c:pt idx="434">
                  <c:v>31.100000000000144</c:v>
                </c:pt>
                <c:pt idx="435">
                  <c:v>31.200000000000145</c:v>
                </c:pt>
                <c:pt idx="436">
                  <c:v>31.300000000000146</c:v>
                </c:pt>
                <c:pt idx="437">
                  <c:v>31.400000000000148</c:v>
                </c:pt>
                <c:pt idx="438">
                  <c:v>31.500000000000149</c:v>
                </c:pt>
                <c:pt idx="439">
                  <c:v>31.600000000000151</c:v>
                </c:pt>
                <c:pt idx="440">
                  <c:v>31.700000000000152</c:v>
                </c:pt>
                <c:pt idx="441">
                  <c:v>31.800000000000153</c:v>
                </c:pt>
                <c:pt idx="442">
                  <c:v>31.900000000000155</c:v>
                </c:pt>
                <c:pt idx="443">
                  <c:v>32.000000000000156</c:v>
                </c:pt>
                <c:pt idx="444">
                  <c:v>32.100000000000158</c:v>
                </c:pt>
                <c:pt idx="445">
                  <c:v>32.200000000000159</c:v>
                </c:pt>
                <c:pt idx="446">
                  <c:v>32.300000000000161</c:v>
                </c:pt>
                <c:pt idx="447">
                  <c:v>32.400000000000162</c:v>
                </c:pt>
                <c:pt idx="448">
                  <c:v>32.500000000000163</c:v>
                </c:pt>
                <c:pt idx="449">
                  <c:v>32.600000000000165</c:v>
                </c:pt>
                <c:pt idx="450">
                  <c:v>32.700000000000166</c:v>
                </c:pt>
                <c:pt idx="451">
                  <c:v>32.800000000000168</c:v>
                </c:pt>
                <c:pt idx="452">
                  <c:v>32.900000000000169</c:v>
                </c:pt>
                <c:pt idx="453">
                  <c:v>33.000000000000171</c:v>
                </c:pt>
                <c:pt idx="454">
                  <c:v>33.100000000000172</c:v>
                </c:pt>
                <c:pt idx="455">
                  <c:v>33.200000000000173</c:v>
                </c:pt>
                <c:pt idx="456">
                  <c:v>33.300000000000175</c:v>
                </c:pt>
                <c:pt idx="457">
                  <c:v>33.400000000000176</c:v>
                </c:pt>
                <c:pt idx="458">
                  <c:v>33.500000000000178</c:v>
                </c:pt>
                <c:pt idx="459">
                  <c:v>33.600000000000179</c:v>
                </c:pt>
                <c:pt idx="460">
                  <c:v>33.70000000000018</c:v>
                </c:pt>
                <c:pt idx="461">
                  <c:v>33.800000000000182</c:v>
                </c:pt>
                <c:pt idx="462">
                  <c:v>33.900000000000183</c:v>
                </c:pt>
                <c:pt idx="463">
                  <c:v>34.000000000000185</c:v>
                </c:pt>
                <c:pt idx="464">
                  <c:v>34.100000000000186</c:v>
                </c:pt>
                <c:pt idx="465">
                  <c:v>34.200000000000188</c:v>
                </c:pt>
                <c:pt idx="466">
                  <c:v>34.300000000000189</c:v>
                </c:pt>
                <c:pt idx="467">
                  <c:v>34.40000000000019</c:v>
                </c:pt>
                <c:pt idx="468">
                  <c:v>34.500000000000192</c:v>
                </c:pt>
                <c:pt idx="469">
                  <c:v>34.600000000000193</c:v>
                </c:pt>
                <c:pt idx="470">
                  <c:v>34.700000000000195</c:v>
                </c:pt>
                <c:pt idx="471">
                  <c:v>34.800000000000196</c:v>
                </c:pt>
                <c:pt idx="472">
                  <c:v>34.900000000000198</c:v>
                </c:pt>
                <c:pt idx="473">
                  <c:v>35.000000000000199</c:v>
                </c:pt>
                <c:pt idx="474">
                  <c:v>35.1000000000002</c:v>
                </c:pt>
                <c:pt idx="475">
                  <c:v>35.200000000000202</c:v>
                </c:pt>
                <c:pt idx="476">
                  <c:v>35.300000000000203</c:v>
                </c:pt>
                <c:pt idx="477">
                  <c:v>35.400000000000205</c:v>
                </c:pt>
                <c:pt idx="478">
                  <c:v>35.500000000000206</c:v>
                </c:pt>
                <c:pt idx="479">
                  <c:v>35.600000000000207</c:v>
                </c:pt>
                <c:pt idx="480">
                  <c:v>35.700000000000209</c:v>
                </c:pt>
                <c:pt idx="481">
                  <c:v>35.80000000000021</c:v>
                </c:pt>
                <c:pt idx="482">
                  <c:v>35.900000000000212</c:v>
                </c:pt>
                <c:pt idx="483">
                  <c:v>36.000000000000213</c:v>
                </c:pt>
                <c:pt idx="484">
                  <c:v>36.100000000000215</c:v>
                </c:pt>
                <c:pt idx="485">
                  <c:v>36.200000000000216</c:v>
                </c:pt>
                <c:pt idx="486">
                  <c:v>36.300000000000217</c:v>
                </c:pt>
                <c:pt idx="487">
                  <c:v>36.400000000000219</c:v>
                </c:pt>
                <c:pt idx="488">
                  <c:v>36.50000000000022</c:v>
                </c:pt>
                <c:pt idx="489">
                  <c:v>36.600000000000222</c:v>
                </c:pt>
                <c:pt idx="490">
                  <c:v>36.700000000000223</c:v>
                </c:pt>
                <c:pt idx="491">
                  <c:v>36.800000000000225</c:v>
                </c:pt>
                <c:pt idx="492">
                  <c:v>36.900000000000226</c:v>
                </c:pt>
                <c:pt idx="493">
                  <c:v>37.000000000000227</c:v>
                </c:pt>
                <c:pt idx="494">
                  <c:v>37.100000000000229</c:v>
                </c:pt>
                <c:pt idx="495">
                  <c:v>37.20000000000023</c:v>
                </c:pt>
                <c:pt idx="496">
                  <c:v>37.300000000000232</c:v>
                </c:pt>
                <c:pt idx="497">
                  <c:v>37.400000000000233</c:v>
                </c:pt>
                <c:pt idx="498">
                  <c:v>37.500000000000234</c:v>
                </c:pt>
                <c:pt idx="499">
                  <c:v>37.600000000000236</c:v>
                </c:pt>
                <c:pt idx="500">
                  <c:v>37.700000000000237</c:v>
                </c:pt>
                <c:pt idx="501">
                  <c:v>37.800000000000239</c:v>
                </c:pt>
                <c:pt idx="502">
                  <c:v>37.90000000000024</c:v>
                </c:pt>
                <c:pt idx="503">
                  <c:v>38.000000000000242</c:v>
                </c:pt>
                <c:pt idx="504">
                  <c:v>38.100000000000243</c:v>
                </c:pt>
                <c:pt idx="505">
                  <c:v>38.200000000000244</c:v>
                </c:pt>
                <c:pt idx="506">
                  <c:v>38.300000000000246</c:v>
                </c:pt>
                <c:pt idx="507">
                  <c:v>38.400000000000247</c:v>
                </c:pt>
                <c:pt idx="508">
                  <c:v>38.500000000000249</c:v>
                </c:pt>
                <c:pt idx="509">
                  <c:v>38.60000000000025</c:v>
                </c:pt>
                <c:pt idx="510">
                  <c:v>38.700000000000252</c:v>
                </c:pt>
                <c:pt idx="511">
                  <c:v>38.800000000000253</c:v>
                </c:pt>
                <c:pt idx="512">
                  <c:v>38.900000000000254</c:v>
                </c:pt>
                <c:pt idx="513">
                  <c:v>39.000000000000256</c:v>
                </c:pt>
                <c:pt idx="514">
                  <c:v>39.100000000000257</c:v>
                </c:pt>
                <c:pt idx="515">
                  <c:v>39.200000000000259</c:v>
                </c:pt>
                <c:pt idx="516">
                  <c:v>39.30000000000026</c:v>
                </c:pt>
                <c:pt idx="517">
                  <c:v>39.400000000000261</c:v>
                </c:pt>
                <c:pt idx="518">
                  <c:v>39.500000000000263</c:v>
                </c:pt>
                <c:pt idx="519">
                  <c:v>39.600000000000264</c:v>
                </c:pt>
                <c:pt idx="520">
                  <c:v>39.700000000000266</c:v>
                </c:pt>
                <c:pt idx="521">
                  <c:v>39.800000000000267</c:v>
                </c:pt>
                <c:pt idx="522">
                  <c:v>39.900000000000269</c:v>
                </c:pt>
                <c:pt idx="523">
                  <c:v>40.00000000000027</c:v>
                </c:pt>
                <c:pt idx="524">
                  <c:v>40.100000000000271</c:v>
                </c:pt>
                <c:pt idx="525">
                  <c:v>40.200000000000273</c:v>
                </c:pt>
                <c:pt idx="526">
                  <c:v>40.300000000000274</c:v>
                </c:pt>
                <c:pt idx="527">
                  <c:v>40.400000000000276</c:v>
                </c:pt>
                <c:pt idx="528">
                  <c:v>40.500000000000277</c:v>
                </c:pt>
                <c:pt idx="529">
                  <c:v>40.600000000000279</c:v>
                </c:pt>
                <c:pt idx="530">
                  <c:v>40.70000000000028</c:v>
                </c:pt>
                <c:pt idx="531">
                  <c:v>40.800000000000281</c:v>
                </c:pt>
                <c:pt idx="532">
                  <c:v>40.900000000000283</c:v>
                </c:pt>
                <c:pt idx="533">
                  <c:v>41.000000000000284</c:v>
                </c:pt>
                <c:pt idx="534">
                  <c:v>41.100000000000286</c:v>
                </c:pt>
                <c:pt idx="535">
                  <c:v>41.200000000000287</c:v>
                </c:pt>
                <c:pt idx="536">
                  <c:v>41.300000000000288</c:v>
                </c:pt>
                <c:pt idx="537">
                  <c:v>41.40000000000029</c:v>
                </c:pt>
                <c:pt idx="538">
                  <c:v>41.500000000000291</c:v>
                </c:pt>
                <c:pt idx="539">
                  <c:v>41.600000000000293</c:v>
                </c:pt>
                <c:pt idx="540">
                  <c:v>41.700000000000294</c:v>
                </c:pt>
                <c:pt idx="541">
                  <c:v>41.800000000000296</c:v>
                </c:pt>
                <c:pt idx="542">
                  <c:v>41.900000000000297</c:v>
                </c:pt>
                <c:pt idx="543">
                  <c:v>42.000000000000298</c:v>
                </c:pt>
                <c:pt idx="544">
                  <c:v>42.1000000000003</c:v>
                </c:pt>
                <c:pt idx="545">
                  <c:v>42.200000000000301</c:v>
                </c:pt>
                <c:pt idx="546">
                  <c:v>42.300000000000303</c:v>
                </c:pt>
                <c:pt idx="547">
                  <c:v>42.400000000000304</c:v>
                </c:pt>
                <c:pt idx="548">
                  <c:v>42.500000000000306</c:v>
                </c:pt>
                <c:pt idx="549">
                  <c:v>42.600000000000307</c:v>
                </c:pt>
                <c:pt idx="550">
                  <c:v>42.700000000000308</c:v>
                </c:pt>
                <c:pt idx="551">
                  <c:v>42.80000000000031</c:v>
                </c:pt>
                <c:pt idx="552">
                  <c:v>42.900000000000311</c:v>
                </c:pt>
                <c:pt idx="553">
                  <c:v>43.000000000000313</c:v>
                </c:pt>
                <c:pt idx="554">
                  <c:v>43.100000000000314</c:v>
                </c:pt>
                <c:pt idx="555">
                  <c:v>43.200000000000315</c:v>
                </c:pt>
                <c:pt idx="556">
                  <c:v>43.300000000000317</c:v>
                </c:pt>
                <c:pt idx="557">
                  <c:v>43.400000000000318</c:v>
                </c:pt>
                <c:pt idx="558">
                  <c:v>43.50000000000032</c:v>
                </c:pt>
                <c:pt idx="559">
                  <c:v>43.600000000000321</c:v>
                </c:pt>
                <c:pt idx="560">
                  <c:v>43.700000000000323</c:v>
                </c:pt>
                <c:pt idx="561">
                  <c:v>43.800000000000324</c:v>
                </c:pt>
                <c:pt idx="562">
                  <c:v>43.900000000000325</c:v>
                </c:pt>
                <c:pt idx="563">
                  <c:v>44.000000000000327</c:v>
                </c:pt>
                <c:pt idx="564">
                  <c:v>44.100000000000328</c:v>
                </c:pt>
                <c:pt idx="565">
                  <c:v>44.20000000000033</c:v>
                </c:pt>
                <c:pt idx="566">
                  <c:v>44.300000000000331</c:v>
                </c:pt>
                <c:pt idx="567">
                  <c:v>44.400000000000333</c:v>
                </c:pt>
                <c:pt idx="568">
                  <c:v>44.500000000000334</c:v>
                </c:pt>
                <c:pt idx="569">
                  <c:v>44.600000000000335</c:v>
                </c:pt>
                <c:pt idx="570">
                  <c:v>44.700000000000337</c:v>
                </c:pt>
                <c:pt idx="571">
                  <c:v>44.800000000000338</c:v>
                </c:pt>
                <c:pt idx="572">
                  <c:v>44.90000000000034</c:v>
                </c:pt>
                <c:pt idx="573">
                  <c:v>45.000000000000341</c:v>
                </c:pt>
                <c:pt idx="574">
                  <c:v>45.100000000000342</c:v>
                </c:pt>
                <c:pt idx="575">
                  <c:v>45.200000000000344</c:v>
                </c:pt>
                <c:pt idx="576">
                  <c:v>45.300000000000345</c:v>
                </c:pt>
                <c:pt idx="577">
                  <c:v>45.400000000000347</c:v>
                </c:pt>
                <c:pt idx="578">
                  <c:v>45.500000000000348</c:v>
                </c:pt>
                <c:pt idx="579">
                  <c:v>45.60000000000035</c:v>
                </c:pt>
                <c:pt idx="580">
                  <c:v>45.700000000000351</c:v>
                </c:pt>
                <c:pt idx="581">
                  <c:v>45.800000000000352</c:v>
                </c:pt>
                <c:pt idx="582">
                  <c:v>45.900000000000354</c:v>
                </c:pt>
                <c:pt idx="583">
                  <c:v>46.000000000000355</c:v>
                </c:pt>
                <c:pt idx="584">
                  <c:v>46.100000000000357</c:v>
                </c:pt>
                <c:pt idx="585">
                  <c:v>46.200000000000358</c:v>
                </c:pt>
                <c:pt idx="586">
                  <c:v>46.30000000000036</c:v>
                </c:pt>
                <c:pt idx="587">
                  <c:v>46.400000000000361</c:v>
                </c:pt>
                <c:pt idx="588">
                  <c:v>46.500000000000362</c:v>
                </c:pt>
                <c:pt idx="589">
                  <c:v>46.600000000000364</c:v>
                </c:pt>
                <c:pt idx="590">
                  <c:v>46.700000000000365</c:v>
                </c:pt>
                <c:pt idx="591">
                  <c:v>46.800000000000367</c:v>
                </c:pt>
                <c:pt idx="592">
                  <c:v>46.900000000000368</c:v>
                </c:pt>
                <c:pt idx="593">
                  <c:v>47.000000000000369</c:v>
                </c:pt>
                <c:pt idx="594">
                  <c:v>47.100000000000371</c:v>
                </c:pt>
                <c:pt idx="595">
                  <c:v>47.100100000000374</c:v>
                </c:pt>
                <c:pt idx="596">
                  <c:v>47.100200000000378</c:v>
                </c:pt>
                <c:pt idx="597">
                  <c:v>47.100300000000381</c:v>
                </c:pt>
                <c:pt idx="598">
                  <c:v>47.100400000000384</c:v>
                </c:pt>
                <c:pt idx="599">
                  <c:v>47.100500000000388</c:v>
                </c:pt>
                <c:pt idx="600">
                  <c:v>47.100600000000391</c:v>
                </c:pt>
                <c:pt idx="601">
                  <c:v>47.100700000000394</c:v>
                </c:pt>
                <c:pt idx="602">
                  <c:v>47.100800000000397</c:v>
                </c:pt>
                <c:pt idx="603">
                  <c:v>47.100900000000401</c:v>
                </c:pt>
                <c:pt idx="604">
                  <c:v>47.101000000000404</c:v>
                </c:pt>
                <c:pt idx="605">
                  <c:v>47.101100000000407</c:v>
                </c:pt>
                <c:pt idx="606">
                  <c:v>47.101200000000411</c:v>
                </c:pt>
                <c:pt idx="607">
                  <c:v>47.101300000000414</c:v>
                </c:pt>
                <c:pt idx="608">
                  <c:v>47.101400000000417</c:v>
                </c:pt>
                <c:pt idx="609">
                  <c:v>47.101500000000421</c:v>
                </c:pt>
                <c:pt idx="610">
                  <c:v>47.101600000000424</c:v>
                </c:pt>
                <c:pt idx="611">
                  <c:v>47.101700000000427</c:v>
                </c:pt>
                <c:pt idx="612">
                  <c:v>47.101800000000431</c:v>
                </c:pt>
                <c:pt idx="613">
                  <c:v>47.101900000000434</c:v>
                </c:pt>
                <c:pt idx="614">
                  <c:v>47.102000000000437</c:v>
                </c:pt>
                <c:pt idx="615">
                  <c:v>47.102100000000441</c:v>
                </c:pt>
                <c:pt idx="616">
                  <c:v>47.102200000000444</c:v>
                </c:pt>
                <c:pt idx="617">
                  <c:v>47.102300000000447</c:v>
                </c:pt>
                <c:pt idx="618">
                  <c:v>47.102400000000451</c:v>
                </c:pt>
                <c:pt idx="619">
                  <c:v>47.102500000000454</c:v>
                </c:pt>
                <c:pt idx="620">
                  <c:v>47.102600000000457</c:v>
                </c:pt>
                <c:pt idx="621">
                  <c:v>47.102700000000461</c:v>
                </c:pt>
                <c:pt idx="622">
                  <c:v>47.102800000000464</c:v>
                </c:pt>
                <c:pt idx="623">
                  <c:v>47.102900000000467</c:v>
                </c:pt>
                <c:pt idx="624">
                  <c:v>47.10300000000047</c:v>
                </c:pt>
                <c:pt idx="625">
                  <c:v>47.103100000000474</c:v>
                </c:pt>
                <c:pt idx="626">
                  <c:v>47.103200000000477</c:v>
                </c:pt>
                <c:pt idx="627">
                  <c:v>47.10330000000048</c:v>
                </c:pt>
                <c:pt idx="628">
                  <c:v>47.103400000000484</c:v>
                </c:pt>
                <c:pt idx="629">
                  <c:v>47.103500000000487</c:v>
                </c:pt>
                <c:pt idx="630">
                  <c:v>47.10360000000049</c:v>
                </c:pt>
                <c:pt idx="631">
                  <c:v>47.103700000000494</c:v>
                </c:pt>
                <c:pt idx="632">
                  <c:v>47.103800000000497</c:v>
                </c:pt>
                <c:pt idx="633">
                  <c:v>47.1039000000005</c:v>
                </c:pt>
                <c:pt idx="634">
                  <c:v>47.104000000000504</c:v>
                </c:pt>
                <c:pt idx="635">
                  <c:v>47.104100000000507</c:v>
                </c:pt>
                <c:pt idx="636">
                  <c:v>47.10420000000051</c:v>
                </c:pt>
                <c:pt idx="637">
                  <c:v>47.104300000000514</c:v>
                </c:pt>
                <c:pt idx="638">
                  <c:v>47.104400000000517</c:v>
                </c:pt>
                <c:pt idx="639">
                  <c:v>47.10450000000052</c:v>
                </c:pt>
                <c:pt idx="640">
                  <c:v>47.104600000000524</c:v>
                </c:pt>
                <c:pt idx="641">
                  <c:v>47.104700000000527</c:v>
                </c:pt>
                <c:pt idx="642">
                  <c:v>47.10480000000053</c:v>
                </c:pt>
                <c:pt idx="643">
                  <c:v>47.104900000000534</c:v>
                </c:pt>
                <c:pt idx="644">
                  <c:v>47.105000000000537</c:v>
                </c:pt>
                <c:pt idx="645">
                  <c:v>47.10510000000054</c:v>
                </c:pt>
                <c:pt idx="646">
                  <c:v>47.105200000000544</c:v>
                </c:pt>
                <c:pt idx="647">
                  <c:v>47.105300000000547</c:v>
                </c:pt>
                <c:pt idx="648">
                  <c:v>47.10540000000055</c:v>
                </c:pt>
                <c:pt idx="649">
                  <c:v>47.105500000000553</c:v>
                </c:pt>
                <c:pt idx="650">
                  <c:v>47.105600000000557</c:v>
                </c:pt>
                <c:pt idx="651">
                  <c:v>47.10570000000056</c:v>
                </c:pt>
                <c:pt idx="652">
                  <c:v>47.105800000000563</c:v>
                </c:pt>
                <c:pt idx="653">
                  <c:v>47.105900000000567</c:v>
                </c:pt>
                <c:pt idx="654">
                  <c:v>47.10600000000057</c:v>
                </c:pt>
                <c:pt idx="655">
                  <c:v>47.106100000000573</c:v>
                </c:pt>
                <c:pt idx="656">
                  <c:v>47.106200000000577</c:v>
                </c:pt>
                <c:pt idx="657">
                  <c:v>47.10630000000058</c:v>
                </c:pt>
                <c:pt idx="658">
                  <c:v>47.106400000000583</c:v>
                </c:pt>
                <c:pt idx="659">
                  <c:v>47.106500000000587</c:v>
                </c:pt>
                <c:pt idx="660">
                  <c:v>47.10660000000059</c:v>
                </c:pt>
                <c:pt idx="661">
                  <c:v>47.106700000000593</c:v>
                </c:pt>
                <c:pt idx="662">
                  <c:v>47.106800000000597</c:v>
                </c:pt>
                <c:pt idx="663">
                  <c:v>47.1069000000006</c:v>
                </c:pt>
                <c:pt idx="664">
                  <c:v>47.107000000000603</c:v>
                </c:pt>
                <c:pt idx="665">
                  <c:v>47.107100000000607</c:v>
                </c:pt>
                <c:pt idx="666">
                  <c:v>47.10720000000061</c:v>
                </c:pt>
                <c:pt idx="667">
                  <c:v>47.107300000000613</c:v>
                </c:pt>
                <c:pt idx="668">
                  <c:v>47.107400000000617</c:v>
                </c:pt>
                <c:pt idx="669">
                  <c:v>47.10750000000062</c:v>
                </c:pt>
                <c:pt idx="670">
                  <c:v>47.107600000000623</c:v>
                </c:pt>
                <c:pt idx="671">
                  <c:v>47.107700000000627</c:v>
                </c:pt>
                <c:pt idx="672">
                  <c:v>47.10780000000063</c:v>
                </c:pt>
                <c:pt idx="673">
                  <c:v>47.107900000000633</c:v>
                </c:pt>
                <c:pt idx="674">
                  <c:v>47.108000000000636</c:v>
                </c:pt>
                <c:pt idx="675">
                  <c:v>47.10810000000064</c:v>
                </c:pt>
                <c:pt idx="676">
                  <c:v>47.108200000000643</c:v>
                </c:pt>
                <c:pt idx="677">
                  <c:v>47.108300000000646</c:v>
                </c:pt>
                <c:pt idx="678">
                  <c:v>47.10840000000065</c:v>
                </c:pt>
                <c:pt idx="679">
                  <c:v>47.108500000000653</c:v>
                </c:pt>
                <c:pt idx="680">
                  <c:v>47.108600000000656</c:v>
                </c:pt>
                <c:pt idx="681">
                  <c:v>47.10870000000066</c:v>
                </c:pt>
                <c:pt idx="682">
                  <c:v>47.108800000000663</c:v>
                </c:pt>
                <c:pt idx="683">
                  <c:v>47.108900000000666</c:v>
                </c:pt>
                <c:pt idx="684">
                  <c:v>47.10900000000067</c:v>
                </c:pt>
                <c:pt idx="685">
                  <c:v>47.109100000000673</c:v>
                </c:pt>
                <c:pt idx="686">
                  <c:v>47.109200000000676</c:v>
                </c:pt>
                <c:pt idx="687">
                  <c:v>47.10930000000068</c:v>
                </c:pt>
                <c:pt idx="688">
                  <c:v>47.109400000000683</c:v>
                </c:pt>
                <c:pt idx="689">
                  <c:v>47.109500000000686</c:v>
                </c:pt>
                <c:pt idx="690">
                  <c:v>47.10960000000069</c:v>
                </c:pt>
                <c:pt idx="691">
                  <c:v>47.109700000000693</c:v>
                </c:pt>
                <c:pt idx="692">
                  <c:v>47.109800000000696</c:v>
                </c:pt>
                <c:pt idx="693">
                  <c:v>47.1099000000007</c:v>
                </c:pt>
                <c:pt idx="694">
                  <c:v>47.110000000000703</c:v>
                </c:pt>
                <c:pt idx="695">
                  <c:v>47.110100000000706</c:v>
                </c:pt>
                <c:pt idx="696">
                  <c:v>47.11020000000071</c:v>
                </c:pt>
                <c:pt idx="697">
                  <c:v>47.110300000000713</c:v>
                </c:pt>
                <c:pt idx="698">
                  <c:v>47.110400000000716</c:v>
                </c:pt>
                <c:pt idx="699">
                  <c:v>47.110500000000719</c:v>
                </c:pt>
                <c:pt idx="700">
                  <c:v>47.110600000000723</c:v>
                </c:pt>
                <c:pt idx="701">
                  <c:v>47.110700000000726</c:v>
                </c:pt>
                <c:pt idx="702">
                  <c:v>47.110800000000729</c:v>
                </c:pt>
                <c:pt idx="703">
                  <c:v>47.110900000000733</c:v>
                </c:pt>
                <c:pt idx="704">
                  <c:v>47.111000000000736</c:v>
                </c:pt>
                <c:pt idx="705">
                  <c:v>47.111100000000739</c:v>
                </c:pt>
                <c:pt idx="706">
                  <c:v>47.111200000000743</c:v>
                </c:pt>
                <c:pt idx="707">
                  <c:v>47.111300000000746</c:v>
                </c:pt>
                <c:pt idx="708">
                  <c:v>47.111400000000749</c:v>
                </c:pt>
                <c:pt idx="709">
                  <c:v>47.111500000000753</c:v>
                </c:pt>
                <c:pt idx="710">
                  <c:v>47.111600000000756</c:v>
                </c:pt>
                <c:pt idx="711">
                  <c:v>47.111700000000759</c:v>
                </c:pt>
                <c:pt idx="712">
                  <c:v>47.111800000000763</c:v>
                </c:pt>
                <c:pt idx="713">
                  <c:v>47.111900000000766</c:v>
                </c:pt>
                <c:pt idx="714">
                  <c:v>47.112000000000769</c:v>
                </c:pt>
                <c:pt idx="715">
                  <c:v>47.112100000000773</c:v>
                </c:pt>
                <c:pt idx="716">
                  <c:v>47.112200000000776</c:v>
                </c:pt>
                <c:pt idx="717">
                  <c:v>47.112300000000779</c:v>
                </c:pt>
                <c:pt idx="718">
                  <c:v>47.112400000000783</c:v>
                </c:pt>
                <c:pt idx="719">
                  <c:v>47.112500000000786</c:v>
                </c:pt>
                <c:pt idx="720">
                  <c:v>47.112600000000789</c:v>
                </c:pt>
                <c:pt idx="721">
                  <c:v>47.112700000000792</c:v>
                </c:pt>
                <c:pt idx="722">
                  <c:v>47.112800000000796</c:v>
                </c:pt>
                <c:pt idx="723">
                  <c:v>47.112900000000799</c:v>
                </c:pt>
                <c:pt idx="724">
                  <c:v>47.113000000000802</c:v>
                </c:pt>
                <c:pt idx="725">
                  <c:v>47.113100000000806</c:v>
                </c:pt>
                <c:pt idx="726">
                  <c:v>47.113200000000809</c:v>
                </c:pt>
                <c:pt idx="727">
                  <c:v>47.113300000000812</c:v>
                </c:pt>
                <c:pt idx="728">
                  <c:v>47.113400000000816</c:v>
                </c:pt>
                <c:pt idx="729">
                  <c:v>47.113500000000819</c:v>
                </c:pt>
                <c:pt idx="730">
                  <c:v>47.113600000000822</c:v>
                </c:pt>
                <c:pt idx="731">
                  <c:v>47.113700000000826</c:v>
                </c:pt>
                <c:pt idx="732">
                  <c:v>47.113800000000829</c:v>
                </c:pt>
                <c:pt idx="733">
                  <c:v>47.113900000000832</c:v>
                </c:pt>
                <c:pt idx="734">
                  <c:v>47.114000000000836</c:v>
                </c:pt>
                <c:pt idx="735">
                  <c:v>47.114100000000839</c:v>
                </c:pt>
                <c:pt idx="736">
                  <c:v>47.114200000000842</c:v>
                </c:pt>
                <c:pt idx="737">
                  <c:v>47.114300000000846</c:v>
                </c:pt>
                <c:pt idx="738">
                  <c:v>47.114400000000849</c:v>
                </c:pt>
                <c:pt idx="739">
                  <c:v>47.114500000000852</c:v>
                </c:pt>
                <c:pt idx="740">
                  <c:v>47.114600000000856</c:v>
                </c:pt>
                <c:pt idx="741">
                  <c:v>47.114700000000859</c:v>
                </c:pt>
                <c:pt idx="742">
                  <c:v>47.114800000000862</c:v>
                </c:pt>
                <c:pt idx="743">
                  <c:v>47.114900000000866</c:v>
                </c:pt>
                <c:pt idx="744">
                  <c:v>47.115000000000869</c:v>
                </c:pt>
                <c:pt idx="745">
                  <c:v>47.115100000000872</c:v>
                </c:pt>
                <c:pt idx="746">
                  <c:v>47.115200000000875</c:v>
                </c:pt>
                <c:pt idx="747">
                  <c:v>47.115300000000879</c:v>
                </c:pt>
                <c:pt idx="748">
                  <c:v>47.115400000000882</c:v>
                </c:pt>
                <c:pt idx="749">
                  <c:v>47.115500000000885</c:v>
                </c:pt>
                <c:pt idx="750">
                  <c:v>47.115600000000889</c:v>
                </c:pt>
                <c:pt idx="751">
                  <c:v>47.115700000000892</c:v>
                </c:pt>
                <c:pt idx="752">
                  <c:v>47.115800000000895</c:v>
                </c:pt>
                <c:pt idx="753">
                  <c:v>47.115900000000899</c:v>
                </c:pt>
                <c:pt idx="754">
                  <c:v>47.116000000000902</c:v>
                </c:pt>
                <c:pt idx="755">
                  <c:v>47.116100000000905</c:v>
                </c:pt>
                <c:pt idx="756">
                  <c:v>47.116200000000909</c:v>
                </c:pt>
                <c:pt idx="757">
                  <c:v>47.116300000000912</c:v>
                </c:pt>
                <c:pt idx="758">
                  <c:v>47.116400000000915</c:v>
                </c:pt>
                <c:pt idx="759">
                  <c:v>47.116500000000919</c:v>
                </c:pt>
                <c:pt idx="760">
                  <c:v>47.116600000000922</c:v>
                </c:pt>
                <c:pt idx="761">
                  <c:v>47.116700000000925</c:v>
                </c:pt>
                <c:pt idx="762">
                  <c:v>47.116800000000929</c:v>
                </c:pt>
                <c:pt idx="763">
                  <c:v>47.116900000000932</c:v>
                </c:pt>
                <c:pt idx="764">
                  <c:v>47.117000000000935</c:v>
                </c:pt>
                <c:pt idx="765">
                  <c:v>47.117100000000939</c:v>
                </c:pt>
                <c:pt idx="766">
                  <c:v>47.117200000000942</c:v>
                </c:pt>
                <c:pt idx="767">
                  <c:v>47.117300000000945</c:v>
                </c:pt>
                <c:pt idx="768">
                  <c:v>47.117400000000949</c:v>
                </c:pt>
                <c:pt idx="769">
                  <c:v>47.117500000000952</c:v>
                </c:pt>
                <c:pt idx="770">
                  <c:v>47.117600000000955</c:v>
                </c:pt>
                <c:pt idx="771">
                  <c:v>47.117700000000958</c:v>
                </c:pt>
                <c:pt idx="772">
                  <c:v>47.117800000000962</c:v>
                </c:pt>
                <c:pt idx="773">
                  <c:v>47.117900000000965</c:v>
                </c:pt>
                <c:pt idx="774">
                  <c:v>47.118000000000968</c:v>
                </c:pt>
                <c:pt idx="775">
                  <c:v>47.118100000000972</c:v>
                </c:pt>
                <c:pt idx="776">
                  <c:v>47.118200000000975</c:v>
                </c:pt>
                <c:pt idx="777">
                  <c:v>47.118300000000978</c:v>
                </c:pt>
                <c:pt idx="778">
                  <c:v>47.118400000000982</c:v>
                </c:pt>
                <c:pt idx="779">
                  <c:v>47.118500000000985</c:v>
                </c:pt>
                <c:pt idx="780">
                  <c:v>47.118600000000988</c:v>
                </c:pt>
                <c:pt idx="781">
                  <c:v>47.118700000000992</c:v>
                </c:pt>
                <c:pt idx="782">
                  <c:v>47.118800000000995</c:v>
                </c:pt>
                <c:pt idx="783">
                  <c:v>47.118900000000998</c:v>
                </c:pt>
                <c:pt idx="784">
                  <c:v>47.119000000001002</c:v>
                </c:pt>
                <c:pt idx="785">
                  <c:v>47.119100000001005</c:v>
                </c:pt>
                <c:pt idx="786">
                  <c:v>47.119200000001008</c:v>
                </c:pt>
                <c:pt idx="787">
                  <c:v>47.119300000001012</c:v>
                </c:pt>
                <c:pt idx="788">
                  <c:v>47.119400000001015</c:v>
                </c:pt>
                <c:pt idx="789">
                  <c:v>47.119500000001018</c:v>
                </c:pt>
                <c:pt idx="790">
                  <c:v>47.119600000001022</c:v>
                </c:pt>
                <c:pt idx="791">
                  <c:v>47.119700000001025</c:v>
                </c:pt>
                <c:pt idx="792">
                  <c:v>47.119800000001028</c:v>
                </c:pt>
                <c:pt idx="793">
                  <c:v>47.119900000001032</c:v>
                </c:pt>
                <c:pt idx="794">
                  <c:v>47.120000000001035</c:v>
                </c:pt>
                <c:pt idx="795">
                  <c:v>47.120100000001038</c:v>
                </c:pt>
                <c:pt idx="796">
                  <c:v>47.120200000001041</c:v>
                </c:pt>
                <c:pt idx="797">
                  <c:v>47.120300000001045</c:v>
                </c:pt>
                <c:pt idx="798">
                  <c:v>47.120400000001048</c:v>
                </c:pt>
                <c:pt idx="799">
                  <c:v>47.120500000001051</c:v>
                </c:pt>
                <c:pt idx="800">
                  <c:v>47.120600000001055</c:v>
                </c:pt>
                <c:pt idx="801">
                  <c:v>47.120700000001058</c:v>
                </c:pt>
                <c:pt idx="802">
                  <c:v>47.120800000001061</c:v>
                </c:pt>
                <c:pt idx="803">
                  <c:v>47.120900000001065</c:v>
                </c:pt>
                <c:pt idx="804">
                  <c:v>47.121000000001068</c:v>
                </c:pt>
                <c:pt idx="805">
                  <c:v>47.121100000001071</c:v>
                </c:pt>
                <c:pt idx="806">
                  <c:v>47.121200000001075</c:v>
                </c:pt>
                <c:pt idx="807">
                  <c:v>47.121300000001078</c:v>
                </c:pt>
                <c:pt idx="808">
                  <c:v>47.121400000001081</c:v>
                </c:pt>
                <c:pt idx="809">
                  <c:v>47.121500000001085</c:v>
                </c:pt>
                <c:pt idx="810">
                  <c:v>47.121600000001088</c:v>
                </c:pt>
                <c:pt idx="811">
                  <c:v>47.121700000001091</c:v>
                </c:pt>
                <c:pt idx="812">
                  <c:v>47.121800000001095</c:v>
                </c:pt>
                <c:pt idx="813">
                  <c:v>47.121900000001098</c:v>
                </c:pt>
                <c:pt idx="814">
                  <c:v>47.122000000001101</c:v>
                </c:pt>
                <c:pt idx="815">
                  <c:v>47.122100000001105</c:v>
                </c:pt>
                <c:pt idx="816">
                  <c:v>47.122200000001108</c:v>
                </c:pt>
                <c:pt idx="817">
                  <c:v>47.122300000001111</c:v>
                </c:pt>
                <c:pt idx="818">
                  <c:v>47.122400000001115</c:v>
                </c:pt>
                <c:pt idx="819">
                  <c:v>47.122500000001118</c:v>
                </c:pt>
                <c:pt idx="820">
                  <c:v>47.122600000001121</c:v>
                </c:pt>
                <c:pt idx="821">
                  <c:v>47.122700000001124</c:v>
                </c:pt>
                <c:pt idx="822">
                  <c:v>47.122800000001128</c:v>
                </c:pt>
                <c:pt idx="823">
                  <c:v>47.122900000001131</c:v>
                </c:pt>
                <c:pt idx="824">
                  <c:v>47.123000000001134</c:v>
                </c:pt>
                <c:pt idx="825">
                  <c:v>47.123100000001138</c:v>
                </c:pt>
                <c:pt idx="826">
                  <c:v>47.123200000001141</c:v>
                </c:pt>
                <c:pt idx="827">
                  <c:v>47.123300000001144</c:v>
                </c:pt>
                <c:pt idx="828">
                  <c:v>47.123400000001148</c:v>
                </c:pt>
                <c:pt idx="829">
                  <c:v>47.123500000001151</c:v>
                </c:pt>
                <c:pt idx="830">
                  <c:v>47.123600000001154</c:v>
                </c:pt>
                <c:pt idx="831">
                  <c:v>47.123700000001158</c:v>
                </c:pt>
                <c:pt idx="832">
                  <c:v>47.123800000001161</c:v>
                </c:pt>
                <c:pt idx="833">
                  <c:v>47.123900000001164</c:v>
                </c:pt>
                <c:pt idx="834">
                  <c:v>47.124000000001168</c:v>
                </c:pt>
                <c:pt idx="835">
                  <c:v>47.124100000001171</c:v>
                </c:pt>
                <c:pt idx="836">
                  <c:v>47.124200000001174</c:v>
                </c:pt>
                <c:pt idx="837">
                  <c:v>47.124300000001178</c:v>
                </c:pt>
                <c:pt idx="838">
                  <c:v>47.124400000001181</c:v>
                </c:pt>
                <c:pt idx="839">
                  <c:v>47.124500000001184</c:v>
                </c:pt>
                <c:pt idx="840">
                  <c:v>47.124600000001188</c:v>
                </c:pt>
                <c:pt idx="841">
                  <c:v>47.124700000001191</c:v>
                </c:pt>
                <c:pt idx="842">
                  <c:v>47.124800000001194</c:v>
                </c:pt>
                <c:pt idx="843">
                  <c:v>47.124900000001197</c:v>
                </c:pt>
                <c:pt idx="844">
                  <c:v>47.125000000001201</c:v>
                </c:pt>
                <c:pt idx="845">
                  <c:v>47.125100000001204</c:v>
                </c:pt>
                <c:pt idx="846">
                  <c:v>47.125200000001207</c:v>
                </c:pt>
                <c:pt idx="847">
                  <c:v>47.125300000001211</c:v>
                </c:pt>
                <c:pt idx="848">
                  <c:v>47.125400000001214</c:v>
                </c:pt>
                <c:pt idx="849">
                  <c:v>47.125500000001217</c:v>
                </c:pt>
                <c:pt idx="850">
                  <c:v>47.125600000001221</c:v>
                </c:pt>
                <c:pt idx="851">
                  <c:v>47.125700000001224</c:v>
                </c:pt>
                <c:pt idx="852">
                  <c:v>47.125800000001227</c:v>
                </c:pt>
                <c:pt idx="853">
                  <c:v>47.125900000001231</c:v>
                </c:pt>
                <c:pt idx="854">
                  <c:v>47.126000000001234</c:v>
                </c:pt>
                <c:pt idx="855">
                  <c:v>47.126100000001237</c:v>
                </c:pt>
                <c:pt idx="856">
                  <c:v>47.126200000001241</c:v>
                </c:pt>
                <c:pt idx="857">
                  <c:v>47.126300000001244</c:v>
                </c:pt>
                <c:pt idx="858">
                  <c:v>47.126400000001247</c:v>
                </c:pt>
                <c:pt idx="859">
                  <c:v>47.126500000001251</c:v>
                </c:pt>
                <c:pt idx="860">
                  <c:v>47.126600000001254</c:v>
                </c:pt>
                <c:pt idx="861">
                  <c:v>47.126700000001257</c:v>
                </c:pt>
                <c:pt idx="862">
                  <c:v>47.126800000001261</c:v>
                </c:pt>
                <c:pt idx="863">
                  <c:v>47.126900000001264</c:v>
                </c:pt>
                <c:pt idx="864">
                  <c:v>47.127000000001267</c:v>
                </c:pt>
                <c:pt idx="865">
                  <c:v>47.127100000001271</c:v>
                </c:pt>
                <c:pt idx="866">
                  <c:v>47.127200000001274</c:v>
                </c:pt>
                <c:pt idx="867">
                  <c:v>47.127300000001277</c:v>
                </c:pt>
                <c:pt idx="868">
                  <c:v>47.12740000000128</c:v>
                </c:pt>
                <c:pt idx="869">
                  <c:v>47.127500000001284</c:v>
                </c:pt>
                <c:pt idx="870">
                  <c:v>47.127600000001287</c:v>
                </c:pt>
                <c:pt idx="871">
                  <c:v>47.12770000000129</c:v>
                </c:pt>
                <c:pt idx="872">
                  <c:v>47.127800000001294</c:v>
                </c:pt>
                <c:pt idx="873">
                  <c:v>47.127900000001297</c:v>
                </c:pt>
                <c:pt idx="874">
                  <c:v>47.1280000000013</c:v>
                </c:pt>
                <c:pt idx="875">
                  <c:v>47.128100000001304</c:v>
                </c:pt>
                <c:pt idx="876">
                  <c:v>47.128200000001307</c:v>
                </c:pt>
                <c:pt idx="877">
                  <c:v>47.12830000000131</c:v>
                </c:pt>
                <c:pt idx="878">
                  <c:v>47.128400000001314</c:v>
                </c:pt>
                <c:pt idx="879">
                  <c:v>47.128500000001317</c:v>
                </c:pt>
                <c:pt idx="880">
                  <c:v>47.12860000000132</c:v>
                </c:pt>
                <c:pt idx="881">
                  <c:v>47.128700000001324</c:v>
                </c:pt>
                <c:pt idx="882">
                  <c:v>47.128800000001327</c:v>
                </c:pt>
                <c:pt idx="883">
                  <c:v>47.12890000000133</c:v>
                </c:pt>
                <c:pt idx="884">
                  <c:v>47.129000000001334</c:v>
                </c:pt>
                <c:pt idx="885">
                  <c:v>47.129100000001337</c:v>
                </c:pt>
                <c:pt idx="886">
                  <c:v>47.12920000000134</c:v>
                </c:pt>
                <c:pt idx="887">
                  <c:v>47.129300000001344</c:v>
                </c:pt>
                <c:pt idx="888">
                  <c:v>47.129400000001347</c:v>
                </c:pt>
                <c:pt idx="889">
                  <c:v>47.12950000000135</c:v>
                </c:pt>
                <c:pt idx="890">
                  <c:v>47.129600000001354</c:v>
                </c:pt>
                <c:pt idx="891">
                  <c:v>47.129700000001357</c:v>
                </c:pt>
                <c:pt idx="892">
                  <c:v>47.12980000000136</c:v>
                </c:pt>
                <c:pt idx="893">
                  <c:v>47.129900000001363</c:v>
                </c:pt>
                <c:pt idx="894">
                  <c:v>47.130000000001367</c:v>
                </c:pt>
                <c:pt idx="895">
                  <c:v>47.13010000000137</c:v>
                </c:pt>
                <c:pt idx="896">
                  <c:v>47.130200000001373</c:v>
                </c:pt>
                <c:pt idx="897">
                  <c:v>47.130300000001377</c:v>
                </c:pt>
                <c:pt idx="898">
                  <c:v>47.13040000000138</c:v>
                </c:pt>
                <c:pt idx="899">
                  <c:v>47.130500000001383</c:v>
                </c:pt>
                <c:pt idx="900">
                  <c:v>47.130600000001387</c:v>
                </c:pt>
                <c:pt idx="901">
                  <c:v>47.13070000000139</c:v>
                </c:pt>
                <c:pt idx="902">
                  <c:v>47.130800000001393</c:v>
                </c:pt>
                <c:pt idx="903">
                  <c:v>47.130900000001397</c:v>
                </c:pt>
                <c:pt idx="904">
                  <c:v>47.1310000000014</c:v>
                </c:pt>
                <c:pt idx="905">
                  <c:v>47.131100000001403</c:v>
                </c:pt>
                <c:pt idx="906">
                  <c:v>47.131200000001407</c:v>
                </c:pt>
                <c:pt idx="907">
                  <c:v>47.13130000000141</c:v>
                </c:pt>
                <c:pt idx="908">
                  <c:v>47.131400000001413</c:v>
                </c:pt>
                <c:pt idx="909">
                  <c:v>47.131500000001417</c:v>
                </c:pt>
                <c:pt idx="910">
                  <c:v>47.13160000000142</c:v>
                </c:pt>
                <c:pt idx="911">
                  <c:v>47.131700000001423</c:v>
                </c:pt>
                <c:pt idx="912">
                  <c:v>47.131800000001427</c:v>
                </c:pt>
                <c:pt idx="913">
                  <c:v>47.13190000000143</c:v>
                </c:pt>
                <c:pt idx="914">
                  <c:v>47.132000000001433</c:v>
                </c:pt>
                <c:pt idx="915">
                  <c:v>47.132100000001437</c:v>
                </c:pt>
                <c:pt idx="916">
                  <c:v>47.13220000000144</c:v>
                </c:pt>
                <c:pt idx="917">
                  <c:v>47.132300000001443</c:v>
                </c:pt>
                <c:pt idx="918">
                  <c:v>47.132400000001446</c:v>
                </c:pt>
                <c:pt idx="919">
                  <c:v>47.13250000000145</c:v>
                </c:pt>
                <c:pt idx="920">
                  <c:v>47.132600000001453</c:v>
                </c:pt>
                <c:pt idx="921">
                  <c:v>47.132700000001456</c:v>
                </c:pt>
                <c:pt idx="922">
                  <c:v>47.13280000000146</c:v>
                </c:pt>
                <c:pt idx="923">
                  <c:v>47.132900000001463</c:v>
                </c:pt>
                <c:pt idx="924">
                  <c:v>47.133000000001466</c:v>
                </c:pt>
                <c:pt idx="925">
                  <c:v>47.13310000000147</c:v>
                </c:pt>
                <c:pt idx="926">
                  <c:v>47.133200000001473</c:v>
                </c:pt>
                <c:pt idx="927">
                  <c:v>47.133300000001476</c:v>
                </c:pt>
                <c:pt idx="928">
                  <c:v>47.13340000000148</c:v>
                </c:pt>
                <c:pt idx="929">
                  <c:v>47.133500000001483</c:v>
                </c:pt>
                <c:pt idx="930">
                  <c:v>47.133600000001486</c:v>
                </c:pt>
                <c:pt idx="931">
                  <c:v>47.13370000000149</c:v>
                </c:pt>
                <c:pt idx="932">
                  <c:v>47.133800000001493</c:v>
                </c:pt>
                <c:pt idx="933">
                  <c:v>47.133900000001496</c:v>
                </c:pt>
                <c:pt idx="934">
                  <c:v>47.1340000000015</c:v>
                </c:pt>
                <c:pt idx="935">
                  <c:v>47.134100000001503</c:v>
                </c:pt>
                <c:pt idx="936">
                  <c:v>47.134200000001506</c:v>
                </c:pt>
                <c:pt idx="937">
                  <c:v>47.13430000000151</c:v>
                </c:pt>
                <c:pt idx="938">
                  <c:v>47.134400000001513</c:v>
                </c:pt>
                <c:pt idx="939">
                  <c:v>47.134500000001516</c:v>
                </c:pt>
                <c:pt idx="940">
                  <c:v>47.13460000000152</c:v>
                </c:pt>
                <c:pt idx="941">
                  <c:v>47.134700000001523</c:v>
                </c:pt>
                <c:pt idx="942">
                  <c:v>47.134800000001526</c:v>
                </c:pt>
                <c:pt idx="943">
                  <c:v>47.134900000001529</c:v>
                </c:pt>
                <c:pt idx="944">
                  <c:v>47.135000000001533</c:v>
                </c:pt>
                <c:pt idx="945">
                  <c:v>47.135100000001536</c:v>
                </c:pt>
                <c:pt idx="946">
                  <c:v>47.135200000001539</c:v>
                </c:pt>
                <c:pt idx="947">
                  <c:v>47.135300000001543</c:v>
                </c:pt>
                <c:pt idx="948">
                  <c:v>47.135400000001546</c:v>
                </c:pt>
                <c:pt idx="949">
                  <c:v>47.135500000001549</c:v>
                </c:pt>
                <c:pt idx="950">
                  <c:v>47.135600000001553</c:v>
                </c:pt>
                <c:pt idx="951">
                  <c:v>47.135700000001556</c:v>
                </c:pt>
                <c:pt idx="952">
                  <c:v>47.135800000001559</c:v>
                </c:pt>
                <c:pt idx="953">
                  <c:v>47.135900000001563</c:v>
                </c:pt>
                <c:pt idx="954">
                  <c:v>47.136000000001566</c:v>
                </c:pt>
                <c:pt idx="955">
                  <c:v>47.136100000001569</c:v>
                </c:pt>
                <c:pt idx="956">
                  <c:v>47.136200000001573</c:v>
                </c:pt>
                <c:pt idx="957">
                  <c:v>47.136300000001576</c:v>
                </c:pt>
                <c:pt idx="958">
                  <c:v>47.136400000001579</c:v>
                </c:pt>
                <c:pt idx="959">
                  <c:v>47.136500000001583</c:v>
                </c:pt>
                <c:pt idx="960">
                  <c:v>47.136600000001586</c:v>
                </c:pt>
                <c:pt idx="961">
                  <c:v>47.136700000001589</c:v>
                </c:pt>
                <c:pt idx="962">
                  <c:v>47.136800000001593</c:v>
                </c:pt>
                <c:pt idx="963">
                  <c:v>47.136900000001596</c:v>
                </c:pt>
                <c:pt idx="964">
                  <c:v>47.137000000001599</c:v>
                </c:pt>
                <c:pt idx="965">
                  <c:v>47.137100000001602</c:v>
                </c:pt>
                <c:pt idx="966">
                  <c:v>47.137200000001606</c:v>
                </c:pt>
                <c:pt idx="967">
                  <c:v>47.137300000001609</c:v>
                </c:pt>
                <c:pt idx="968">
                  <c:v>47.137400000001612</c:v>
                </c:pt>
                <c:pt idx="969">
                  <c:v>47.137500000001616</c:v>
                </c:pt>
                <c:pt idx="970">
                  <c:v>47.137600000001619</c:v>
                </c:pt>
                <c:pt idx="971">
                  <c:v>47.137700000001622</c:v>
                </c:pt>
                <c:pt idx="972">
                  <c:v>47.137800000001626</c:v>
                </c:pt>
                <c:pt idx="973">
                  <c:v>47.137900000001629</c:v>
                </c:pt>
                <c:pt idx="974">
                  <c:v>47.138000000001632</c:v>
                </c:pt>
                <c:pt idx="975">
                  <c:v>47.138100000001636</c:v>
                </c:pt>
                <c:pt idx="976">
                  <c:v>47.138200000001639</c:v>
                </c:pt>
                <c:pt idx="977">
                  <c:v>47.138300000001642</c:v>
                </c:pt>
                <c:pt idx="978">
                  <c:v>47.138400000001646</c:v>
                </c:pt>
                <c:pt idx="979">
                  <c:v>47.138500000001649</c:v>
                </c:pt>
                <c:pt idx="980">
                  <c:v>47.138600000001652</c:v>
                </c:pt>
                <c:pt idx="981">
                  <c:v>47.138700000001656</c:v>
                </c:pt>
                <c:pt idx="982">
                  <c:v>47.138800000001659</c:v>
                </c:pt>
                <c:pt idx="983">
                  <c:v>47.138900000001662</c:v>
                </c:pt>
                <c:pt idx="984">
                  <c:v>47.139000000001666</c:v>
                </c:pt>
                <c:pt idx="985">
                  <c:v>47.139100000001669</c:v>
                </c:pt>
                <c:pt idx="986">
                  <c:v>47.139200000001672</c:v>
                </c:pt>
                <c:pt idx="987">
                  <c:v>47.139300000001676</c:v>
                </c:pt>
                <c:pt idx="988">
                  <c:v>47.139400000001679</c:v>
                </c:pt>
                <c:pt idx="989">
                  <c:v>47.139500000001682</c:v>
                </c:pt>
                <c:pt idx="990">
                  <c:v>47.139600000001685</c:v>
                </c:pt>
                <c:pt idx="991">
                  <c:v>47.139700000001689</c:v>
                </c:pt>
                <c:pt idx="992">
                  <c:v>47.139800000001692</c:v>
                </c:pt>
                <c:pt idx="993">
                  <c:v>47.139900000001695</c:v>
                </c:pt>
                <c:pt idx="994">
                  <c:v>47.140000000001699</c:v>
                </c:pt>
                <c:pt idx="995">
                  <c:v>47.140100000001702</c:v>
                </c:pt>
                <c:pt idx="996">
                  <c:v>47.140200000001705</c:v>
                </c:pt>
                <c:pt idx="997">
                  <c:v>47.140300000001709</c:v>
                </c:pt>
                <c:pt idx="998">
                  <c:v>47.140400000001712</c:v>
                </c:pt>
                <c:pt idx="999">
                  <c:v>47.140500000001715</c:v>
                </c:pt>
                <c:pt idx="1000">
                  <c:v>47.140600000001719</c:v>
                </c:pt>
              </c:numCache>
            </c:numRef>
          </c:xVal>
          <c:yVal>
            <c:numRef>
              <c:f>Calculs!$Q$4:$Q$1004</c:f>
              <c:numCache>
                <c:formatCode>0.00</c:formatCode>
                <c:ptCount val="1001"/>
                <c:pt idx="0">
                  <c:v>0</c:v>
                </c:pt>
                <c:pt idx="1">
                  <c:v>62.499999999998664</c:v>
                </c:pt>
                <c:pt idx="2">
                  <c:v>187.49999999999599</c:v>
                </c:pt>
                <c:pt idx="3">
                  <c:v>240.00000000000108</c:v>
                </c:pt>
                <c:pt idx="4">
                  <c:v>220.00000000000148</c:v>
                </c:pt>
                <c:pt idx="5">
                  <c:v>209.56896551724145</c:v>
                </c:pt>
                <c:pt idx="6">
                  <c:v>208.70689655172424</c:v>
                </c:pt>
                <c:pt idx="7">
                  <c:v>207.844827586207</c:v>
                </c:pt>
                <c:pt idx="8">
                  <c:v>206.98275862068979</c:v>
                </c:pt>
                <c:pt idx="9">
                  <c:v>206.12068965517258</c:v>
                </c:pt>
                <c:pt idx="10">
                  <c:v>205.25862068965534</c:v>
                </c:pt>
                <c:pt idx="11">
                  <c:v>204.39655172413813</c:v>
                </c:pt>
                <c:pt idx="12">
                  <c:v>203.5344827586209</c:v>
                </c:pt>
                <c:pt idx="13">
                  <c:v>202.67241379310369</c:v>
                </c:pt>
                <c:pt idx="14">
                  <c:v>201.81034482758645</c:v>
                </c:pt>
                <c:pt idx="15">
                  <c:v>200.94827586206924</c:v>
                </c:pt>
                <c:pt idx="16">
                  <c:v>200.086206896552</c:v>
                </c:pt>
                <c:pt idx="17">
                  <c:v>199.22413793103479</c:v>
                </c:pt>
                <c:pt idx="18">
                  <c:v>198.36206896551755</c:v>
                </c:pt>
                <c:pt idx="19">
                  <c:v>197.50000000000034</c:v>
                </c:pt>
                <c:pt idx="20">
                  <c:v>196.63793103448313</c:v>
                </c:pt>
                <c:pt idx="21">
                  <c:v>195.77586206896589</c:v>
                </c:pt>
                <c:pt idx="22">
                  <c:v>194.91379310344868</c:v>
                </c:pt>
                <c:pt idx="23">
                  <c:v>194.05172413793144</c:v>
                </c:pt>
                <c:pt idx="24">
                  <c:v>193.18965517241423</c:v>
                </c:pt>
                <c:pt idx="25">
                  <c:v>192.327586206897</c:v>
                </c:pt>
                <c:pt idx="26">
                  <c:v>191.46551724137979</c:v>
                </c:pt>
                <c:pt idx="27">
                  <c:v>190.60344827586255</c:v>
                </c:pt>
                <c:pt idx="28">
                  <c:v>189.74137931034534</c:v>
                </c:pt>
                <c:pt idx="29">
                  <c:v>188.8793103448281</c:v>
                </c:pt>
                <c:pt idx="30">
                  <c:v>188.01724137931089</c:v>
                </c:pt>
                <c:pt idx="31">
                  <c:v>187.15517241379365</c:v>
                </c:pt>
                <c:pt idx="32">
                  <c:v>186.29310344827644</c:v>
                </c:pt>
                <c:pt idx="33">
                  <c:v>185.43103448275923</c:v>
                </c:pt>
                <c:pt idx="34">
                  <c:v>184.56896551724199</c:v>
                </c:pt>
                <c:pt idx="35">
                  <c:v>183.70689655172475</c:v>
                </c:pt>
                <c:pt idx="36">
                  <c:v>182.84482758620754</c:v>
                </c:pt>
                <c:pt idx="37">
                  <c:v>181.98275862069033</c:v>
                </c:pt>
                <c:pt idx="38">
                  <c:v>181.12068965517309</c:v>
                </c:pt>
                <c:pt idx="39">
                  <c:v>180.25862068965588</c:v>
                </c:pt>
                <c:pt idx="40">
                  <c:v>179.39655172413865</c:v>
                </c:pt>
                <c:pt idx="41">
                  <c:v>178.53448275862144</c:v>
                </c:pt>
                <c:pt idx="42">
                  <c:v>177.6724137931042</c:v>
                </c:pt>
                <c:pt idx="43">
                  <c:v>176.81034482758699</c:v>
                </c:pt>
                <c:pt idx="44">
                  <c:v>175.94827586206975</c:v>
                </c:pt>
                <c:pt idx="45">
                  <c:v>175.08620689655254</c:v>
                </c:pt>
                <c:pt idx="46">
                  <c:v>174.22413793103533</c:v>
                </c:pt>
                <c:pt idx="47">
                  <c:v>173.36206896551809</c:v>
                </c:pt>
                <c:pt idx="48">
                  <c:v>172.50000000000085</c:v>
                </c:pt>
                <c:pt idx="49">
                  <c:v>171.63793103448364</c:v>
                </c:pt>
                <c:pt idx="50">
                  <c:v>170.77586206896643</c:v>
                </c:pt>
                <c:pt idx="51">
                  <c:v>169.91379310344919</c:v>
                </c:pt>
                <c:pt idx="52">
                  <c:v>169.05172413793198</c:v>
                </c:pt>
                <c:pt idx="53">
                  <c:v>168.18965517241475</c:v>
                </c:pt>
                <c:pt idx="54">
                  <c:v>167.32758620689754</c:v>
                </c:pt>
                <c:pt idx="55">
                  <c:v>166.46551724138033</c:v>
                </c:pt>
                <c:pt idx="56">
                  <c:v>165.60344827586309</c:v>
                </c:pt>
                <c:pt idx="57">
                  <c:v>164.74137931034588</c:v>
                </c:pt>
                <c:pt idx="58">
                  <c:v>163.87931034482864</c:v>
                </c:pt>
                <c:pt idx="59">
                  <c:v>163.01724137931143</c:v>
                </c:pt>
                <c:pt idx="60">
                  <c:v>162.15517241379419</c:v>
                </c:pt>
                <c:pt idx="61">
                  <c:v>161.29310344827698</c:v>
                </c:pt>
                <c:pt idx="62">
                  <c:v>160.43103448275974</c:v>
                </c:pt>
                <c:pt idx="63">
                  <c:v>158.75000000000333</c:v>
                </c:pt>
                <c:pt idx="64">
                  <c:v>156.25000000000338</c:v>
                </c:pt>
                <c:pt idx="65">
                  <c:v>153.75000000000344</c:v>
                </c:pt>
                <c:pt idx="66">
                  <c:v>151.2500000000035</c:v>
                </c:pt>
                <c:pt idx="67">
                  <c:v>148.00000000000568</c:v>
                </c:pt>
                <c:pt idx="68">
                  <c:v>144.00000000000577</c:v>
                </c:pt>
                <c:pt idx="69">
                  <c:v>138.66666666667643</c:v>
                </c:pt>
                <c:pt idx="70">
                  <c:v>132.00000000000992</c:v>
                </c:pt>
                <c:pt idx="71">
                  <c:v>125.33333333334338</c:v>
                </c:pt>
                <c:pt idx="72">
                  <c:v>118.66666666667686</c:v>
                </c:pt>
                <c:pt idx="73">
                  <c:v>112.00000000001033</c:v>
                </c:pt>
                <c:pt idx="74">
                  <c:v>105.3333333333438</c:v>
                </c:pt>
                <c:pt idx="75">
                  <c:v>98.666666666677287</c:v>
                </c:pt>
                <c:pt idx="76">
                  <c:v>92.000000000010758</c:v>
                </c:pt>
                <c:pt idx="77">
                  <c:v>85.333333333344228</c:v>
                </c:pt>
                <c:pt idx="78">
                  <c:v>78.666666666677713</c:v>
                </c:pt>
                <c:pt idx="79">
                  <c:v>72.000000000011184</c:v>
                </c:pt>
                <c:pt idx="80">
                  <c:v>65.333333333344655</c:v>
                </c:pt>
                <c:pt idx="81">
                  <c:v>60.250000000006018</c:v>
                </c:pt>
                <c:pt idx="82">
                  <c:v>56.750000000006082</c:v>
                </c:pt>
                <c:pt idx="83">
                  <c:v>53.250000000006153</c:v>
                </c:pt>
                <c:pt idx="84">
                  <c:v>49.750000000006224</c:v>
                </c:pt>
                <c:pt idx="85">
                  <c:v>46.250000000006295</c:v>
                </c:pt>
                <c:pt idx="86">
                  <c:v>42.750000000006374</c:v>
                </c:pt>
                <c:pt idx="87">
                  <c:v>39.250000000006452</c:v>
                </c:pt>
                <c:pt idx="88">
                  <c:v>35.750000000006523</c:v>
                </c:pt>
                <c:pt idx="89">
                  <c:v>32.750000000004718</c:v>
                </c:pt>
                <c:pt idx="90">
                  <c:v>30.250000000004775</c:v>
                </c:pt>
                <c:pt idx="91">
                  <c:v>27.750000000004832</c:v>
                </c:pt>
                <c:pt idx="92">
                  <c:v>25.250000000004885</c:v>
                </c:pt>
                <c:pt idx="93">
                  <c:v>22.875000000004444</c:v>
                </c:pt>
                <c:pt idx="94">
                  <c:v>20.625000000004487</c:v>
                </c:pt>
                <c:pt idx="95">
                  <c:v>18.37500000000453</c:v>
                </c:pt>
                <c:pt idx="96">
                  <c:v>16.125000000004576</c:v>
                </c:pt>
                <c:pt idx="97">
                  <c:v>14.375000000002567</c:v>
                </c:pt>
                <c:pt idx="98">
                  <c:v>13.125000000002595</c:v>
                </c:pt>
                <c:pt idx="99">
                  <c:v>11.875000000002622</c:v>
                </c:pt>
                <c:pt idx="100">
                  <c:v>10.62500000000265</c:v>
                </c:pt>
                <c:pt idx="101">
                  <c:v>9.3750000000026787</c:v>
                </c:pt>
                <c:pt idx="102">
                  <c:v>8.1250000000027072</c:v>
                </c:pt>
                <c:pt idx="103">
                  <c:v>6.8750000000027338</c:v>
                </c:pt>
                <c:pt idx="104">
                  <c:v>5.6250000000027613</c:v>
                </c:pt>
                <c:pt idx="105">
                  <c:v>4.3750000000027898</c:v>
                </c:pt>
                <c:pt idx="106">
                  <c:v>3.1250000000028173</c:v>
                </c:pt>
                <c:pt idx="107">
                  <c:v>1.8750000000028457</c:v>
                </c:pt>
                <c:pt idx="108">
                  <c:v>0.62500000000287237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4-48D6-934B-5D8E0316888E}"/>
            </c:ext>
          </c:extLst>
        </c:ser>
        <c:ser>
          <c:idx val="2"/>
          <c:order val="1"/>
          <c:tx>
            <c:strRef>
              <c:f>Courbes!$B$135</c:f>
              <c:strCache>
                <c:ptCount val="1"/>
                <c:pt idx="0">
                  <c:v>Poids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5.7</c:v>
                </c:pt>
                <c:pt idx="1">
                  <c:v>5.71</c:v>
                </c:pt>
                <c:pt idx="2">
                  <c:v>5.72</c:v>
                </c:pt>
                <c:pt idx="3">
                  <c:v>5.7299999999999995</c:v>
                </c:pt>
                <c:pt idx="4">
                  <c:v>5.7399999999999993</c:v>
                </c:pt>
                <c:pt idx="5">
                  <c:v>5.7499999999999991</c:v>
                </c:pt>
                <c:pt idx="6">
                  <c:v>5.7599999999999989</c:v>
                </c:pt>
                <c:pt idx="7">
                  <c:v>5.7699999999999987</c:v>
                </c:pt>
                <c:pt idx="8">
                  <c:v>5.7799999999999985</c:v>
                </c:pt>
                <c:pt idx="9">
                  <c:v>5.7899999999999983</c:v>
                </c:pt>
                <c:pt idx="10">
                  <c:v>5.799999999999998</c:v>
                </c:pt>
                <c:pt idx="11">
                  <c:v>5.8099999999999978</c:v>
                </c:pt>
                <c:pt idx="12">
                  <c:v>5.8199999999999976</c:v>
                </c:pt>
                <c:pt idx="13">
                  <c:v>5.8299999999999974</c:v>
                </c:pt>
                <c:pt idx="14">
                  <c:v>5.8399999999999972</c:v>
                </c:pt>
                <c:pt idx="15">
                  <c:v>5.849999999999997</c:v>
                </c:pt>
                <c:pt idx="16">
                  <c:v>5.8599999999999968</c:v>
                </c:pt>
                <c:pt idx="17">
                  <c:v>5.8699999999999966</c:v>
                </c:pt>
                <c:pt idx="18">
                  <c:v>5.8799999999999963</c:v>
                </c:pt>
                <c:pt idx="19">
                  <c:v>5.8899999999999961</c:v>
                </c:pt>
                <c:pt idx="20">
                  <c:v>5.8999999999999959</c:v>
                </c:pt>
                <c:pt idx="21">
                  <c:v>5.9099999999999957</c:v>
                </c:pt>
                <c:pt idx="22">
                  <c:v>5.9199999999999955</c:v>
                </c:pt>
                <c:pt idx="23">
                  <c:v>5.9299999999999953</c:v>
                </c:pt>
                <c:pt idx="24">
                  <c:v>5.9399999999999951</c:v>
                </c:pt>
                <c:pt idx="25">
                  <c:v>5.9499999999999948</c:v>
                </c:pt>
                <c:pt idx="26">
                  <c:v>5.9599999999999946</c:v>
                </c:pt>
                <c:pt idx="27">
                  <c:v>5.9699999999999944</c:v>
                </c:pt>
                <c:pt idx="28">
                  <c:v>5.9799999999999942</c:v>
                </c:pt>
                <c:pt idx="29">
                  <c:v>5.989999999999994</c:v>
                </c:pt>
                <c:pt idx="30">
                  <c:v>5.9999999999999938</c:v>
                </c:pt>
                <c:pt idx="31">
                  <c:v>6.0099999999999936</c:v>
                </c:pt>
                <c:pt idx="32">
                  <c:v>6.0199999999999934</c:v>
                </c:pt>
                <c:pt idx="33">
                  <c:v>6.0299999999999931</c:v>
                </c:pt>
                <c:pt idx="34">
                  <c:v>6.0399999999999929</c:v>
                </c:pt>
                <c:pt idx="35">
                  <c:v>6.0499999999999927</c:v>
                </c:pt>
                <c:pt idx="36">
                  <c:v>6.0599999999999925</c:v>
                </c:pt>
                <c:pt idx="37">
                  <c:v>6.0699999999999923</c:v>
                </c:pt>
                <c:pt idx="38">
                  <c:v>6.0799999999999921</c:v>
                </c:pt>
                <c:pt idx="39">
                  <c:v>6.0899999999999919</c:v>
                </c:pt>
                <c:pt idx="40">
                  <c:v>6.0999999999999917</c:v>
                </c:pt>
                <c:pt idx="41">
                  <c:v>6.1099999999999914</c:v>
                </c:pt>
                <c:pt idx="42">
                  <c:v>6.1199999999999912</c:v>
                </c:pt>
                <c:pt idx="43">
                  <c:v>6.129999999999991</c:v>
                </c:pt>
                <c:pt idx="44">
                  <c:v>6.1399999999999908</c:v>
                </c:pt>
                <c:pt idx="45">
                  <c:v>6.1499999999999906</c:v>
                </c:pt>
                <c:pt idx="46">
                  <c:v>6.1599999999999904</c:v>
                </c:pt>
                <c:pt idx="47">
                  <c:v>6.1699999999999902</c:v>
                </c:pt>
                <c:pt idx="48">
                  <c:v>6.1799999999999899</c:v>
                </c:pt>
                <c:pt idx="49">
                  <c:v>6.1899999999999897</c:v>
                </c:pt>
                <c:pt idx="50">
                  <c:v>6.1999999999999895</c:v>
                </c:pt>
                <c:pt idx="51">
                  <c:v>6.2099999999999893</c:v>
                </c:pt>
                <c:pt idx="52">
                  <c:v>6.2199999999999891</c:v>
                </c:pt>
                <c:pt idx="53">
                  <c:v>6.2299999999999889</c:v>
                </c:pt>
                <c:pt idx="54">
                  <c:v>6.2399999999999887</c:v>
                </c:pt>
                <c:pt idx="55">
                  <c:v>6.2499999999999885</c:v>
                </c:pt>
                <c:pt idx="56">
                  <c:v>6.2599999999999882</c:v>
                </c:pt>
                <c:pt idx="57">
                  <c:v>6.269999999999988</c:v>
                </c:pt>
                <c:pt idx="58">
                  <c:v>6.2799999999999878</c:v>
                </c:pt>
                <c:pt idx="59">
                  <c:v>6.2899999999999876</c:v>
                </c:pt>
                <c:pt idx="60">
                  <c:v>6.2999999999999874</c:v>
                </c:pt>
                <c:pt idx="61">
                  <c:v>6.3099999999999872</c:v>
                </c:pt>
                <c:pt idx="62">
                  <c:v>6.319999999999987</c:v>
                </c:pt>
                <c:pt idx="63">
                  <c:v>6.3299999999999867</c:v>
                </c:pt>
                <c:pt idx="64">
                  <c:v>6.3399999999999865</c:v>
                </c:pt>
                <c:pt idx="65">
                  <c:v>6.3499999999999863</c:v>
                </c:pt>
                <c:pt idx="66">
                  <c:v>6.3599999999999861</c:v>
                </c:pt>
                <c:pt idx="67">
                  <c:v>6.3699999999999859</c:v>
                </c:pt>
                <c:pt idx="68">
                  <c:v>6.3799999999999857</c:v>
                </c:pt>
                <c:pt idx="69">
                  <c:v>6.3899999999999855</c:v>
                </c:pt>
                <c:pt idx="70">
                  <c:v>6.3999999999999853</c:v>
                </c:pt>
                <c:pt idx="71">
                  <c:v>6.409999999999985</c:v>
                </c:pt>
                <c:pt idx="72">
                  <c:v>6.4199999999999848</c:v>
                </c:pt>
                <c:pt idx="73">
                  <c:v>6.4299999999999846</c:v>
                </c:pt>
                <c:pt idx="74">
                  <c:v>6.4399999999999844</c:v>
                </c:pt>
                <c:pt idx="75">
                  <c:v>6.4499999999999842</c:v>
                </c:pt>
                <c:pt idx="76">
                  <c:v>6.459999999999984</c:v>
                </c:pt>
                <c:pt idx="77">
                  <c:v>6.4699999999999838</c:v>
                </c:pt>
                <c:pt idx="78">
                  <c:v>6.4799999999999836</c:v>
                </c:pt>
                <c:pt idx="79">
                  <c:v>6.4899999999999833</c:v>
                </c:pt>
                <c:pt idx="80">
                  <c:v>6.4999999999999831</c:v>
                </c:pt>
                <c:pt idx="81">
                  <c:v>6.5099999999999829</c:v>
                </c:pt>
                <c:pt idx="82">
                  <c:v>6.5199999999999827</c:v>
                </c:pt>
                <c:pt idx="83">
                  <c:v>6.5299999999999825</c:v>
                </c:pt>
                <c:pt idx="84">
                  <c:v>6.5399999999999823</c:v>
                </c:pt>
                <c:pt idx="85">
                  <c:v>6.5499999999999821</c:v>
                </c:pt>
                <c:pt idx="86">
                  <c:v>6.5599999999999818</c:v>
                </c:pt>
                <c:pt idx="87">
                  <c:v>6.5699999999999816</c:v>
                </c:pt>
                <c:pt idx="88">
                  <c:v>6.5799999999999814</c:v>
                </c:pt>
                <c:pt idx="89">
                  <c:v>6.5899999999999812</c:v>
                </c:pt>
                <c:pt idx="90">
                  <c:v>6.599999999999981</c:v>
                </c:pt>
                <c:pt idx="91">
                  <c:v>6.6099999999999808</c:v>
                </c:pt>
                <c:pt idx="92">
                  <c:v>6.6199999999999806</c:v>
                </c:pt>
                <c:pt idx="93">
                  <c:v>6.6299999999999804</c:v>
                </c:pt>
                <c:pt idx="94">
                  <c:v>6.6399999999999801</c:v>
                </c:pt>
                <c:pt idx="95">
                  <c:v>6.6499999999999799</c:v>
                </c:pt>
                <c:pt idx="96">
                  <c:v>6.6599999999999797</c:v>
                </c:pt>
                <c:pt idx="97">
                  <c:v>6.6699999999999795</c:v>
                </c:pt>
                <c:pt idx="98">
                  <c:v>6.6799999999999793</c:v>
                </c:pt>
                <c:pt idx="99">
                  <c:v>6.6899999999999791</c:v>
                </c:pt>
                <c:pt idx="100">
                  <c:v>6.6999999999999789</c:v>
                </c:pt>
                <c:pt idx="101">
                  <c:v>6.7099999999999786</c:v>
                </c:pt>
                <c:pt idx="102">
                  <c:v>6.7199999999999784</c:v>
                </c:pt>
                <c:pt idx="103">
                  <c:v>6.7299999999999782</c:v>
                </c:pt>
                <c:pt idx="104">
                  <c:v>6.739999999999978</c:v>
                </c:pt>
                <c:pt idx="105">
                  <c:v>6.7499999999999778</c:v>
                </c:pt>
                <c:pt idx="106">
                  <c:v>6.7599999999999776</c:v>
                </c:pt>
                <c:pt idx="107">
                  <c:v>6.7699999999999774</c:v>
                </c:pt>
                <c:pt idx="108">
                  <c:v>6.7799999999999772</c:v>
                </c:pt>
                <c:pt idx="109">
                  <c:v>6.7899999999999769</c:v>
                </c:pt>
                <c:pt idx="110">
                  <c:v>6.7999999999999767</c:v>
                </c:pt>
                <c:pt idx="111">
                  <c:v>6.8099999999999765</c:v>
                </c:pt>
                <c:pt idx="112">
                  <c:v>6.8199999999999763</c:v>
                </c:pt>
                <c:pt idx="113">
                  <c:v>6.8299999999999761</c:v>
                </c:pt>
                <c:pt idx="114">
                  <c:v>6.8399999999999759</c:v>
                </c:pt>
                <c:pt idx="115">
                  <c:v>6.8499999999999757</c:v>
                </c:pt>
                <c:pt idx="116">
                  <c:v>6.8599999999999755</c:v>
                </c:pt>
                <c:pt idx="117">
                  <c:v>6.8699999999999752</c:v>
                </c:pt>
                <c:pt idx="118">
                  <c:v>6.879999999999975</c:v>
                </c:pt>
                <c:pt idx="119">
                  <c:v>6.8899999999999748</c:v>
                </c:pt>
                <c:pt idx="120">
                  <c:v>6.8999999999999746</c:v>
                </c:pt>
                <c:pt idx="121">
                  <c:v>6.9099999999999744</c:v>
                </c:pt>
                <c:pt idx="122">
                  <c:v>6.9199999999999742</c:v>
                </c:pt>
                <c:pt idx="123">
                  <c:v>6.929999999999974</c:v>
                </c:pt>
                <c:pt idx="124">
                  <c:v>6.9399999999999737</c:v>
                </c:pt>
                <c:pt idx="125">
                  <c:v>6.9499999999999735</c:v>
                </c:pt>
                <c:pt idx="126">
                  <c:v>6.9599999999999733</c:v>
                </c:pt>
                <c:pt idx="127">
                  <c:v>6.9699999999999731</c:v>
                </c:pt>
                <c:pt idx="128">
                  <c:v>6.9799999999999729</c:v>
                </c:pt>
                <c:pt idx="129">
                  <c:v>6.9899999999999727</c:v>
                </c:pt>
                <c:pt idx="130">
                  <c:v>6.9999999999999725</c:v>
                </c:pt>
                <c:pt idx="131">
                  <c:v>7.0099999999999723</c:v>
                </c:pt>
                <c:pt idx="132">
                  <c:v>7.019999999999972</c:v>
                </c:pt>
                <c:pt idx="133">
                  <c:v>7.0299999999999718</c:v>
                </c:pt>
                <c:pt idx="134">
                  <c:v>7.0399999999999716</c:v>
                </c:pt>
                <c:pt idx="135">
                  <c:v>7.0499999999999714</c:v>
                </c:pt>
                <c:pt idx="136">
                  <c:v>7.0599999999999712</c:v>
                </c:pt>
                <c:pt idx="137">
                  <c:v>7.069999999999971</c:v>
                </c:pt>
                <c:pt idx="138">
                  <c:v>7.0799999999999708</c:v>
                </c:pt>
                <c:pt idx="139">
                  <c:v>7.0899999999999705</c:v>
                </c:pt>
                <c:pt idx="140">
                  <c:v>7.0999999999999703</c:v>
                </c:pt>
                <c:pt idx="141">
                  <c:v>7.1099999999999701</c:v>
                </c:pt>
                <c:pt idx="142">
                  <c:v>7.1199999999999699</c:v>
                </c:pt>
                <c:pt idx="143">
                  <c:v>7.1299999999999697</c:v>
                </c:pt>
                <c:pt idx="144">
                  <c:v>7.1399999999999695</c:v>
                </c:pt>
                <c:pt idx="145">
                  <c:v>7.1499999999999693</c:v>
                </c:pt>
                <c:pt idx="146">
                  <c:v>7.1599999999999691</c:v>
                </c:pt>
                <c:pt idx="147">
                  <c:v>7.1699999999999688</c:v>
                </c:pt>
                <c:pt idx="148">
                  <c:v>7.1799999999999686</c:v>
                </c:pt>
                <c:pt idx="149">
                  <c:v>7.1899999999999684</c:v>
                </c:pt>
                <c:pt idx="150">
                  <c:v>7.1999999999999682</c:v>
                </c:pt>
                <c:pt idx="151">
                  <c:v>7.209999999999968</c:v>
                </c:pt>
                <c:pt idx="152">
                  <c:v>7.2199999999999678</c:v>
                </c:pt>
                <c:pt idx="153">
                  <c:v>7.2299999999999676</c:v>
                </c:pt>
                <c:pt idx="154">
                  <c:v>7.2399999999999674</c:v>
                </c:pt>
                <c:pt idx="155">
                  <c:v>7.2499999999999671</c:v>
                </c:pt>
                <c:pt idx="156">
                  <c:v>7.2599999999999669</c:v>
                </c:pt>
                <c:pt idx="157">
                  <c:v>7.2699999999999667</c:v>
                </c:pt>
                <c:pt idx="158">
                  <c:v>7.2799999999999665</c:v>
                </c:pt>
                <c:pt idx="159">
                  <c:v>7.2899999999999663</c:v>
                </c:pt>
                <c:pt idx="160">
                  <c:v>7.2999999999999661</c:v>
                </c:pt>
                <c:pt idx="161">
                  <c:v>7.3099999999999659</c:v>
                </c:pt>
                <c:pt idx="162">
                  <c:v>7.3199999999999656</c:v>
                </c:pt>
                <c:pt idx="163">
                  <c:v>7.3299999999999654</c:v>
                </c:pt>
                <c:pt idx="164">
                  <c:v>7.3399999999999652</c:v>
                </c:pt>
                <c:pt idx="165">
                  <c:v>7.349999999999965</c:v>
                </c:pt>
                <c:pt idx="166">
                  <c:v>7.3599999999999648</c:v>
                </c:pt>
                <c:pt idx="167">
                  <c:v>7.3699999999999646</c:v>
                </c:pt>
                <c:pt idx="168">
                  <c:v>7.3799999999999644</c:v>
                </c:pt>
                <c:pt idx="169">
                  <c:v>7.3899999999999642</c:v>
                </c:pt>
                <c:pt idx="170">
                  <c:v>7.3999999999999639</c:v>
                </c:pt>
                <c:pt idx="171">
                  <c:v>7.4099999999999637</c:v>
                </c:pt>
                <c:pt idx="172">
                  <c:v>7.4199999999999635</c:v>
                </c:pt>
                <c:pt idx="173">
                  <c:v>7.4299999999999633</c:v>
                </c:pt>
                <c:pt idx="174">
                  <c:v>7.4399999999999631</c:v>
                </c:pt>
                <c:pt idx="175">
                  <c:v>7.4499999999999629</c:v>
                </c:pt>
                <c:pt idx="176">
                  <c:v>7.4599999999999627</c:v>
                </c:pt>
                <c:pt idx="177">
                  <c:v>7.4699999999999624</c:v>
                </c:pt>
                <c:pt idx="178">
                  <c:v>7.4799999999999622</c:v>
                </c:pt>
                <c:pt idx="179">
                  <c:v>7.489999999999962</c:v>
                </c:pt>
                <c:pt idx="180">
                  <c:v>7.4999999999999618</c:v>
                </c:pt>
                <c:pt idx="181">
                  <c:v>7.5099999999999616</c:v>
                </c:pt>
                <c:pt idx="182">
                  <c:v>7.5199999999999614</c:v>
                </c:pt>
                <c:pt idx="183">
                  <c:v>7.5299999999999612</c:v>
                </c:pt>
                <c:pt idx="184">
                  <c:v>7.539999999999961</c:v>
                </c:pt>
                <c:pt idx="185">
                  <c:v>7.5499999999999607</c:v>
                </c:pt>
                <c:pt idx="186">
                  <c:v>7.5599999999999605</c:v>
                </c:pt>
                <c:pt idx="187">
                  <c:v>7.5699999999999603</c:v>
                </c:pt>
                <c:pt idx="188">
                  <c:v>7.5799999999999601</c:v>
                </c:pt>
                <c:pt idx="189">
                  <c:v>7.5899999999999599</c:v>
                </c:pt>
                <c:pt idx="190">
                  <c:v>7.5999999999999597</c:v>
                </c:pt>
                <c:pt idx="191">
                  <c:v>7.6099999999999595</c:v>
                </c:pt>
                <c:pt idx="192">
                  <c:v>7.6199999999999593</c:v>
                </c:pt>
                <c:pt idx="193">
                  <c:v>7.629999999999959</c:v>
                </c:pt>
                <c:pt idx="194">
                  <c:v>7.6399999999999588</c:v>
                </c:pt>
                <c:pt idx="195">
                  <c:v>7.6499999999999586</c:v>
                </c:pt>
                <c:pt idx="196">
                  <c:v>7.6599999999999584</c:v>
                </c:pt>
                <c:pt idx="197">
                  <c:v>7.6699999999999582</c:v>
                </c:pt>
                <c:pt idx="198">
                  <c:v>7.679999999999958</c:v>
                </c:pt>
                <c:pt idx="199">
                  <c:v>7.6899999999999578</c:v>
                </c:pt>
                <c:pt idx="200">
                  <c:v>7.6999999999999575</c:v>
                </c:pt>
                <c:pt idx="201">
                  <c:v>7.7999999999999572</c:v>
                </c:pt>
                <c:pt idx="202">
                  <c:v>7.8999999999999568</c:v>
                </c:pt>
                <c:pt idx="203">
                  <c:v>7.9999999999999565</c:v>
                </c:pt>
                <c:pt idx="204">
                  <c:v>8.099999999999957</c:v>
                </c:pt>
                <c:pt idx="205">
                  <c:v>8.1999999999999567</c:v>
                </c:pt>
                <c:pt idx="206">
                  <c:v>8.2999999999999563</c:v>
                </c:pt>
                <c:pt idx="207">
                  <c:v>8.3999999999999559</c:v>
                </c:pt>
                <c:pt idx="208">
                  <c:v>8.4999999999999556</c:v>
                </c:pt>
                <c:pt idx="209">
                  <c:v>8.5999999999999552</c:v>
                </c:pt>
                <c:pt idx="210">
                  <c:v>8.6999999999999549</c:v>
                </c:pt>
                <c:pt idx="211">
                  <c:v>8.7999999999999545</c:v>
                </c:pt>
                <c:pt idx="212">
                  <c:v>8.8999999999999542</c:v>
                </c:pt>
                <c:pt idx="213">
                  <c:v>8.9999999999999538</c:v>
                </c:pt>
                <c:pt idx="214">
                  <c:v>9.0999999999999535</c:v>
                </c:pt>
                <c:pt idx="215">
                  <c:v>9.1999999999999531</c:v>
                </c:pt>
                <c:pt idx="216">
                  <c:v>9.2999999999999527</c:v>
                </c:pt>
                <c:pt idx="217">
                  <c:v>9.3999999999999524</c:v>
                </c:pt>
                <c:pt idx="218">
                  <c:v>9.499999999999952</c:v>
                </c:pt>
                <c:pt idx="219">
                  <c:v>9.5999999999999517</c:v>
                </c:pt>
                <c:pt idx="220">
                  <c:v>9.6999999999999513</c:v>
                </c:pt>
                <c:pt idx="221">
                  <c:v>9.799999999999951</c:v>
                </c:pt>
                <c:pt idx="222">
                  <c:v>9.8999999999999506</c:v>
                </c:pt>
                <c:pt idx="223">
                  <c:v>9.9999999999999503</c:v>
                </c:pt>
                <c:pt idx="224">
                  <c:v>10.09999999999995</c:v>
                </c:pt>
                <c:pt idx="225">
                  <c:v>10.19999999999995</c:v>
                </c:pt>
                <c:pt idx="226">
                  <c:v>10.299999999999949</c:v>
                </c:pt>
                <c:pt idx="227">
                  <c:v>10.399999999999949</c:v>
                </c:pt>
                <c:pt idx="228">
                  <c:v>10.499999999999948</c:v>
                </c:pt>
                <c:pt idx="229">
                  <c:v>10.599999999999948</c:v>
                </c:pt>
                <c:pt idx="230">
                  <c:v>10.699999999999948</c:v>
                </c:pt>
                <c:pt idx="231">
                  <c:v>10.799999999999947</c:v>
                </c:pt>
                <c:pt idx="232">
                  <c:v>10.899999999999947</c:v>
                </c:pt>
                <c:pt idx="233">
                  <c:v>10.999999999999947</c:v>
                </c:pt>
                <c:pt idx="234">
                  <c:v>11.099999999999946</c:v>
                </c:pt>
                <c:pt idx="235">
                  <c:v>11.199999999999946</c:v>
                </c:pt>
                <c:pt idx="236">
                  <c:v>11.299999999999946</c:v>
                </c:pt>
                <c:pt idx="237">
                  <c:v>11.399999999999945</c:v>
                </c:pt>
                <c:pt idx="238">
                  <c:v>11.499999999999945</c:v>
                </c:pt>
                <c:pt idx="239">
                  <c:v>11.599999999999945</c:v>
                </c:pt>
                <c:pt idx="240">
                  <c:v>11.699999999999944</c:v>
                </c:pt>
                <c:pt idx="241">
                  <c:v>11.799999999999944</c:v>
                </c:pt>
                <c:pt idx="242">
                  <c:v>11.899999999999944</c:v>
                </c:pt>
                <c:pt idx="243">
                  <c:v>11.999999999999943</c:v>
                </c:pt>
                <c:pt idx="244">
                  <c:v>12.099999999999943</c:v>
                </c:pt>
                <c:pt idx="245">
                  <c:v>12.199999999999942</c:v>
                </c:pt>
                <c:pt idx="246">
                  <c:v>12.299999999999942</c:v>
                </c:pt>
                <c:pt idx="247">
                  <c:v>12.399999999999942</c:v>
                </c:pt>
                <c:pt idx="248">
                  <c:v>12.499999999999941</c:v>
                </c:pt>
                <c:pt idx="249">
                  <c:v>12.599999999999941</c:v>
                </c:pt>
                <c:pt idx="250">
                  <c:v>12.699999999999941</c:v>
                </c:pt>
                <c:pt idx="251">
                  <c:v>12.79999999999994</c:v>
                </c:pt>
                <c:pt idx="252">
                  <c:v>12.89999999999994</c:v>
                </c:pt>
                <c:pt idx="253">
                  <c:v>12.99999999999994</c:v>
                </c:pt>
                <c:pt idx="254">
                  <c:v>13.099999999999939</c:v>
                </c:pt>
                <c:pt idx="255">
                  <c:v>13.199999999999939</c:v>
                </c:pt>
                <c:pt idx="256">
                  <c:v>13.299999999999939</c:v>
                </c:pt>
                <c:pt idx="257">
                  <c:v>13.399999999999938</c:v>
                </c:pt>
                <c:pt idx="258">
                  <c:v>13.499999999999938</c:v>
                </c:pt>
                <c:pt idx="259">
                  <c:v>13.599999999999937</c:v>
                </c:pt>
                <c:pt idx="260">
                  <c:v>13.699999999999937</c:v>
                </c:pt>
                <c:pt idx="261">
                  <c:v>13.799999999999937</c:v>
                </c:pt>
                <c:pt idx="262">
                  <c:v>13.899999999999936</c:v>
                </c:pt>
                <c:pt idx="263">
                  <c:v>13.999999999999936</c:v>
                </c:pt>
                <c:pt idx="264">
                  <c:v>14.099999999999936</c:v>
                </c:pt>
                <c:pt idx="265">
                  <c:v>14.199999999999935</c:v>
                </c:pt>
                <c:pt idx="266">
                  <c:v>14.299999999999935</c:v>
                </c:pt>
                <c:pt idx="267">
                  <c:v>14.399999999999935</c:v>
                </c:pt>
                <c:pt idx="268">
                  <c:v>14.499999999999934</c:v>
                </c:pt>
                <c:pt idx="269">
                  <c:v>14.599999999999934</c:v>
                </c:pt>
                <c:pt idx="270">
                  <c:v>14.699999999999934</c:v>
                </c:pt>
                <c:pt idx="271">
                  <c:v>14.799999999999933</c:v>
                </c:pt>
                <c:pt idx="272">
                  <c:v>14.899999999999933</c:v>
                </c:pt>
                <c:pt idx="273">
                  <c:v>14.999999999999932</c:v>
                </c:pt>
                <c:pt idx="274">
                  <c:v>15.099999999999932</c:v>
                </c:pt>
                <c:pt idx="275">
                  <c:v>15.199999999999932</c:v>
                </c:pt>
                <c:pt idx="276">
                  <c:v>15.299999999999931</c:v>
                </c:pt>
                <c:pt idx="277">
                  <c:v>15.399999999999931</c:v>
                </c:pt>
                <c:pt idx="278">
                  <c:v>15.499999999999931</c:v>
                </c:pt>
                <c:pt idx="279">
                  <c:v>15.59999999999993</c:v>
                </c:pt>
                <c:pt idx="280">
                  <c:v>15.69999999999993</c:v>
                </c:pt>
                <c:pt idx="281">
                  <c:v>15.79999999999993</c:v>
                </c:pt>
                <c:pt idx="282">
                  <c:v>15.899999999999929</c:v>
                </c:pt>
                <c:pt idx="283">
                  <c:v>15.999999999999929</c:v>
                </c:pt>
                <c:pt idx="284">
                  <c:v>16.09999999999993</c:v>
                </c:pt>
                <c:pt idx="285">
                  <c:v>16.199999999999932</c:v>
                </c:pt>
                <c:pt idx="286">
                  <c:v>16.299999999999933</c:v>
                </c:pt>
                <c:pt idx="287">
                  <c:v>16.399999999999935</c:v>
                </c:pt>
                <c:pt idx="288">
                  <c:v>16.499999999999936</c:v>
                </c:pt>
                <c:pt idx="289">
                  <c:v>16.599999999999937</c:v>
                </c:pt>
                <c:pt idx="290">
                  <c:v>16.699999999999939</c:v>
                </c:pt>
                <c:pt idx="291">
                  <c:v>16.79999999999994</c:v>
                </c:pt>
                <c:pt idx="292">
                  <c:v>16.899999999999942</c:v>
                </c:pt>
                <c:pt idx="293">
                  <c:v>16.999999999999943</c:v>
                </c:pt>
                <c:pt idx="294">
                  <c:v>17.099999999999945</c:v>
                </c:pt>
                <c:pt idx="295">
                  <c:v>17.199999999999946</c:v>
                </c:pt>
                <c:pt idx="296">
                  <c:v>17.299999999999947</c:v>
                </c:pt>
                <c:pt idx="297">
                  <c:v>17.399999999999949</c:v>
                </c:pt>
                <c:pt idx="298">
                  <c:v>17.49999999999995</c:v>
                </c:pt>
                <c:pt idx="299">
                  <c:v>17.599999999999952</c:v>
                </c:pt>
                <c:pt idx="300">
                  <c:v>17.699999999999953</c:v>
                </c:pt>
                <c:pt idx="301">
                  <c:v>17.799999999999955</c:v>
                </c:pt>
                <c:pt idx="302">
                  <c:v>17.899999999999956</c:v>
                </c:pt>
                <c:pt idx="303">
                  <c:v>17.999999999999957</c:v>
                </c:pt>
                <c:pt idx="304">
                  <c:v>18.099999999999959</c:v>
                </c:pt>
                <c:pt idx="305">
                  <c:v>18.19999999999996</c:v>
                </c:pt>
                <c:pt idx="306">
                  <c:v>18.299999999999962</c:v>
                </c:pt>
                <c:pt idx="307">
                  <c:v>18.399999999999963</c:v>
                </c:pt>
                <c:pt idx="308">
                  <c:v>18.499999999999964</c:v>
                </c:pt>
                <c:pt idx="309">
                  <c:v>18.599999999999966</c:v>
                </c:pt>
                <c:pt idx="310">
                  <c:v>18.699999999999967</c:v>
                </c:pt>
                <c:pt idx="311">
                  <c:v>18.799999999999969</c:v>
                </c:pt>
                <c:pt idx="312">
                  <c:v>18.89999999999997</c:v>
                </c:pt>
                <c:pt idx="313">
                  <c:v>18.999999999999972</c:v>
                </c:pt>
                <c:pt idx="314">
                  <c:v>19.099999999999973</c:v>
                </c:pt>
                <c:pt idx="315">
                  <c:v>19.199999999999974</c:v>
                </c:pt>
                <c:pt idx="316">
                  <c:v>19.299999999999976</c:v>
                </c:pt>
                <c:pt idx="317">
                  <c:v>19.399999999999977</c:v>
                </c:pt>
                <c:pt idx="318">
                  <c:v>19.499999999999979</c:v>
                </c:pt>
                <c:pt idx="319">
                  <c:v>19.59999999999998</c:v>
                </c:pt>
                <c:pt idx="320">
                  <c:v>19.699999999999982</c:v>
                </c:pt>
                <c:pt idx="321">
                  <c:v>19.799999999999983</c:v>
                </c:pt>
                <c:pt idx="322">
                  <c:v>19.899999999999984</c:v>
                </c:pt>
                <c:pt idx="323">
                  <c:v>19.999999999999986</c:v>
                </c:pt>
                <c:pt idx="324">
                  <c:v>20.099999999999987</c:v>
                </c:pt>
                <c:pt idx="325">
                  <c:v>20.199999999999989</c:v>
                </c:pt>
                <c:pt idx="326">
                  <c:v>20.29999999999999</c:v>
                </c:pt>
                <c:pt idx="327">
                  <c:v>20.399999999999991</c:v>
                </c:pt>
                <c:pt idx="328">
                  <c:v>20.499999999999993</c:v>
                </c:pt>
                <c:pt idx="329">
                  <c:v>20.599999999999994</c:v>
                </c:pt>
                <c:pt idx="330">
                  <c:v>20.699999999999996</c:v>
                </c:pt>
                <c:pt idx="331">
                  <c:v>20.799999999999997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21.200000000000003</c:v>
                </c:pt>
                <c:pt idx="336">
                  <c:v>21.300000000000004</c:v>
                </c:pt>
                <c:pt idx="337">
                  <c:v>21.400000000000006</c:v>
                </c:pt>
                <c:pt idx="338">
                  <c:v>21.500000000000007</c:v>
                </c:pt>
                <c:pt idx="339">
                  <c:v>21.600000000000009</c:v>
                </c:pt>
                <c:pt idx="340">
                  <c:v>21.70000000000001</c:v>
                </c:pt>
                <c:pt idx="341">
                  <c:v>21.800000000000011</c:v>
                </c:pt>
                <c:pt idx="342">
                  <c:v>21.900000000000013</c:v>
                </c:pt>
                <c:pt idx="343">
                  <c:v>22.000000000000014</c:v>
                </c:pt>
                <c:pt idx="344">
                  <c:v>22.100000000000016</c:v>
                </c:pt>
                <c:pt idx="345">
                  <c:v>22.200000000000017</c:v>
                </c:pt>
                <c:pt idx="346">
                  <c:v>22.300000000000018</c:v>
                </c:pt>
                <c:pt idx="347">
                  <c:v>22.40000000000002</c:v>
                </c:pt>
                <c:pt idx="348">
                  <c:v>22.500000000000021</c:v>
                </c:pt>
                <c:pt idx="349">
                  <c:v>22.600000000000023</c:v>
                </c:pt>
                <c:pt idx="350">
                  <c:v>22.700000000000024</c:v>
                </c:pt>
                <c:pt idx="351">
                  <c:v>22.800000000000026</c:v>
                </c:pt>
                <c:pt idx="352">
                  <c:v>22.900000000000027</c:v>
                </c:pt>
                <c:pt idx="353">
                  <c:v>23.000000000000028</c:v>
                </c:pt>
                <c:pt idx="354">
                  <c:v>23.10000000000003</c:v>
                </c:pt>
                <c:pt idx="355">
                  <c:v>23.200000000000031</c:v>
                </c:pt>
                <c:pt idx="356">
                  <c:v>23.300000000000033</c:v>
                </c:pt>
                <c:pt idx="357">
                  <c:v>23.400000000000034</c:v>
                </c:pt>
                <c:pt idx="358">
                  <c:v>23.500000000000036</c:v>
                </c:pt>
                <c:pt idx="359">
                  <c:v>23.600000000000037</c:v>
                </c:pt>
                <c:pt idx="360">
                  <c:v>23.700000000000038</c:v>
                </c:pt>
                <c:pt idx="361">
                  <c:v>23.80000000000004</c:v>
                </c:pt>
                <c:pt idx="362">
                  <c:v>23.900000000000041</c:v>
                </c:pt>
                <c:pt idx="363">
                  <c:v>24.000000000000043</c:v>
                </c:pt>
                <c:pt idx="364">
                  <c:v>24.100000000000044</c:v>
                </c:pt>
                <c:pt idx="365">
                  <c:v>24.200000000000045</c:v>
                </c:pt>
                <c:pt idx="366">
                  <c:v>24.300000000000047</c:v>
                </c:pt>
                <c:pt idx="367">
                  <c:v>24.400000000000048</c:v>
                </c:pt>
                <c:pt idx="368">
                  <c:v>24.50000000000005</c:v>
                </c:pt>
                <c:pt idx="369">
                  <c:v>24.600000000000051</c:v>
                </c:pt>
                <c:pt idx="370">
                  <c:v>24.700000000000053</c:v>
                </c:pt>
                <c:pt idx="371">
                  <c:v>24.800000000000054</c:v>
                </c:pt>
                <c:pt idx="372">
                  <c:v>24.900000000000055</c:v>
                </c:pt>
                <c:pt idx="373">
                  <c:v>25.000000000000057</c:v>
                </c:pt>
                <c:pt idx="374">
                  <c:v>25.100000000000058</c:v>
                </c:pt>
                <c:pt idx="375">
                  <c:v>25.20000000000006</c:v>
                </c:pt>
                <c:pt idx="376">
                  <c:v>25.300000000000061</c:v>
                </c:pt>
                <c:pt idx="377">
                  <c:v>25.400000000000063</c:v>
                </c:pt>
                <c:pt idx="378">
                  <c:v>25.500000000000064</c:v>
                </c:pt>
                <c:pt idx="379">
                  <c:v>25.600000000000065</c:v>
                </c:pt>
                <c:pt idx="380">
                  <c:v>25.700000000000067</c:v>
                </c:pt>
                <c:pt idx="381">
                  <c:v>25.800000000000068</c:v>
                </c:pt>
                <c:pt idx="382">
                  <c:v>25.90000000000007</c:v>
                </c:pt>
                <c:pt idx="383">
                  <c:v>26.000000000000071</c:v>
                </c:pt>
                <c:pt idx="384">
                  <c:v>26.100000000000072</c:v>
                </c:pt>
                <c:pt idx="385">
                  <c:v>26.200000000000074</c:v>
                </c:pt>
                <c:pt idx="386">
                  <c:v>26.300000000000075</c:v>
                </c:pt>
                <c:pt idx="387">
                  <c:v>26.400000000000077</c:v>
                </c:pt>
                <c:pt idx="388">
                  <c:v>26.500000000000078</c:v>
                </c:pt>
                <c:pt idx="389">
                  <c:v>26.60000000000008</c:v>
                </c:pt>
                <c:pt idx="390">
                  <c:v>26.700000000000081</c:v>
                </c:pt>
                <c:pt idx="391">
                  <c:v>26.800000000000082</c:v>
                </c:pt>
                <c:pt idx="392">
                  <c:v>26.900000000000084</c:v>
                </c:pt>
                <c:pt idx="393">
                  <c:v>27.000000000000085</c:v>
                </c:pt>
                <c:pt idx="394">
                  <c:v>27.100000000000087</c:v>
                </c:pt>
                <c:pt idx="395">
                  <c:v>27.200000000000088</c:v>
                </c:pt>
                <c:pt idx="396">
                  <c:v>27.30000000000009</c:v>
                </c:pt>
                <c:pt idx="397">
                  <c:v>27.400000000000091</c:v>
                </c:pt>
                <c:pt idx="398">
                  <c:v>27.500000000000092</c:v>
                </c:pt>
                <c:pt idx="399">
                  <c:v>27.600000000000094</c:v>
                </c:pt>
                <c:pt idx="400">
                  <c:v>27.700000000000095</c:v>
                </c:pt>
                <c:pt idx="401">
                  <c:v>27.800000000000097</c:v>
                </c:pt>
                <c:pt idx="402">
                  <c:v>27.900000000000098</c:v>
                </c:pt>
                <c:pt idx="403">
                  <c:v>28.000000000000099</c:v>
                </c:pt>
                <c:pt idx="404">
                  <c:v>28.100000000000101</c:v>
                </c:pt>
                <c:pt idx="405">
                  <c:v>28.200000000000102</c:v>
                </c:pt>
                <c:pt idx="406">
                  <c:v>28.300000000000104</c:v>
                </c:pt>
                <c:pt idx="407">
                  <c:v>28.400000000000105</c:v>
                </c:pt>
                <c:pt idx="408">
                  <c:v>28.500000000000107</c:v>
                </c:pt>
                <c:pt idx="409">
                  <c:v>28.600000000000108</c:v>
                </c:pt>
                <c:pt idx="410">
                  <c:v>28.700000000000109</c:v>
                </c:pt>
                <c:pt idx="411">
                  <c:v>28.800000000000111</c:v>
                </c:pt>
                <c:pt idx="412">
                  <c:v>28.900000000000112</c:v>
                </c:pt>
                <c:pt idx="413">
                  <c:v>29.000000000000114</c:v>
                </c:pt>
                <c:pt idx="414">
                  <c:v>29.100000000000115</c:v>
                </c:pt>
                <c:pt idx="415">
                  <c:v>29.200000000000117</c:v>
                </c:pt>
                <c:pt idx="416">
                  <c:v>29.300000000000118</c:v>
                </c:pt>
                <c:pt idx="417">
                  <c:v>29.400000000000119</c:v>
                </c:pt>
                <c:pt idx="418">
                  <c:v>29.500000000000121</c:v>
                </c:pt>
                <c:pt idx="419">
                  <c:v>29.600000000000122</c:v>
                </c:pt>
                <c:pt idx="420">
                  <c:v>29.700000000000124</c:v>
                </c:pt>
                <c:pt idx="421">
                  <c:v>29.800000000000125</c:v>
                </c:pt>
                <c:pt idx="422">
                  <c:v>29.900000000000126</c:v>
                </c:pt>
                <c:pt idx="423">
                  <c:v>30.000000000000128</c:v>
                </c:pt>
                <c:pt idx="424">
                  <c:v>30.100000000000129</c:v>
                </c:pt>
                <c:pt idx="425">
                  <c:v>30.200000000000131</c:v>
                </c:pt>
                <c:pt idx="426">
                  <c:v>30.300000000000132</c:v>
                </c:pt>
                <c:pt idx="427">
                  <c:v>30.400000000000134</c:v>
                </c:pt>
                <c:pt idx="428">
                  <c:v>30.500000000000135</c:v>
                </c:pt>
                <c:pt idx="429">
                  <c:v>30.600000000000136</c:v>
                </c:pt>
                <c:pt idx="430">
                  <c:v>30.700000000000138</c:v>
                </c:pt>
                <c:pt idx="431">
                  <c:v>30.800000000000139</c:v>
                </c:pt>
                <c:pt idx="432">
                  <c:v>30.900000000000141</c:v>
                </c:pt>
                <c:pt idx="433">
                  <c:v>31.000000000000142</c:v>
                </c:pt>
                <c:pt idx="434">
                  <c:v>31.100000000000144</c:v>
                </c:pt>
                <c:pt idx="435">
                  <c:v>31.200000000000145</c:v>
                </c:pt>
                <c:pt idx="436">
                  <c:v>31.300000000000146</c:v>
                </c:pt>
                <c:pt idx="437">
                  <c:v>31.400000000000148</c:v>
                </c:pt>
                <c:pt idx="438">
                  <c:v>31.500000000000149</c:v>
                </c:pt>
                <c:pt idx="439">
                  <c:v>31.600000000000151</c:v>
                </c:pt>
                <c:pt idx="440">
                  <c:v>31.700000000000152</c:v>
                </c:pt>
                <c:pt idx="441">
                  <c:v>31.800000000000153</c:v>
                </c:pt>
                <c:pt idx="442">
                  <c:v>31.900000000000155</c:v>
                </c:pt>
                <c:pt idx="443">
                  <c:v>32.000000000000156</c:v>
                </c:pt>
                <c:pt idx="444">
                  <c:v>32.100000000000158</c:v>
                </c:pt>
                <c:pt idx="445">
                  <c:v>32.200000000000159</c:v>
                </c:pt>
                <c:pt idx="446">
                  <c:v>32.300000000000161</c:v>
                </c:pt>
                <c:pt idx="447">
                  <c:v>32.400000000000162</c:v>
                </c:pt>
                <c:pt idx="448">
                  <c:v>32.500000000000163</c:v>
                </c:pt>
                <c:pt idx="449">
                  <c:v>32.600000000000165</c:v>
                </c:pt>
                <c:pt idx="450">
                  <c:v>32.700000000000166</c:v>
                </c:pt>
                <c:pt idx="451">
                  <c:v>32.800000000000168</c:v>
                </c:pt>
                <c:pt idx="452">
                  <c:v>32.900000000000169</c:v>
                </c:pt>
                <c:pt idx="453">
                  <c:v>33.000000000000171</c:v>
                </c:pt>
                <c:pt idx="454">
                  <c:v>33.100000000000172</c:v>
                </c:pt>
                <c:pt idx="455">
                  <c:v>33.200000000000173</c:v>
                </c:pt>
                <c:pt idx="456">
                  <c:v>33.300000000000175</c:v>
                </c:pt>
                <c:pt idx="457">
                  <c:v>33.400000000000176</c:v>
                </c:pt>
                <c:pt idx="458">
                  <c:v>33.500000000000178</c:v>
                </c:pt>
                <c:pt idx="459">
                  <c:v>33.600000000000179</c:v>
                </c:pt>
                <c:pt idx="460">
                  <c:v>33.70000000000018</c:v>
                </c:pt>
                <c:pt idx="461">
                  <c:v>33.800000000000182</c:v>
                </c:pt>
                <c:pt idx="462">
                  <c:v>33.900000000000183</c:v>
                </c:pt>
                <c:pt idx="463">
                  <c:v>34.000000000000185</c:v>
                </c:pt>
                <c:pt idx="464">
                  <c:v>34.100000000000186</c:v>
                </c:pt>
                <c:pt idx="465">
                  <c:v>34.200000000000188</c:v>
                </c:pt>
                <c:pt idx="466">
                  <c:v>34.300000000000189</c:v>
                </c:pt>
                <c:pt idx="467">
                  <c:v>34.40000000000019</c:v>
                </c:pt>
                <c:pt idx="468">
                  <c:v>34.500000000000192</c:v>
                </c:pt>
                <c:pt idx="469">
                  <c:v>34.600000000000193</c:v>
                </c:pt>
                <c:pt idx="470">
                  <c:v>34.700000000000195</c:v>
                </c:pt>
                <c:pt idx="471">
                  <c:v>34.800000000000196</c:v>
                </c:pt>
                <c:pt idx="472">
                  <c:v>34.900000000000198</c:v>
                </c:pt>
                <c:pt idx="473">
                  <c:v>35.000000000000199</c:v>
                </c:pt>
                <c:pt idx="474">
                  <c:v>35.1000000000002</c:v>
                </c:pt>
                <c:pt idx="475">
                  <c:v>35.200000000000202</c:v>
                </c:pt>
                <c:pt idx="476">
                  <c:v>35.300000000000203</c:v>
                </c:pt>
                <c:pt idx="477">
                  <c:v>35.400000000000205</c:v>
                </c:pt>
                <c:pt idx="478">
                  <c:v>35.500000000000206</c:v>
                </c:pt>
                <c:pt idx="479">
                  <c:v>35.600000000000207</c:v>
                </c:pt>
                <c:pt idx="480">
                  <c:v>35.700000000000209</c:v>
                </c:pt>
                <c:pt idx="481">
                  <c:v>35.80000000000021</c:v>
                </c:pt>
                <c:pt idx="482">
                  <c:v>35.900000000000212</c:v>
                </c:pt>
                <c:pt idx="483">
                  <c:v>36.000000000000213</c:v>
                </c:pt>
                <c:pt idx="484">
                  <c:v>36.100000000000215</c:v>
                </c:pt>
                <c:pt idx="485">
                  <c:v>36.200000000000216</c:v>
                </c:pt>
                <c:pt idx="486">
                  <c:v>36.300000000000217</c:v>
                </c:pt>
                <c:pt idx="487">
                  <c:v>36.400000000000219</c:v>
                </c:pt>
                <c:pt idx="488">
                  <c:v>36.50000000000022</c:v>
                </c:pt>
                <c:pt idx="489">
                  <c:v>36.600000000000222</c:v>
                </c:pt>
                <c:pt idx="490">
                  <c:v>36.700000000000223</c:v>
                </c:pt>
                <c:pt idx="491">
                  <c:v>36.800000000000225</c:v>
                </c:pt>
                <c:pt idx="492">
                  <c:v>36.900000000000226</c:v>
                </c:pt>
                <c:pt idx="493">
                  <c:v>37.000000000000227</c:v>
                </c:pt>
                <c:pt idx="494">
                  <c:v>37.100000000000229</c:v>
                </c:pt>
                <c:pt idx="495">
                  <c:v>37.20000000000023</c:v>
                </c:pt>
                <c:pt idx="496">
                  <c:v>37.300000000000232</c:v>
                </c:pt>
                <c:pt idx="497">
                  <c:v>37.400000000000233</c:v>
                </c:pt>
                <c:pt idx="498">
                  <c:v>37.500000000000234</c:v>
                </c:pt>
                <c:pt idx="499">
                  <c:v>37.600000000000236</c:v>
                </c:pt>
                <c:pt idx="500">
                  <c:v>37.700000000000237</c:v>
                </c:pt>
                <c:pt idx="501">
                  <c:v>37.800000000000239</c:v>
                </c:pt>
                <c:pt idx="502">
                  <c:v>37.90000000000024</c:v>
                </c:pt>
                <c:pt idx="503">
                  <c:v>38.000000000000242</c:v>
                </c:pt>
                <c:pt idx="504">
                  <c:v>38.100000000000243</c:v>
                </c:pt>
                <c:pt idx="505">
                  <c:v>38.200000000000244</c:v>
                </c:pt>
                <c:pt idx="506">
                  <c:v>38.300000000000246</c:v>
                </c:pt>
                <c:pt idx="507">
                  <c:v>38.400000000000247</c:v>
                </c:pt>
                <c:pt idx="508">
                  <c:v>38.500000000000249</c:v>
                </c:pt>
                <c:pt idx="509">
                  <c:v>38.60000000000025</c:v>
                </c:pt>
                <c:pt idx="510">
                  <c:v>38.700000000000252</c:v>
                </c:pt>
                <c:pt idx="511">
                  <c:v>38.800000000000253</c:v>
                </c:pt>
                <c:pt idx="512">
                  <c:v>38.900000000000254</c:v>
                </c:pt>
                <c:pt idx="513">
                  <c:v>39.000000000000256</c:v>
                </c:pt>
                <c:pt idx="514">
                  <c:v>39.100000000000257</c:v>
                </c:pt>
                <c:pt idx="515">
                  <c:v>39.200000000000259</c:v>
                </c:pt>
                <c:pt idx="516">
                  <c:v>39.30000000000026</c:v>
                </c:pt>
                <c:pt idx="517">
                  <c:v>39.400000000000261</c:v>
                </c:pt>
                <c:pt idx="518">
                  <c:v>39.500000000000263</c:v>
                </c:pt>
                <c:pt idx="519">
                  <c:v>39.600000000000264</c:v>
                </c:pt>
                <c:pt idx="520">
                  <c:v>39.700000000000266</c:v>
                </c:pt>
                <c:pt idx="521">
                  <c:v>39.800000000000267</c:v>
                </c:pt>
                <c:pt idx="522">
                  <c:v>39.900000000000269</c:v>
                </c:pt>
                <c:pt idx="523">
                  <c:v>40.00000000000027</c:v>
                </c:pt>
                <c:pt idx="524">
                  <c:v>40.100000000000271</c:v>
                </c:pt>
                <c:pt idx="525">
                  <c:v>40.200000000000273</c:v>
                </c:pt>
                <c:pt idx="526">
                  <c:v>40.300000000000274</c:v>
                </c:pt>
                <c:pt idx="527">
                  <c:v>40.400000000000276</c:v>
                </c:pt>
                <c:pt idx="528">
                  <c:v>40.500000000000277</c:v>
                </c:pt>
                <c:pt idx="529">
                  <c:v>40.600000000000279</c:v>
                </c:pt>
                <c:pt idx="530">
                  <c:v>40.70000000000028</c:v>
                </c:pt>
                <c:pt idx="531">
                  <c:v>40.800000000000281</c:v>
                </c:pt>
                <c:pt idx="532">
                  <c:v>40.900000000000283</c:v>
                </c:pt>
                <c:pt idx="533">
                  <c:v>41.000000000000284</c:v>
                </c:pt>
                <c:pt idx="534">
                  <c:v>41.100000000000286</c:v>
                </c:pt>
                <c:pt idx="535">
                  <c:v>41.200000000000287</c:v>
                </c:pt>
                <c:pt idx="536">
                  <c:v>41.300000000000288</c:v>
                </c:pt>
                <c:pt idx="537">
                  <c:v>41.40000000000029</c:v>
                </c:pt>
                <c:pt idx="538">
                  <c:v>41.500000000000291</c:v>
                </c:pt>
                <c:pt idx="539">
                  <c:v>41.600000000000293</c:v>
                </c:pt>
                <c:pt idx="540">
                  <c:v>41.700000000000294</c:v>
                </c:pt>
                <c:pt idx="541">
                  <c:v>41.800000000000296</c:v>
                </c:pt>
                <c:pt idx="542">
                  <c:v>41.900000000000297</c:v>
                </c:pt>
                <c:pt idx="543">
                  <c:v>42.000000000000298</c:v>
                </c:pt>
                <c:pt idx="544">
                  <c:v>42.1000000000003</c:v>
                </c:pt>
                <c:pt idx="545">
                  <c:v>42.200000000000301</c:v>
                </c:pt>
                <c:pt idx="546">
                  <c:v>42.300000000000303</c:v>
                </c:pt>
                <c:pt idx="547">
                  <c:v>42.400000000000304</c:v>
                </c:pt>
                <c:pt idx="548">
                  <c:v>42.500000000000306</c:v>
                </c:pt>
                <c:pt idx="549">
                  <c:v>42.600000000000307</c:v>
                </c:pt>
                <c:pt idx="550">
                  <c:v>42.700000000000308</c:v>
                </c:pt>
                <c:pt idx="551">
                  <c:v>42.80000000000031</c:v>
                </c:pt>
                <c:pt idx="552">
                  <c:v>42.900000000000311</c:v>
                </c:pt>
                <c:pt idx="553">
                  <c:v>43.000000000000313</c:v>
                </c:pt>
                <c:pt idx="554">
                  <c:v>43.100000000000314</c:v>
                </c:pt>
                <c:pt idx="555">
                  <c:v>43.200000000000315</c:v>
                </c:pt>
                <c:pt idx="556">
                  <c:v>43.300000000000317</c:v>
                </c:pt>
                <c:pt idx="557">
                  <c:v>43.400000000000318</c:v>
                </c:pt>
                <c:pt idx="558">
                  <c:v>43.50000000000032</c:v>
                </c:pt>
                <c:pt idx="559">
                  <c:v>43.600000000000321</c:v>
                </c:pt>
                <c:pt idx="560">
                  <c:v>43.700000000000323</c:v>
                </c:pt>
                <c:pt idx="561">
                  <c:v>43.800000000000324</c:v>
                </c:pt>
                <c:pt idx="562">
                  <c:v>43.900000000000325</c:v>
                </c:pt>
                <c:pt idx="563">
                  <c:v>44.000000000000327</c:v>
                </c:pt>
                <c:pt idx="564">
                  <c:v>44.100000000000328</c:v>
                </c:pt>
                <c:pt idx="565">
                  <c:v>44.20000000000033</c:v>
                </c:pt>
                <c:pt idx="566">
                  <c:v>44.300000000000331</c:v>
                </c:pt>
                <c:pt idx="567">
                  <c:v>44.400000000000333</c:v>
                </c:pt>
                <c:pt idx="568">
                  <c:v>44.500000000000334</c:v>
                </c:pt>
                <c:pt idx="569">
                  <c:v>44.600000000000335</c:v>
                </c:pt>
                <c:pt idx="570">
                  <c:v>44.700000000000337</c:v>
                </c:pt>
                <c:pt idx="571">
                  <c:v>44.800000000000338</c:v>
                </c:pt>
                <c:pt idx="572">
                  <c:v>44.90000000000034</c:v>
                </c:pt>
                <c:pt idx="573">
                  <c:v>45.000000000000341</c:v>
                </c:pt>
                <c:pt idx="574">
                  <c:v>45.100000000000342</c:v>
                </c:pt>
                <c:pt idx="575">
                  <c:v>45.200000000000344</c:v>
                </c:pt>
                <c:pt idx="576">
                  <c:v>45.300000000000345</c:v>
                </c:pt>
                <c:pt idx="577">
                  <c:v>45.400000000000347</c:v>
                </c:pt>
                <c:pt idx="578">
                  <c:v>45.500000000000348</c:v>
                </c:pt>
                <c:pt idx="579">
                  <c:v>45.60000000000035</c:v>
                </c:pt>
                <c:pt idx="580">
                  <c:v>45.700000000000351</c:v>
                </c:pt>
                <c:pt idx="581">
                  <c:v>45.800000000000352</c:v>
                </c:pt>
                <c:pt idx="582">
                  <c:v>45.900000000000354</c:v>
                </c:pt>
                <c:pt idx="583">
                  <c:v>46.000000000000355</c:v>
                </c:pt>
                <c:pt idx="584">
                  <c:v>46.100000000000357</c:v>
                </c:pt>
                <c:pt idx="585">
                  <c:v>46.200000000000358</c:v>
                </c:pt>
                <c:pt idx="586">
                  <c:v>46.30000000000036</c:v>
                </c:pt>
                <c:pt idx="587">
                  <c:v>46.400000000000361</c:v>
                </c:pt>
                <c:pt idx="588">
                  <c:v>46.500000000000362</c:v>
                </c:pt>
                <c:pt idx="589">
                  <c:v>46.600000000000364</c:v>
                </c:pt>
                <c:pt idx="590">
                  <c:v>46.700000000000365</c:v>
                </c:pt>
                <c:pt idx="591">
                  <c:v>46.800000000000367</c:v>
                </c:pt>
                <c:pt idx="592">
                  <c:v>46.900000000000368</c:v>
                </c:pt>
                <c:pt idx="593">
                  <c:v>47.000000000000369</c:v>
                </c:pt>
                <c:pt idx="594">
                  <c:v>47.100000000000371</c:v>
                </c:pt>
                <c:pt idx="595">
                  <c:v>47.100100000000374</c:v>
                </c:pt>
                <c:pt idx="596">
                  <c:v>47.100200000000378</c:v>
                </c:pt>
                <c:pt idx="597">
                  <c:v>47.100300000000381</c:v>
                </c:pt>
                <c:pt idx="598">
                  <c:v>47.100400000000384</c:v>
                </c:pt>
                <c:pt idx="599">
                  <c:v>47.100500000000388</c:v>
                </c:pt>
                <c:pt idx="600">
                  <c:v>47.100600000000391</c:v>
                </c:pt>
                <c:pt idx="601">
                  <c:v>47.100700000000394</c:v>
                </c:pt>
                <c:pt idx="602">
                  <c:v>47.100800000000397</c:v>
                </c:pt>
                <c:pt idx="603">
                  <c:v>47.100900000000401</c:v>
                </c:pt>
                <c:pt idx="604">
                  <c:v>47.101000000000404</c:v>
                </c:pt>
                <c:pt idx="605">
                  <c:v>47.101100000000407</c:v>
                </c:pt>
                <c:pt idx="606">
                  <c:v>47.101200000000411</c:v>
                </c:pt>
                <c:pt idx="607">
                  <c:v>47.101300000000414</c:v>
                </c:pt>
                <c:pt idx="608">
                  <c:v>47.101400000000417</c:v>
                </c:pt>
                <c:pt idx="609">
                  <c:v>47.101500000000421</c:v>
                </c:pt>
                <c:pt idx="610">
                  <c:v>47.101600000000424</c:v>
                </c:pt>
                <c:pt idx="611">
                  <c:v>47.101700000000427</c:v>
                </c:pt>
                <c:pt idx="612">
                  <c:v>47.101800000000431</c:v>
                </c:pt>
                <c:pt idx="613">
                  <c:v>47.101900000000434</c:v>
                </c:pt>
                <c:pt idx="614">
                  <c:v>47.102000000000437</c:v>
                </c:pt>
                <c:pt idx="615">
                  <c:v>47.102100000000441</c:v>
                </c:pt>
                <c:pt idx="616">
                  <c:v>47.102200000000444</c:v>
                </c:pt>
                <c:pt idx="617">
                  <c:v>47.102300000000447</c:v>
                </c:pt>
                <c:pt idx="618">
                  <c:v>47.102400000000451</c:v>
                </c:pt>
                <c:pt idx="619">
                  <c:v>47.102500000000454</c:v>
                </c:pt>
                <c:pt idx="620">
                  <c:v>47.102600000000457</c:v>
                </c:pt>
                <c:pt idx="621">
                  <c:v>47.102700000000461</c:v>
                </c:pt>
                <c:pt idx="622">
                  <c:v>47.102800000000464</c:v>
                </c:pt>
                <c:pt idx="623">
                  <c:v>47.102900000000467</c:v>
                </c:pt>
                <c:pt idx="624">
                  <c:v>47.10300000000047</c:v>
                </c:pt>
                <c:pt idx="625">
                  <c:v>47.103100000000474</c:v>
                </c:pt>
                <c:pt idx="626">
                  <c:v>47.103200000000477</c:v>
                </c:pt>
                <c:pt idx="627">
                  <c:v>47.10330000000048</c:v>
                </c:pt>
                <c:pt idx="628">
                  <c:v>47.103400000000484</c:v>
                </c:pt>
                <c:pt idx="629">
                  <c:v>47.103500000000487</c:v>
                </c:pt>
                <c:pt idx="630">
                  <c:v>47.10360000000049</c:v>
                </c:pt>
                <c:pt idx="631">
                  <c:v>47.103700000000494</c:v>
                </c:pt>
                <c:pt idx="632">
                  <c:v>47.103800000000497</c:v>
                </c:pt>
                <c:pt idx="633">
                  <c:v>47.1039000000005</c:v>
                </c:pt>
                <c:pt idx="634">
                  <c:v>47.104000000000504</c:v>
                </c:pt>
                <c:pt idx="635">
                  <c:v>47.104100000000507</c:v>
                </c:pt>
                <c:pt idx="636">
                  <c:v>47.10420000000051</c:v>
                </c:pt>
                <c:pt idx="637">
                  <c:v>47.104300000000514</c:v>
                </c:pt>
                <c:pt idx="638">
                  <c:v>47.104400000000517</c:v>
                </c:pt>
                <c:pt idx="639">
                  <c:v>47.10450000000052</c:v>
                </c:pt>
                <c:pt idx="640">
                  <c:v>47.104600000000524</c:v>
                </c:pt>
                <c:pt idx="641">
                  <c:v>47.104700000000527</c:v>
                </c:pt>
                <c:pt idx="642">
                  <c:v>47.10480000000053</c:v>
                </c:pt>
                <c:pt idx="643">
                  <c:v>47.104900000000534</c:v>
                </c:pt>
                <c:pt idx="644">
                  <c:v>47.105000000000537</c:v>
                </c:pt>
                <c:pt idx="645">
                  <c:v>47.10510000000054</c:v>
                </c:pt>
                <c:pt idx="646">
                  <c:v>47.105200000000544</c:v>
                </c:pt>
                <c:pt idx="647">
                  <c:v>47.105300000000547</c:v>
                </c:pt>
                <c:pt idx="648">
                  <c:v>47.10540000000055</c:v>
                </c:pt>
                <c:pt idx="649">
                  <c:v>47.105500000000553</c:v>
                </c:pt>
                <c:pt idx="650">
                  <c:v>47.105600000000557</c:v>
                </c:pt>
                <c:pt idx="651">
                  <c:v>47.10570000000056</c:v>
                </c:pt>
                <c:pt idx="652">
                  <c:v>47.105800000000563</c:v>
                </c:pt>
                <c:pt idx="653">
                  <c:v>47.105900000000567</c:v>
                </c:pt>
                <c:pt idx="654">
                  <c:v>47.10600000000057</c:v>
                </c:pt>
                <c:pt idx="655">
                  <c:v>47.106100000000573</c:v>
                </c:pt>
                <c:pt idx="656">
                  <c:v>47.106200000000577</c:v>
                </c:pt>
                <c:pt idx="657">
                  <c:v>47.10630000000058</c:v>
                </c:pt>
                <c:pt idx="658">
                  <c:v>47.106400000000583</c:v>
                </c:pt>
                <c:pt idx="659">
                  <c:v>47.106500000000587</c:v>
                </c:pt>
                <c:pt idx="660">
                  <c:v>47.10660000000059</c:v>
                </c:pt>
                <c:pt idx="661">
                  <c:v>47.106700000000593</c:v>
                </c:pt>
                <c:pt idx="662">
                  <c:v>47.106800000000597</c:v>
                </c:pt>
                <c:pt idx="663">
                  <c:v>47.1069000000006</c:v>
                </c:pt>
                <c:pt idx="664">
                  <c:v>47.107000000000603</c:v>
                </c:pt>
                <c:pt idx="665">
                  <c:v>47.107100000000607</c:v>
                </c:pt>
                <c:pt idx="666">
                  <c:v>47.10720000000061</c:v>
                </c:pt>
                <c:pt idx="667">
                  <c:v>47.107300000000613</c:v>
                </c:pt>
                <c:pt idx="668">
                  <c:v>47.107400000000617</c:v>
                </c:pt>
                <c:pt idx="669">
                  <c:v>47.10750000000062</c:v>
                </c:pt>
                <c:pt idx="670">
                  <c:v>47.107600000000623</c:v>
                </c:pt>
                <c:pt idx="671">
                  <c:v>47.107700000000627</c:v>
                </c:pt>
                <c:pt idx="672">
                  <c:v>47.10780000000063</c:v>
                </c:pt>
                <c:pt idx="673">
                  <c:v>47.107900000000633</c:v>
                </c:pt>
                <c:pt idx="674">
                  <c:v>47.108000000000636</c:v>
                </c:pt>
                <c:pt idx="675">
                  <c:v>47.10810000000064</c:v>
                </c:pt>
                <c:pt idx="676">
                  <c:v>47.108200000000643</c:v>
                </c:pt>
                <c:pt idx="677">
                  <c:v>47.108300000000646</c:v>
                </c:pt>
                <c:pt idx="678">
                  <c:v>47.10840000000065</c:v>
                </c:pt>
                <c:pt idx="679">
                  <c:v>47.108500000000653</c:v>
                </c:pt>
                <c:pt idx="680">
                  <c:v>47.108600000000656</c:v>
                </c:pt>
                <c:pt idx="681">
                  <c:v>47.10870000000066</c:v>
                </c:pt>
                <c:pt idx="682">
                  <c:v>47.108800000000663</c:v>
                </c:pt>
                <c:pt idx="683">
                  <c:v>47.108900000000666</c:v>
                </c:pt>
                <c:pt idx="684">
                  <c:v>47.10900000000067</c:v>
                </c:pt>
                <c:pt idx="685">
                  <c:v>47.109100000000673</c:v>
                </c:pt>
                <c:pt idx="686">
                  <c:v>47.109200000000676</c:v>
                </c:pt>
                <c:pt idx="687">
                  <c:v>47.10930000000068</c:v>
                </c:pt>
                <c:pt idx="688">
                  <c:v>47.109400000000683</c:v>
                </c:pt>
                <c:pt idx="689">
                  <c:v>47.109500000000686</c:v>
                </c:pt>
                <c:pt idx="690">
                  <c:v>47.10960000000069</c:v>
                </c:pt>
                <c:pt idx="691">
                  <c:v>47.109700000000693</c:v>
                </c:pt>
                <c:pt idx="692">
                  <c:v>47.109800000000696</c:v>
                </c:pt>
                <c:pt idx="693">
                  <c:v>47.1099000000007</c:v>
                </c:pt>
                <c:pt idx="694">
                  <c:v>47.110000000000703</c:v>
                </c:pt>
                <c:pt idx="695">
                  <c:v>47.110100000000706</c:v>
                </c:pt>
                <c:pt idx="696">
                  <c:v>47.11020000000071</c:v>
                </c:pt>
                <c:pt idx="697">
                  <c:v>47.110300000000713</c:v>
                </c:pt>
                <c:pt idx="698">
                  <c:v>47.110400000000716</c:v>
                </c:pt>
                <c:pt idx="699">
                  <c:v>47.110500000000719</c:v>
                </c:pt>
                <c:pt idx="700">
                  <c:v>47.110600000000723</c:v>
                </c:pt>
                <c:pt idx="701">
                  <c:v>47.110700000000726</c:v>
                </c:pt>
                <c:pt idx="702">
                  <c:v>47.110800000000729</c:v>
                </c:pt>
                <c:pt idx="703">
                  <c:v>47.110900000000733</c:v>
                </c:pt>
                <c:pt idx="704">
                  <c:v>47.111000000000736</c:v>
                </c:pt>
                <c:pt idx="705">
                  <c:v>47.111100000000739</c:v>
                </c:pt>
                <c:pt idx="706">
                  <c:v>47.111200000000743</c:v>
                </c:pt>
                <c:pt idx="707">
                  <c:v>47.111300000000746</c:v>
                </c:pt>
                <c:pt idx="708">
                  <c:v>47.111400000000749</c:v>
                </c:pt>
                <c:pt idx="709">
                  <c:v>47.111500000000753</c:v>
                </c:pt>
                <c:pt idx="710">
                  <c:v>47.111600000000756</c:v>
                </c:pt>
                <c:pt idx="711">
                  <c:v>47.111700000000759</c:v>
                </c:pt>
                <c:pt idx="712">
                  <c:v>47.111800000000763</c:v>
                </c:pt>
                <c:pt idx="713">
                  <c:v>47.111900000000766</c:v>
                </c:pt>
                <c:pt idx="714">
                  <c:v>47.112000000000769</c:v>
                </c:pt>
                <c:pt idx="715">
                  <c:v>47.112100000000773</c:v>
                </c:pt>
                <c:pt idx="716">
                  <c:v>47.112200000000776</c:v>
                </c:pt>
                <c:pt idx="717">
                  <c:v>47.112300000000779</c:v>
                </c:pt>
                <c:pt idx="718">
                  <c:v>47.112400000000783</c:v>
                </c:pt>
                <c:pt idx="719">
                  <c:v>47.112500000000786</c:v>
                </c:pt>
                <c:pt idx="720">
                  <c:v>47.112600000000789</c:v>
                </c:pt>
                <c:pt idx="721">
                  <c:v>47.112700000000792</c:v>
                </c:pt>
                <c:pt idx="722">
                  <c:v>47.112800000000796</c:v>
                </c:pt>
                <c:pt idx="723">
                  <c:v>47.112900000000799</c:v>
                </c:pt>
                <c:pt idx="724">
                  <c:v>47.113000000000802</c:v>
                </c:pt>
                <c:pt idx="725">
                  <c:v>47.113100000000806</c:v>
                </c:pt>
                <c:pt idx="726">
                  <c:v>47.113200000000809</c:v>
                </c:pt>
                <c:pt idx="727">
                  <c:v>47.113300000000812</c:v>
                </c:pt>
                <c:pt idx="728">
                  <c:v>47.113400000000816</c:v>
                </c:pt>
                <c:pt idx="729">
                  <c:v>47.113500000000819</c:v>
                </c:pt>
                <c:pt idx="730">
                  <c:v>47.113600000000822</c:v>
                </c:pt>
                <c:pt idx="731">
                  <c:v>47.113700000000826</c:v>
                </c:pt>
                <c:pt idx="732">
                  <c:v>47.113800000000829</c:v>
                </c:pt>
                <c:pt idx="733">
                  <c:v>47.113900000000832</c:v>
                </c:pt>
                <c:pt idx="734">
                  <c:v>47.114000000000836</c:v>
                </c:pt>
                <c:pt idx="735">
                  <c:v>47.114100000000839</c:v>
                </c:pt>
                <c:pt idx="736">
                  <c:v>47.114200000000842</c:v>
                </c:pt>
                <c:pt idx="737">
                  <c:v>47.114300000000846</c:v>
                </c:pt>
                <c:pt idx="738">
                  <c:v>47.114400000000849</c:v>
                </c:pt>
                <c:pt idx="739">
                  <c:v>47.114500000000852</c:v>
                </c:pt>
                <c:pt idx="740">
                  <c:v>47.114600000000856</c:v>
                </c:pt>
                <c:pt idx="741">
                  <c:v>47.114700000000859</c:v>
                </c:pt>
                <c:pt idx="742">
                  <c:v>47.114800000000862</c:v>
                </c:pt>
                <c:pt idx="743">
                  <c:v>47.114900000000866</c:v>
                </c:pt>
                <c:pt idx="744">
                  <c:v>47.115000000000869</c:v>
                </c:pt>
                <c:pt idx="745">
                  <c:v>47.115100000000872</c:v>
                </c:pt>
                <c:pt idx="746">
                  <c:v>47.115200000000875</c:v>
                </c:pt>
                <c:pt idx="747">
                  <c:v>47.115300000000879</c:v>
                </c:pt>
                <c:pt idx="748">
                  <c:v>47.115400000000882</c:v>
                </c:pt>
                <c:pt idx="749">
                  <c:v>47.115500000000885</c:v>
                </c:pt>
                <c:pt idx="750">
                  <c:v>47.115600000000889</c:v>
                </c:pt>
                <c:pt idx="751">
                  <c:v>47.115700000000892</c:v>
                </c:pt>
                <c:pt idx="752">
                  <c:v>47.115800000000895</c:v>
                </c:pt>
                <c:pt idx="753">
                  <c:v>47.115900000000899</c:v>
                </c:pt>
                <c:pt idx="754">
                  <c:v>47.116000000000902</c:v>
                </c:pt>
                <c:pt idx="755">
                  <c:v>47.116100000000905</c:v>
                </c:pt>
                <c:pt idx="756">
                  <c:v>47.116200000000909</c:v>
                </c:pt>
                <c:pt idx="757">
                  <c:v>47.116300000000912</c:v>
                </c:pt>
                <c:pt idx="758">
                  <c:v>47.116400000000915</c:v>
                </c:pt>
                <c:pt idx="759">
                  <c:v>47.116500000000919</c:v>
                </c:pt>
                <c:pt idx="760">
                  <c:v>47.116600000000922</c:v>
                </c:pt>
                <c:pt idx="761">
                  <c:v>47.116700000000925</c:v>
                </c:pt>
                <c:pt idx="762">
                  <c:v>47.116800000000929</c:v>
                </c:pt>
                <c:pt idx="763">
                  <c:v>47.116900000000932</c:v>
                </c:pt>
                <c:pt idx="764">
                  <c:v>47.117000000000935</c:v>
                </c:pt>
                <c:pt idx="765">
                  <c:v>47.117100000000939</c:v>
                </c:pt>
                <c:pt idx="766">
                  <c:v>47.117200000000942</c:v>
                </c:pt>
                <c:pt idx="767">
                  <c:v>47.117300000000945</c:v>
                </c:pt>
                <c:pt idx="768">
                  <c:v>47.117400000000949</c:v>
                </c:pt>
                <c:pt idx="769">
                  <c:v>47.117500000000952</c:v>
                </c:pt>
                <c:pt idx="770">
                  <c:v>47.117600000000955</c:v>
                </c:pt>
                <c:pt idx="771">
                  <c:v>47.117700000000958</c:v>
                </c:pt>
                <c:pt idx="772">
                  <c:v>47.117800000000962</c:v>
                </c:pt>
                <c:pt idx="773">
                  <c:v>47.117900000000965</c:v>
                </c:pt>
                <c:pt idx="774">
                  <c:v>47.118000000000968</c:v>
                </c:pt>
                <c:pt idx="775">
                  <c:v>47.118100000000972</c:v>
                </c:pt>
                <c:pt idx="776">
                  <c:v>47.118200000000975</c:v>
                </c:pt>
                <c:pt idx="777">
                  <c:v>47.118300000000978</c:v>
                </c:pt>
                <c:pt idx="778">
                  <c:v>47.118400000000982</c:v>
                </c:pt>
                <c:pt idx="779">
                  <c:v>47.118500000000985</c:v>
                </c:pt>
                <c:pt idx="780">
                  <c:v>47.118600000000988</c:v>
                </c:pt>
                <c:pt idx="781">
                  <c:v>47.118700000000992</c:v>
                </c:pt>
                <c:pt idx="782">
                  <c:v>47.118800000000995</c:v>
                </c:pt>
                <c:pt idx="783">
                  <c:v>47.118900000000998</c:v>
                </c:pt>
                <c:pt idx="784">
                  <c:v>47.119000000001002</c:v>
                </c:pt>
                <c:pt idx="785">
                  <c:v>47.119100000001005</c:v>
                </c:pt>
                <c:pt idx="786">
                  <c:v>47.119200000001008</c:v>
                </c:pt>
                <c:pt idx="787">
                  <c:v>47.119300000001012</c:v>
                </c:pt>
                <c:pt idx="788">
                  <c:v>47.119400000001015</c:v>
                </c:pt>
                <c:pt idx="789">
                  <c:v>47.119500000001018</c:v>
                </c:pt>
                <c:pt idx="790">
                  <c:v>47.119600000001022</c:v>
                </c:pt>
                <c:pt idx="791">
                  <c:v>47.119700000001025</c:v>
                </c:pt>
                <c:pt idx="792">
                  <c:v>47.119800000001028</c:v>
                </c:pt>
                <c:pt idx="793">
                  <c:v>47.119900000001032</c:v>
                </c:pt>
                <c:pt idx="794">
                  <c:v>47.120000000001035</c:v>
                </c:pt>
                <c:pt idx="795">
                  <c:v>47.120100000001038</c:v>
                </c:pt>
                <c:pt idx="796">
                  <c:v>47.120200000001041</c:v>
                </c:pt>
                <c:pt idx="797">
                  <c:v>47.120300000001045</c:v>
                </c:pt>
                <c:pt idx="798">
                  <c:v>47.120400000001048</c:v>
                </c:pt>
                <c:pt idx="799">
                  <c:v>47.120500000001051</c:v>
                </c:pt>
                <c:pt idx="800">
                  <c:v>47.120600000001055</c:v>
                </c:pt>
                <c:pt idx="801">
                  <c:v>47.120700000001058</c:v>
                </c:pt>
                <c:pt idx="802">
                  <c:v>47.120800000001061</c:v>
                </c:pt>
                <c:pt idx="803">
                  <c:v>47.120900000001065</c:v>
                </c:pt>
                <c:pt idx="804">
                  <c:v>47.121000000001068</c:v>
                </c:pt>
                <c:pt idx="805">
                  <c:v>47.121100000001071</c:v>
                </c:pt>
                <c:pt idx="806">
                  <c:v>47.121200000001075</c:v>
                </c:pt>
                <c:pt idx="807">
                  <c:v>47.121300000001078</c:v>
                </c:pt>
                <c:pt idx="808">
                  <c:v>47.121400000001081</c:v>
                </c:pt>
                <c:pt idx="809">
                  <c:v>47.121500000001085</c:v>
                </c:pt>
                <c:pt idx="810">
                  <c:v>47.121600000001088</c:v>
                </c:pt>
                <c:pt idx="811">
                  <c:v>47.121700000001091</c:v>
                </c:pt>
                <c:pt idx="812">
                  <c:v>47.121800000001095</c:v>
                </c:pt>
                <c:pt idx="813">
                  <c:v>47.121900000001098</c:v>
                </c:pt>
                <c:pt idx="814">
                  <c:v>47.122000000001101</c:v>
                </c:pt>
                <c:pt idx="815">
                  <c:v>47.122100000001105</c:v>
                </c:pt>
                <c:pt idx="816">
                  <c:v>47.122200000001108</c:v>
                </c:pt>
                <c:pt idx="817">
                  <c:v>47.122300000001111</c:v>
                </c:pt>
                <c:pt idx="818">
                  <c:v>47.122400000001115</c:v>
                </c:pt>
                <c:pt idx="819">
                  <c:v>47.122500000001118</c:v>
                </c:pt>
                <c:pt idx="820">
                  <c:v>47.122600000001121</c:v>
                </c:pt>
                <c:pt idx="821">
                  <c:v>47.122700000001124</c:v>
                </c:pt>
                <c:pt idx="822">
                  <c:v>47.122800000001128</c:v>
                </c:pt>
                <c:pt idx="823">
                  <c:v>47.122900000001131</c:v>
                </c:pt>
                <c:pt idx="824">
                  <c:v>47.123000000001134</c:v>
                </c:pt>
                <c:pt idx="825">
                  <c:v>47.123100000001138</c:v>
                </c:pt>
                <c:pt idx="826">
                  <c:v>47.123200000001141</c:v>
                </c:pt>
                <c:pt idx="827">
                  <c:v>47.123300000001144</c:v>
                </c:pt>
                <c:pt idx="828">
                  <c:v>47.123400000001148</c:v>
                </c:pt>
                <c:pt idx="829">
                  <c:v>47.123500000001151</c:v>
                </c:pt>
                <c:pt idx="830">
                  <c:v>47.123600000001154</c:v>
                </c:pt>
                <c:pt idx="831">
                  <c:v>47.123700000001158</c:v>
                </c:pt>
                <c:pt idx="832">
                  <c:v>47.123800000001161</c:v>
                </c:pt>
                <c:pt idx="833">
                  <c:v>47.123900000001164</c:v>
                </c:pt>
                <c:pt idx="834">
                  <c:v>47.124000000001168</c:v>
                </c:pt>
                <c:pt idx="835">
                  <c:v>47.124100000001171</c:v>
                </c:pt>
                <c:pt idx="836">
                  <c:v>47.124200000001174</c:v>
                </c:pt>
                <c:pt idx="837">
                  <c:v>47.124300000001178</c:v>
                </c:pt>
                <c:pt idx="838">
                  <c:v>47.124400000001181</c:v>
                </c:pt>
                <c:pt idx="839">
                  <c:v>47.124500000001184</c:v>
                </c:pt>
                <c:pt idx="840">
                  <c:v>47.124600000001188</c:v>
                </c:pt>
                <c:pt idx="841">
                  <c:v>47.124700000001191</c:v>
                </c:pt>
                <c:pt idx="842">
                  <c:v>47.124800000001194</c:v>
                </c:pt>
                <c:pt idx="843">
                  <c:v>47.124900000001197</c:v>
                </c:pt>
                <c:pt idx="844">
                  <c:v>47.125000000001201</c:v>
                </c:pt>
                <c:pt idx="845">
                  <c:v>47.125100000001204</c:v>
                </c:pt>
                <c:pt idx="846">
                  <c:v>47.125200000001207</c:v>
                </c:pt>
                <c:pt idx="847">
                  <c:v>47.125300000001211</c:v>
                </c:pt>
                <c:pt idx="848">
                  <c:v>47.125400000001214</c:v>
                </c:pt>
                <c:pt idx="849">
                  <c:v>47.125500000001217</c:v>
                </c:pt>
                <c:pt idx="850">
                  <c:v>47.125600000001221</c:v>
                </c:pt>
                <c:pt idx="851">
                  <c:v>47.125700000001224</c:v>
                </c:pt>
                <c:pt idx="852">
                  <c:v>47.125800000001227</c:v>
                </c:pt>
                <c:pt idx="853">
                  <c:v>47.125900000001231</c:v>
                </c:pt>
                <c:pt idx="854">
                  <c:v>47.126000000001234</c:v>
                </c:pt>
                <c:pt idx="855">
                  <c:v>47.126100000001237</c:v>
                </c:pt>
                <c:pt idx="856">
                  <c:v>47.126200000001241</c:v>
                </c:pt>
                <c:pt idx="857">
                  <c:v>47.126300000001244</c:v>
                </c:pt>
                <c:pt idx="858">
                  <c:v>47.126400000001247</c:v>
                </c:pt>
                <c:pt idx="859">
                  <c:v>47.126500000001251</c:v>
                </c:pt>
                <c:pt idx="860">
                  <c:v>47.126600000001254</c:v>
                </c:pt>
                <c:pt idx="861">
                  <c:v>47.126700000001257</c:v>
                </c:pt>
                <c:pt idx="862">
                  <c:v>47.126800000001261</c:v>
                </c:pt>
                <c:pt idx="863">
                  <c:v>47.126900000001264</c:v>
                </c:pt>
                <c:pt idx="864">
                  <c:v>47.127000000001267</c:v>
                </c:pt>
                <c:pt idx="865">
                  <c:v>47.127100000001271</c:v>
                </c:pt>
                <c:pt idx="866">
                  <c:v>47.127200000001274</c:v>
                </c:pt>
                <c:pt idx="867">
                  <c:v>47.127300000001277</c:v>
                </c:pt>
                <c:pt idx="868">
                  <c:v>47.12740000000128</c:v>
                </c:pt>
                <c:pt idx="869">
                  <c:v>47.127500000001284</c:v>
                </c:pt>
                <c:pt idx="870">
                  <c:v>47.127600000001287</c:v>
                </c:pt>
                <c:pt idx="871">
                  <c:v>47.12770000000129</c:v>
                </c:pt>
                <c:pt idx="872">
                  <c:v>47.127800000001294</c:v>
                </c:pt>
                <c:pt idx="873">
                  <c:v>47.127900000001297</c:v>
                </c:pt>
                <c:pt idx="874">
                  <c:v>47.1280000000013</c:v>
                </c:pt>
                <c:pt idx="875">
                  <c:v>47.128100000001304</c:v>
                </c:pt>
                <c:pt idx="876">
                  <c:v>47.128200000001307</c:v>
                </c:pt>
                <c:pt idx="877">
                  <c:v>47.12830000000131</c:v>
                </c:pt>
                <c:pt idx="878">
                  <c:v>47.128400000001314</c:v>
                </c:pt>
                <c:pt idx="879">
                  <c:v>47.128500000001317</c:v>
                </c:pt>
                <c:pt idx="880">
                  <c:v>47.12860000000132</c:v>
                </c:pt>
                <c:pt idx="881">
                  <c:v>47.128700000001324</c:v>
                </c:pt>
                <c:pt idx="882">
                  <c:v>47.128800000001327</c:v>
                </c:pt>
                <c:pt idx="883">
                  <c:v>47.12890000000133</c:v>
                </c:pt>
                <c:pt idx="884">
                  <c:v>47.129000000001334</c:v>
                </c:pt>
                <c:pt idx="885">
                  <c:v>47.129100000001337</c:v>
                </c:pt>
                <c:pt idx="886">
                  <c:v>47.12920000000134</c:v>
                </c:pt>
                <c:pt idx="887">
                  <c:v>47.129300000001344</c:v>
                </c:pt>
                <c:pt idx="888">
                  <c:v>47.129400000001347</c:v>
                </c:pt>
                <c:pt idx="889">
                  <c:v>47.12950000000135</c:v>
                </c:pt>
                <c:pt idx="890">
                  <c:v>47.129600000001354</c:v>
                </c:pt>
                <c:pt idx="891">
                  <c:v>47.129700000001357</c:v>
                </c:pt>
                <c:pt idx="892">
                  <c:v>47.12980000000136</c:v>
                </c:pt>
                <c:pt idx="893">
                  <c:v>47.129900000001363</c:v>
                </c:pt>
                <c:pt idx="894">
                  <c:v>47.130000000001367</c:v>
                </c:pt>
                <c:pt idx="895">
                  <c:v>47.13010000000137</c:v>
                </c:pt>
                <c:pt idx="896">
                  <c:v>47.130200000001373</c:v>
                </c:pt>
                <c:pt idx="897">
                  <c:v>47.130300000001377</c:v>
                </c:pt>
                <c:pt idx="898">
                  <c:v>47.13040000000138</c:v>
                </c:pt>
                <c:pt idx="899">
                  <c:v>47.130500000001383</c:v>
                </c:pt>
                <c:pt idx="900">
                  <c:v>47.130600000001387</c:v>
                </c:pt>
                <c:pt idx="901">
                  <c:v>47.13070000000139</c:v>
                </c:pt>
                <c:pt idx="902">
                  <c:v>47.130800000001393</c:v>
                </c:pt>
                <c:pt idx="903">
                  <c:v>47.130900000001397</c:v>
                </c:pt>
                <c:pt idx="904">
                  <c:v>47.1310000000014</c:v>
                </c:pt>
                <c:pt idx="905">
                  <c:v>47.131100000001403</c:v>
                </c:pt>
                <c:pt idx="906">
                  <c:v>47.131200000001407</c:v>
                </c:pt>
                <c:pt idx="907">
                  <c:v>47.13130000000141</c:v>
                </c:pt>
                <c:pt idx="908">
                  <c:v>47.131400000001413</c:v>
                </c:pt>
                <c:pt idx="909">
                  <c:v>47.131500000001417</c:v>
                </c:pt>
                <c:pt idx="910">
                  <c:v>47.13160000000142</c:v>
                </c:pt>
                <c:pt idx="911">
                  <c:v>47.131700000001423</c:v>
                </c:pt>
                <c:pt idx="912">
                  <c:v>47.131800000001427</c:v>
                </c:pt>
                <c:pt idx="913">
                  <c:v>47.13190000000143</c:v>
                </c:pt>
                <c:pt idx="914">
                  <c:v>47.132000000001433</c:v>
                </c:pt>
                <c:pt idx="915">
                  <c:v>47.132100000001437</c:v>
                </c:pt>
                <c:pt idx="916">
                  <c:v>47.13220000000144</c:v>
                </c:pt>
                <c:pt idx="917">
                  <c:v>47.132300000001443</c:v>
                </c:pt>
                <c:pt idx="918">
                  <c:v>47.132400000001446</c:v>
                </c:pt>
                <c:pt idx="919">
                  <c:v>47.13250000000145</c:v>
                </c:pt>
                <c:pt idx="920">
                  <c:v>47.132600000001453</c:v>
                </c:pt>
                <c:pt idx="921">
                  <c:v>47.132700000001456</c:v>
                </c:pt>
                <c:pt idx="922">
                  <c:v>47.13280000000146</c:v>
                </c:pt>
                <c:pt idx="923">
                  <c:v>47.132900000001463</c:v>
                </c:pt>
                <c:pt idx="924">
                  <c:v>47.133000000001466</c:v>
                </c:pt>
                <c:pt idx="925">
                  <c:v>47.13310000000147</c:v>
                </c:pt>
                <c:pt idx="926">
                  <c:v>47.133200000001473</c:v>
                </c:pt>
                <c:pt idx="927">
                  <c:v>47.133300000001476</c:v>
                </c:pt>
                <c:pt idx="928">
                  <c:v>47.13340000000148</c:v>
                </c:pt>
                <c:pt idx="929">
                  <c:v>47.133500000001483</c:v>
                </c:pt>
                <c:pt idx="930">
                  <c:v>47.133600000001486</c:v>
                </c:pt>
                <c:pt idx="931">
                  <c:v>47.13370000000149</c:v>
                </c:pt>
                <c:pt idx="932">
                  <c:v>47.133800000001493</c:v>
                </c:pt>
                <c:pt idx="933">
                  <c:v>47.133900000001496</c:v>
                </c:pt>
                <c:pt idx="934">
                  <c:v>47.1340000000015</c:v>
                </c:pt>
                <c:pt idx="935">
                  <c:v>47.134100000001503</c:v>
                </c:pt>
                <c:pt idx="936">
                  <c:v>47.134200000001506</c:v>
                </c:pt>
                <c:pt idx="937">
                  <c:v>47.13430000000151</c:v>
                </c:pt>
                <c:pt idx="938">
                  <c:v>47.134400000001513</c:v>
                </c:pt>
                <c:pt idx="939">
                  <c:v>47.134500000001516</c:v>
                </c:pt>
                <c:pt idx="940">
                  <c:v>47.13460000000152</c:v>
                </c:pt>
                <c:pt idx="941">
                  <c:v>47.134700000001523</c:v>
                </c:pt>
                <c:pt idx="942">
                  <c:v>47.134800000001526</c:v>
                </c:pt>
                <c:pt idx="943">
                  <c:v>47.134900000001529</c:v>
                </c:pt>
                <c:pt idx="944">
                  <c:v>47.135000000001533</c:v>
                </c:pt>
                <c:pt idx="945">
                  <c:v>47.135100000001536</c:v>
                </c:pt>
                <c:pt idx="946">
                  <c:v>47.135200000001539</c:v>
                </c:pt>
                <c:pt idx="947">
                  <c:v>47.135300000001543</c:v>
                </c:pt>
                <c:pt idx="948">
                  <c:v>47.135400000001546</c:v>
                </c:pt>
                <c:pt idx="949">
                  <c:v>47.135500000001549</c:v>
                </c:pt>
                <c:pt idx="950">
                  <c:v>47.135600000001553</c:v>
                </c:pt>
                <c:pt idx="951">
                  <c:v>47.135700000001556</c:v>
                </c:pt>
                <c:pt idx="952">
                  <c:v>47.135800000001559</c:v>
                </c:pt>
                <c:pt idx="953">
                  <c:v>47.135900000001563</c:v>
                </c:pt>
                <c:pt idx="954">
                  <c:v>47.136000000001566</c:v>
                </c:pt>
                <c:pt idx="955">
                  <c:v>47.136100000001569</c:v>
                </c:pt>
                <c:pt idx="956">
                  <c:v>47.136200000001573</c:v>
                </c:pt>
                <c:pt idx="957">
                  <c:v>47.136300000001576</c:v>
                </c:pt>
                <c:pt idx="958">
                  <c:v>47.136400000001579</c:v>
                </c:pt>
                <c:pt idx="959">
                  <c:v>47.136500000001583</c:v>
                </c:pt>
                <c:pt idx="960">
                  <c:v>47.136600000001586</c:v>
                </c:pt>
                <c:pt idx="961">
                  <c:v>47.136700000001589</c:v>
                </c:pt>
                <c:pt idx="962">
                  <c:v>47.136800000001593</c:v>
                </c:pt>
                <c:pt idx="963">
                  <c:v>47.136900000001596</c:v>
                </c:pt>
                <c:pt idx="964">
                  <c:v>47.137000000001599</c:v>
                </c:pt>
                <c:pt idx="965">
                  <c:v>47.137100000001602</c:v>
                </c:pt>
                <c:pt idx="966">
                  <c:v>47.137200000001606</c:v>
                </c:pt>
                <c:pt idx="967">
                  <c:v>47.137300000001609</c:v>
                </c:pt>
                <c:pt idx="968">
                  <c:v>47.137400000001612</c:v>
                </c:pt>
                <c:pt idx="969">
                  <c:v>47.137500000001616</c:v>
                </c:pt>
                <c:pt idx="970">
                  <c:v>47.137600000001619</c:v>
                </c:pt>
                <c:pt idx="971">
                  <c:v>47.137700000001622</c:v>
                </c:pt>
                <c:pt idx="972">
                  <c:v>47.137800000001626</c:v>
                </c:pt>
                <c:pt idx="973">
                  <c:v>47.137900000001629</c:v>
                </c:pt>
                <c:pt idx="974">
                  <c:v>47.138000000001632</c:v>
                </c:pt>
                <c:pt idx="975">
                  <c:v>47.138100000001636</c:v>
                </c:pt>
                <c:pt idx="976">
                  <c:v>47.138200000001639</c:v>
                </c:pt>
                <c:pt idx="977">
                  <c:v>47.138300000001642</c:v>
                </c:pt>
                <c:pt idx="978">
                  <c:v>47.138400000001646</c:v>
                </c:pt>
                <c:pt idx="979">
                  <c:v>47.138500000001649</c:v>
                </c:pt>
                <c:pt idx="980">
                  <c:v>47.138600000001652</c:v>
                </c:pt>
                <c:pt idx="981">
                  <c:v>47.138700000001656</c:v>
                </c:pt>
                <c:pt idx="982">
                  <c:v>47.138800000001659</c:v>
                </c:pt>
                <c:pt idx="983">
                  <c:v>47.138900000001662</c:v>
                </c:pt>
                <c:pt idx="984">
                  <c:v>47.139000000001666</c:v>
                </c:pt>
                <c:pt idx="985">
                  <c:v>47.139100000001669</c:v>
                </c:pt>
                <c:pt idx="986">
                  <c:v>47.139200000001672</c:v>
                </c:pt>
                <c:pt idx="987">
                  <c:v>47.139300000001676</c:v>
                </c:pt>
                <c:pt idx="988">
                  <c:v>47.139400000001679</c:v>
                </c:pt>
                <c:pt idx="989">
                  <c:v>47.139500000001682</c:v>
                </c:pt>
                <c:pt idx="990">
                  <c:v>47.139600000001685</c:v>
                </c:pt>
                <c:pt idx="991">
                  <c:v>47.139700000001689</c:v>
                </c:pt>
                <c:pt idx="992">
                  <c:v>47.139800000001692</c:v>
                </c:pt>
                <c:pt idx="993">
                  <c:v>47.139900000001695</c:v>
                </c:pt>
                <c:pt idx="994">
                  <c:v>47.140000000001699</c:v>
                </c:pt>
                <c:pt idx="995">
                  <c:v>47.140100000001702</c:v>
                </c:pt>
                <c:pt idx="996">
                  <c:v>47.140200000001705</c:v>
                </c:pt>
                <c:pt idx="997">
                  <c:v>47.140300000001709</c:v>
                </c:pt>
                <c:pt idx="998">
                  <c:v>47.140400000001712</c:v>
                </c:pt>
                <c:pt idx="999">
                  <c:v>47.140500000001715</c:v>
                </c:pt>
                <c:pt idx="1000">
                  <c:v>47.140600000001719</c:v>
                </c:pt>
              </c:numCache>
            </c:numRef>
          </c:xVal>
          <c:yVal>
            <c:numRef>
              <c:f>Calculs!$T$4:$T$1004</c:f>
              <c:numCache>
                <c:formatCode>0.00</c:formatCode>
                <c:ptCount val="1001"/>
                <c:pt idx="0">
                  <c:v>21.188618999999999</c:v>
                </c:pt>
                <c:pt idx="1">
                  <c:v>21.185364840353831</c:v>
                </c:pt>
                <c:pt idx="2">
                  <c:v>21.175602361415333</c:v>
                </c:pt>
                <c:pt idx="3">
                  <c:v>21.16310638837405</c:v>
                </c:pt>
                <c:pt idx="4">
                  <c:v>21.151651746419542</c:v>
                </c:pt>
                <c:pt idx="5">
                  <c:v>21.14074021248874</c:v>
                </c:pt>
                <c:pt idx="6">
                  <c:v>21.129873563518576</c:v>
                </c:pt>
                <c:pt idx="7">
                  <c:v>21.119051799509048</c:v>
                </c:pt>
                <c:pt idx="8">
                  <c:v>21.108274920460154</c:v>
                </c:pt>
                <c:pt idx="9">
                  <c:v>21.097542926371897</c:v>
                </c:pt>
                <c:pt idx="10">
                  <c:v>21.086855817244277</c:v>
                </c:pt>
                <c:pt idx="11">
                  <c:v>21.076213593077298</c:v>
                </c:pt>
                <c:pt idx="12">
                  <c:v>21.065616253870949</c:v>
                </c:pt>
                <c:pt idx="13">
                  <c:v>21.055063799625241</c:v>
                </c:pt>
                <c:pt idx="14">
                  <c:v>21.04455623034017</c:v>
                </c:pt>
                <c:pt idx="15">
                  <c:v>21.034093546015736</c:v>
                </c:pt>
                <c:pt idx="16">
                  <c:v>21.023675746651936</c:v>
                </c:pt>
                <c:pt idx="17">
                  <c:v>21.013302832248776</c:v>
                </c:pt>
                <c:pt idx="18">
                  <c:v>21.00297480280625</c:v>
                </c:pt>
                <c:pt idx="19">
                  <c:v>20.992691658324361</c:v>
                </c:pt>
                <c:pt idx="20">
                  <c:v>20.982453398803109</c:v>
                </c:pt>
                <c:pt idx="21">
                  <c:v>20.972260024242495</c:v>
                </c:pt>
                <c:pt idx="22">
                  <c:v>20.962111534642521</c:v>
                </c:pt>
                <c:pt idx="23">
                  <c:v>20.95200793000318</c:v>
                </c:pt>
                <c:pt idx="24">
                  <c:v>20.941949210324481</c:v>
                </c:pt>
                <c:pt idx="25">
                  <c:v>20.931935375606415</c:v>
                </c:pt>
                <c:pt idx="26">
                  <c:v>20.921966425848986</c:v>
                </c:pt>
                <c:pt idx="27">
                  <c:v>20.912042361052194</c:v>
                </c:pt>
                <c:pt idx="28">
                  <c:v>20.902163181216039</c:v>
                </c:pt>
                <c:pt idx="29">
                  <c:v>20.892328886340518</c:v>
                </c:pt>
                <c:pt idx="30">
                  <c:v>20.882539476425638</c:v>
                </c:pt>
                <c:pt idx="31">
                  <c:v>20.872794951471395</c:v>
                </c:pt>
                <c:pt idx="32">
                  <c:v>20.863095311477785</c:v>
                </c:pt>
                <c:pt idx="33">
                  <c:v>20.853440556444813</c:v>
                </c:pt>
                <c:pt idx="34">
                  <c:v>20.843830686372481</c:v>
                </c:pt>
                <c:pt idx="35">
                  <c:v>20.834265701260783</c:v>
                </c:pt>
                <c:pt idx="36">
                  <c:v>20.824745601109722</c:v>
                </c:pt>
                <c:pt idx="37">
                  <c:v>20.815270385919295</c:v>
                </c:pt>
                <c:pt idx="38">
                  <c:v>20.805840055689508</c:v>
                </c:pt>
                <c:pt idx="39">
                  <c:v>20.796454610420358</c:v>
                </c:pt>
                <c:pt idx="40">
                  <c:v>20.787114050111846</c:v>
                </c:pt>
                <c:pt idx="41">
                  <c:v>20.777818374763967</c:v>
                </c:pt>
                <c:pt idx="42">
                  <c:v>20.768567584376726</c:v>
                </c:pt>
                <c:pt idx="43">
                  <c:v>20.759361678950121</c:v>
                </c:pt>
                <c:pt idx="44">
                  <c:v>20.750200658484157</c:v>
                </c:pt>
                <c:pt idx="45">
                  <c:v>20.741084522978824</c:v>
                </c:pt>
                <c:pt idx="46">
                  <c:v>20.732013272434134</c:v>
                </c:pt>
                <c:pt idx="47">
                  <c:v>20.722986906850075</c:v>
                </c:pt>
                <c:pt idx="48">
                  <c:v>20.714005426226656</c:v>
                </c:pt>
                <c:pt idx="49">
                  <c:v>20.705068830563871</c:v>
                </c:pt>
                <c:pt idx="50">
                  <c:v>20.696177119861726</c:v>
                </c:pt>
                <c:pt idx="51">
                  <c:v>20.687330294120216</c:v>
                </c:pt>
                <c:pt idx="52">
                  <c:v>20.678528353339345</c:v>
                </c:pt>
                <c:pt idx="53">
                  <c:v>20.669771297519105</c:v>
                </c:pt>
                <c:pt idx="54">
                  <c:v>20.661059126659509</c:v>
                </c:pt>
                <c:pt idx="55">
                  <c:v>20.652391840760544</c:v>
                </c:pt>
                <c:pt idx="56">
                  <c:v>20.643769439822218</c:v>
                </c:pt>
                <c:pt idx="57">
                  <c:v>20.63519192384453</c:v>
                </c:pt>
                <c:pt idx="58">
                  <c:v>20.62665929282748</c:v>
                </c:pt>
                <c:pt idx="59">
                  <c:v>20.618171546771062</c:v>
                </c:pt>
                <c:pt idx="60">
                  <c:v>20.609728685675282</c:v>
                </c:pt>
                <c:pt idx="61">
                  <c:v>20.601330709540139</c:v>
                </c:pt>
                <c:pt idx="62">
                  <c:v>20.592977618365637</c:v>
                </c:pt>
                <c:pt idx="63">
                  <c:v>20.584712052864376</c:v>
                </c:pt>
                <c:pt idx="64">
                  <c:v>20.576576653748958</c:v>
                </c:pt>
                <c:pt idx="65">
                  <c:v>20.568571421019385</c:v>
                </c:pt>
                <c:pt idx="66">
                  <c:v>20.56069635467566</c:v>
                </c:pt>
                <c:pt idx="67">
                  <c:v>20.552990504633538</c:v>
                </c:pt>
                <c:pt idx="68">
                  <c:v>20.545492920808769</c:v>
                </c:pt>
                <c:pt idx="69">
                  <c:v>20.538273025273806</c:v>
                </c:pt>
                <c:pt idx="70">
                  <c:v>20.531400240101103</c:v>
                </c:pt>
                <c:pt idx="71">
                  <c:v>20.524874565290656</c:v>
                </c:pt>
                <c:pt idx="72">
                  <c:v>20.518696000842464</c:v>
                </c:pt>
                <c:pt idx="73">
                  <c:v>20.512864546756532</c:v>
                </c:pt>
                <c:pt idx="74">
                  <c:v>20.507380203032859</c:v>
                </c:pt>
                <c:pt idx="75">
                  <c:v>20.502242969671443</c:v>
                </c:pt>
                <c:pt idx="76">
                  <c:v>20.497452846672282</c:v>
                </c:pt>
                <c:pt idx="77">
                  <c:v>20.49300983403538</c:v>
                </c:pt>
                <c:pt idx="78">
                  <c:v>20.488913931760734</c:v>
                </c:pt>
                <c:pt idx="79">
                  <c:v>20.485165139848348</c:v>
                </c:pt>
                <c:pt idx="80">
                  <c:v>20.481763458298222</c:v>
                </c:pt>
                <c:pt idx="81">
                  <c:v>20.478626448399314</c:v>
                </c:pt>
                <c:pt idx="82">
                  <c:v>20.475671671440594</c:v>
                </c:pt>
                <c:pt idx="83">
                  <c:v>20.472899127422057</c:v>
                </c:pt>
                <c:pt idx="84">
                  <c:v>20.47030881634371</c:v>
                </c:pt>
                <c:pt idx="85">
                  <c:v>20.46790073820555</c:v>
                </c:pt>
                <c:pt idx="86">
                  <c:v>20.46567489300757</c:v>
                </c:pt>
                <c:pt idx="87">
                  <c:v>20.463631280749777</c:v>
                </c:pt>
                <c:pt idx="88">
                  <c:v>20.46176990143217</c:v>
                </c:pt>
                <c:pt idx="89">
                  <c:v>20.460064721777577</c:v>
                </c:pt>
                <c:pt idx="90">
                  <c:v>20.458489708508832</c:v>
                </c:pt>
                <c:pt idx="91">
                  <c:v>20.457044861625935</c:v>
                </c:pt>
                <c:pt idx="92">
                  <c:v>20.455730181128882</c:v>
                </c:pt>
                <c:pt idx="93">
                  <c:v>20.454539158698385</c:v>
                </c:pt>
                <c:pt idx="94">
                  <c:v>20.453465286015149</c:v>
                </c:pt>
                <c:pt idx="95">
                  <c:v>20.452508563079178</c:v>
                </c:pt>
                <c:pt idx="96">
                  <c:v>20.451668989890468</c:v>
                </c:pt>
                <c:pt idx="97">
                  <c:v>20.45092053317185</c:v>
                </c:pt>
                <c:pt idx="98">
                  <c:v>20.450237159646154</c:v>
                </c:pt>
                <c:pt idx="99">
                  <c:v>20.449618869313383</c:v>
                </c:pt>
                <c:pt idx="100">
                  <c:v>20.449065662173535</c:v>
                </c:pt>
                <c:pt idx="101">
                  <c:v>20.448577538226608</c:v>
                </c:pt>
                <c:pt idx="102">
                  <c:v>20.448154497472608</c:v>
                </c:pt>
                <c:pt idx="103">
                  <c:v>20.447796539911529</c:v>
                </c:pt>
                <c:pt idx="104">
                  <c:v>20.447503665543373</c:v>
                </c:pt>
                <c:pt idx="105">
                  <c:v>20.447275874368142</c:v>
                </c:pt>
                <c:pt idx="106">
                  <c:v>20.447113166385833</c:v>
                </c:pt>
                <c:pt idx="107">
                  <c:v>20.447015541596446</c:v>
                </c:pt>
                <c:pt idx="108">
                  <c:v>20.446982999999985</c:v>
                </c:pt>
                <c:pt idx="109">
                  <c:v>20.446982999999985</c:v>
                </c:pt>
                <c:pt idx="110">
                  <c:v>20.446982999999985</c:v>
                </c:pt>
                <c:pt idx="111">
                  <c:v>20.446982999999985</c:v>
                </c:pt>
                <c:pt idx="112">
                  <c:v>20.446982999999985</c:v>
                </c:pt>
                <c:pt idx="113">
                  <c:v>20.446982999999985</c:v>
                </c:pt>
                <c:pt idx="114">
                  <c:v>20.446982999999985</c:v>
                </c:pt>
                <c:pt idx="115">
                  <c:v>20.446982999999985</c:v>
                </c:pt>
                <c:pt idx="116">
                  <c:v>20.446982999999985</c:v>
                </c:pt>
                <c:pt idx="117">
                  <c:v>20.446982999999985</c:v>
                </c:pt>
                <c:pt idx="118">
                  <c:v>20.446982999999985</c:v>
                </c:pt>
                <c:pt idx="119">
                  <c:v>20.446982999999985</c:v>
                </c:pt>
                <c:pt idx="120">
                  <c:v>20.446982999999985</c:v>
                </c:pt>
                <c:pt idx="121">
                  <c:v>20.446982999999985</c:v>
                </c:pt>
                <c:pt idx="122">
                  <c:v>20.446982999999985</c:v>
                </c:pt>
                <c:pt idx="123">
                  <c:v>20.446982999999985</c:v>
                </c:pt>
                <c:pt idx="124">
                  <c:v>20.446982999999985</c:v>
                </c:pt>
                <c:pt idx="125">
                  <c:v>20.446982999999985</c:v>
                </c:pt>
                <c:pt idx="126">
                  <c:v>20.446982999999985</c:v>
                </c:pt>
                <c:pt idx="127">
                  <c:v>20.446982999999985</c:v>
                </c:pt>
                <c:pt idx="128">
                  <c:v>20.446982999999985</c:v>
                </c:pt>
                <c:pt idx="129">
                  <c:v>20.446982999999985</c:v>
                </c:pt>
                <c:pt idx="130">
                  <c:v>20.446982999999985</c:v>
                </c:pt>
                <c:pt idx="131">
                  <c:v>20.446982999999985</c:v>
                </c:pt>
                <c:pt idx="132">
                  <c:v>20.446982999999985</c:v>
                </c:pt>
                <c:pt idx="133">
                  <c:v>20.446982999999985</c:v>
                </c:pt>
                <c:pt idx="134">
                  <c:v>20.446982999999985</c:v>
                </c:pt>
                <c:pt idx="135">
                  <c:v>20.446982999999985</c:v>
                </c:pt>
                <c:pt idx="136">
                  <c:v>20.446982999999985</c:v>
                </c:pt>
                <c:pt idx="137">
                  <c:v>20.446982999999985</c:v>
                </c:pt>
                <c:pt idx="138">
                  <c:v>20.446982999999985</c:v>
                </c:pt>
                <c:pt idx="139">
                  <c:v>20.446982999999985</c:v>
                </c:pt>
                <c:pt idx="140">
                  <c:v>20.446982999999985</c:v>
                </c:pt>
                <c:pt idx="141">
                  <c:v>20.446982999999985</c:v>
                </c:pt>
                <c:pt idx="142">
                  <c:v>20.446982999999985</c:v>
                </c:pt>
                <c:pt idx="143">
                  <c:v>20.446982999999985</c:v>
                </c:pt>
                <c:pt idx="144">
                  <c:v>20.446982999999985</c:v>
                </c:pt>
                <c:pt idx="145">
                  <c:v>20.446982999999985</c:v>
                </c:pt>
                <c:pt idx="146">
                  <c:v>20.446982999999985</c:v>
                </c:pt>
                <c:pt idx="147">
                  <c:v>20.446982999999985</c:v>
                </c:pt>
                <c:pt idx="148">
                  <c:v>20.446982999999985</c:v>
                </c:pt>
                <c:pt idx="149">
                  <c:v>20.446982999999985</c:v>
                </c:pt>
                <c:pt idx="150">
                  <c:v>20.446982999999985</c:v>
                </c:pt>
                <c:pt idx="151">
                  <c:v>20.446982999999985</c:v>
                </c:pt>
                <c:pt idx="152">
                  <c:v>20.446982999999985</c:v>
                </c:pt>
                <c:pt idx="153">
                  <c:v>20.446982999999985</c:v>
                </c:pt>
                <c:pt idx="154">
                  <c:v>20.446982999999985</c:v>
                </c:pt>
                <c:pt idx="155">
                  <c:v>20.446982999999985</c:v>
                </c:pt>
                <c:pt idx="156">
                  <c:v>20.446982999999985</c:v>
                </c:pt>
                <c:pt idx="157">
                  <c:v>20.446982999999985</c:v>
                </c:pt>
                <c:pt idx="158">
                  <c:v>20.446982999999985</c:v>
                </c:pt>
                <c:pt idx="159">
                  <c:v>20.446982999999985</c:v>
                </c:pt>
                <c:pt idx="160">
                  <c:v>20.446982999999985</c:v>
                </c:pt>
                <c:pt idx="161">
                  <c:v>20.446982999999985</c:v>
                </c:pt>
                <c:pt idx="162">
                  <c:v>20.446982999999985</c:v>
                </c:pt>
                <c:pt idx="163">
                  <c:v>20.446982999999985</c:v>
                </c:pt>
                <c:pt idx="164">
                  <c:v>20.446982999999985</c:v>
                </c:pt>
                <c:pt idx="165">
                  <c:v>20.446982999999985</c:v>
                </c:pt>
                <c:pt idx="166">
                  <c:v>20.446982999999985</c:v>
                </c:pt>
                <c:pt idx="167">
                  <c:v>20.446982999999985</c:v>
                </c:pt>
                <c:pt idx="168">
                  <c:v>20.446982999999985</c:v>
                </c:pt>
                <c:pt idx="169">
                  <c:v>20.446982999999985</c:v>
                </c:pt>
                <c:pt idx="170">
                  <c:v>20.446982999999985</c:v>
                </c:pt>
                <c:pt idx="171">
                  <c:v>20.446982999999985</c:v>
                </c:pt>
                <c:pt idx="172">
                  <c:v>20.446982999999985</c:v>
                </c:pt>
                <c:pt idx="173">
                  <c:v>20.446982999999985</c:v>
                </c:pt>
                <c:pt idx="174">
                  <c:v>20.446982999999985</c:v>
                </c:pt>
                <c:pt idx="175">
                  <c:v>20.446982999999985</c:v>
                </c:pt>
                <c:pt idx="176">
                  <c:v>20.446982999999985</c:v>
                </c:pt>
                <c:pt idx="177">
                  <c:v>20.446982999999985</c:v>
                </c:pt>
                <c:pt idx="178">
                  <c:v>20.446982999999985</c:v>
                </c:pt>
                <c:pt idx="179">
                  <c:v>20.446982999999985</c:v>
                </c:pt>
                <c:pt idx="180">
                  <c:v>20.446982999999985</c:v>
                </c:pt>
                <c:pt idx="181">
                  <c:v>20.446982999999985</c:v>
                </c:pt>
                <c:pt idx="182">
                  <c:v>20.446982999999985</c:v>
                </c:pt>
                <c:pt idx="183">
                  <c:v>20.446982999999985</c:v>
                </c:pt>
                <c:pt idx="184">
                  <c:v>20.446982999999985</c:v>
                </c:pt>
                <c:pt idx="185">
                  <c:v>20.446982999999985</c:v>
                </c:pt>
                <c:pt idx="186">
                  <c:v>20.446982999999985</c:v>
                </c:pt>
                <c:pt idx="187">
                  <c:v>20.446982999999985</c:v>
                </c:pt>
                <c:pt idx="188">
                  <c:v>20.446982999999985</c:v>
                </c:pt>
                <c:pt idx="189">
                  <c:v>20.446982999999985</c:v>
                </c:pt>
                <c:pt idx="190">
                  <c:v>20.446982999999985</c:v>
                </c:pt>
                <c:pt idx="191">
                  <c:v>20.446982999999985</c:v>
                </c:pt>
                <c:pt idx="192">
                  <c:v>20.446982999999985</c:v>
                </c:pt>
                <c:pt idx="193">
                  <c:v>20.446982999999985</c:v>
                </c:pt>
                <c:pt idx="194">
                  <c:v>20.446982999999985</c:v>
                </c:pt>
                <c:pt idx="195">
                  <c:v>20.446982999999985</c:v>
                </c:pt>
                <c:pt idx="196">
                  <c:v>20.446982999999985</c:v>
                </c:pt>
                <c:pt idx="197">
                  <c:v>20.446982999999985</c:v>
                </c:pt>
                <c:pt idx="198">
                  <c:v>20.446982999999985</c:v>
                </c:pt>
                <c:pt idx="199">
                  <c:v>20.446982999999985</c:v>
                </c:pt>
                <c:pt idx="200">
                  <c:v>20.446982999999985</c:v>
                </c:pt>
                <c:pt idx="201">
                  <c:v>20.446982999999985</c:v>
                </c:pt>
                <c:pt idx="202">
                  <c:v>20.446982999999985</c:v>
                </c:pt>
                <c:pt idx="203">
                  <c:v>20.446982999999985</c:v>
                </c:pt>
                <c:pt idx="204">
                  <c:v>20.446982999999985</c:v>
                </c:pt>
                <c:pt idx="205">
                  <c:v>20.446982999999985</c:v>
                </c:pt>
                <c:pt idx="206">
                  <c:v>20.446982999999985</c:v>
                </c:pt>
                <c:pt idx="207">
                  <c:v>20.446982999999985</c:v>
                </c:pt>
                <c:pt idx="208">
                  <c:v>20.446982999999985</c:v>
                </c:pt>
                <c:pt idx="209">
                  <c:v>20.446982999999985</c:v>
                </c:pt>
                <c:pt idx="210">
                  <c:v>20.446982999999985</c:v>
                </c:pt>
                <c:pt idx="211">
                  <c:v>20.446982999999985</c:v>
                </c:pt>
                <c:pt idx="212">
                  <c:v>20.446982999999985</c:v>
                </c:pt>
                <c:pt idx="213">
                  <c:v>20.446982999999985</c:v>
                </c:pt>
                <c:pt idx="214">
                  <c:v>20.446982999999985</c:v>
                </c:pt>
                <c:pt idx="215">
                  <c:v>20.446982999999985</c:v>
                </c:pt>
                <c:pt idx="216">
                  <c:v>20.446982999999985</c:v>
                </c:pt>
                <c:pt idx="217">
                  <c:v>20.446982999999985</c:v>
                </c:pt>
                <c:pt idx="218">
                  <c:v>20.446982999999985</c:v>
                </c:pt>
                <c:pt idx="219">
                  <c:v>20.446982999999985</c:v>
                </c:pt>
                <c:pt idx="220">
                  <c:v>20.446982999999985</c:v>
                </c:pt>
                <c:pt idx="221">
                  <c:v>20.446982999999985</c:v>
                </c:pt>
                <c:pt idx="222">
                  <c:v>20.446982999999985</c:v>
                </c:pt>
                <c:pt idx="223">
                  <c:v>20.446982999999985</c:v>
                </c:pt>
                <c:pt idx="224">
                  <c:v>20.446982999999985</c:v>
                </c:pt>
                <c:pt idx="225">
                  <c:v>20.446982999999985</c:v>
                </c:pt>
                <c:pt idx="226">
                  <c:v>20.446982999999985</c:v>
                </c:pt>
                <c:pt idx="227">
                  <c:v>20.446982999999985</c:v>
                </c:pt>
                <c:pt idx="228">
                  <c:v>20.446982999999985</c:v>
                </c:pt>
                <c:pt idx="229">
                  <c:v>20.446982999999985</c:v>
                </c:pt>
                <c:pt idx="230">
                  <c:v>20.446982999999985</c:v>
                </c:pt>
                <c:pt idx="231">
                  <c:v>20.446982999999985</c:v>
                </c:pt>
                <c:pt idx="232">
                  <c:v>20.446982999999985</c:v>
                </c:pt>
                <c:pt idx="233">
                  <c:v>20.446982999999985</c:v>
                </c:pt>
                <c:pt idx="234">
                  <c:v>20.446982999999985</c:v>
                </c:pt>
                <c:pt idx="235">
                  <c:v>20.446982999999985</c:v>
                </c:pt>
                <c:pt idx="236">
                  <c:v>20.446982999999985</c:v>
                </c:pt>
                <c:pt idx="237">
                  <c:v>20.446982999999985</c:v>
                </c:pt>
                <c:pt idx="238">
                  <c:v>20.446982999999985</c:v>
                </c:pt>
                <c:pt idx="239">
                  <c:v>20.446982999999985</c:v>
                </c:pt>
                <c:pt idx="240">
                  <c:v>20.446982999999985</c:v>
                </c:pt>
                <c:pt idx="241">
                  <c:v>20.446982999999985</c:v>
                </c:pt>
                <c:pt idx="242">
                  <c:v>20.446982999999985</c:v>
                </c:pt>
                <c:pt idx="243">
                  <c:v>20.446982999999985</c:v>
                </c:pt>
                <c:pt idx="244">
                  <c:v>20.446982999999985</c:v>
                </c:pt>
                <c:pt idx="245">
                  <c:v>20.446982999999985</c:v>
                </c:pt>
                <c:pt idx="246">
                  <c:v>20.446982999999985</c:v>
                </c:pt>
                <c:pt idx="247">
                  <c:v>20.446982999999985</c:v>
                </c:pt>
                <c:pt idx="248">
                  <c:v>20.446982999999985</c:v>
                </c:pt>
                <c:pt idx="249">
                  <c:v>20.446982999999985</c:v>
                </c:pt>
                <c:pt idx="250">
                  <c:v>20.446982999999985</c:v>
                </c:pt>
                <c:pt idx="251">
                  <c:v>20.446982999999985</c:v>
                </c:pt>
                <c:pt idx="252">
                  <c:v>20.446982999999985</c:v>
                </c:pt>
                <c:pt idx="253">
                  <c:v>20.446982999999985</c:v>
                </c:pt>
                <c:pt idx="254">
                  <c:v>20.446982999999985</c:v>
                </c:pt>
                <c:pt idx="255">
                  <c:v>20.446982999999985</c:v>
                </c:pt>
                <c:pt idx="256">
                  <c:v>20.446982999999985</c:v>
                </c:pt>
                <c:pt idx="257">
                  <c:v>20.446982999999985</c:v>
                </c:pt>
                <c:pt idx="258">
                  <c:v>20.446982999999985</c:v>
                </c:pt>
                <c:pt idx="259">
                  <c:v>20.446982999999985</c:v>
                </c:pt>
                <c:pt idx="260">
                  <c:v>20.446982999999985</c:v>
                </c:pt>
                <c:pt idx="261">
                  <c:v>20.446982999999985</c:v>
                </c:pt>
                <c:pt idx="262">
                  <c:v>20.446982999999985</c:v>
                </c:pt>
                <c:pt idx="263">
                  <c:v>20.446982999999985</c:v>
                </c:pt>
                <c:pt idx="264">
                  <c:v>20.446982999999985</c:v>
                </c:pt>
                <c:pt idx="265">
                  <c:v>20.446982999999985</c:v>
                </c:pt>
                <c:pt idx="266">
                  <c:v>20.446982999999985</c:v>
                </c:pt>
                <c:pt idx="267">
                  <c:v>20.446982999999985</c:v>
                </c:pt>
                <c:pt idx="268">
                  <c:v>20.446982999999985</c:v>
                </c:pt>
                <c:pt idx="269">
                  <c:v>20.446982999999985</c:v>
                </c:pt>
                <c:pt idx="270">
                  <c:v>20.446982999999985</c:v>
                </c:pt>
                <c:pt idx="271">
                  <c:v>20.446982999999985</c:v>
                </c:pt>
                <c:pt idx="272">
                  <c:v>20.446982999999985</c:v>
                </c:pt>
                <c:pt idx="273">
                  <c:v>20.446982999999985</c:v>
                </c:pt>
                <c:pt idx="274">
                  <c:v>20.446982999999985</c:v>
                </c:pt>
                <c:pt idx="275">
                  <c:v>20.446982999999985</c:v>
                </c:pt>
                <c:pt idx="276">
                  <c:v>20.446982999999985</c:v>
                </c:pt>
                <c:pt idx="277">
                  <c:v>20.446982999999985</c:v>
                </c:pt>
                <c:pt idx="278">
                  <c:v>20.446982999999985</c:v>
                </c:pt>
                <c:pt idx="279">
                  <c:v>20.446982999999985</c:v>
                </c:pt>
                <c:pt idx="280">
                  <c:v>20.446982999999985</c:v>
                </c:pt>
                <c:pt idx="281">
                  <c:v>20.446982999999985</c:v>
                </c:pt>
                <c:pt idx="282">
                  <c:v>20.446982999999985</c:v>
                </c:pt>
                <c:pt idx="283">
                  <c:v>20.446982999999985</c:v>
                </c:pt>
                <c:pt idx="284">
                  <c:v>20.446982999999985</c:v>
                </c:pt>
                <c:pt idx="285">
                  <c:v>20.446982999999985</c:v>
                </c:pt>
                <c:pt idx="286">
                  <c:v>20.446982999999985</c:v>
                </c:pt>
                <c:pt idx="287">
                  <c:v>20.446982999999985</c:v>
                </c:pt>
                <c:pt idx="288">
                  <c:v>20.446982999999985</c:v>
                </c:pt>
                <c:pt idx="289">
                  <c:v>20.446982999999985</c:v>
                </c:pt>
                <c:pt idx="290">
                  <c:v>20.446982999999985</c:v>
                </c:pt>
                <c:pt idx="291">
                  <c:v>20.446982999999985</c:v>
                </c:pt>
                <c:pt idx="292">
                  <c:v>20.446982999999985</c:v>
                </c:pt>
                <c:pt idx="293">
                  <c:v>20.446982999999985</c:v>
                </c:pt>
                <c:pt idx="294">
                  <c:v>20.446982999999985</c:v>
                </c:pt>
                <c:pt idx="295">
                  <c:v>20.446982999999985</c:v>
                </c:pt>
                <c:pt idx="296">
                  <c:v>20.446982999999985</c:v>
                </c:pt>
                <c:pt idx="297">
                  <c:v>20.446982999999985</c:v>
                </c:pt>
                <c:pt idx="298">
                  <c:v>20.446982999999985</c:v>
                </c:pt>
                <c:pt idx="299">
                  <c:v>20.446982999999985</c:v>
                </c:pt>
                <c:pt idx="300">
                  <c:v>20.446982999999985</c:v>
                </c:pt>
                <c:pt idx="301">
                  <c:v>20.446982999999985</c:v>
                </c:pt>
                <c:pt idx="302">
                  <c:v>20.446982999999985</c:v>
                </c:pt>
                <c:pt idx="303">
                  <c:v>20.446982999999985</c:v>
                </c:pt>
                <c:pt idx="304">
                  <c:v>20.446982999999985</c:v>
                </c:pt>
                <c:pt idx="305">
                  <c:v>20.446982999999985</c:v>
                </c:pt>
                <c:pt idx="306">
                  <c:v>20.446982999999985</c:v>
                </c:pt>
                <c:pt idx="307">
                  <c:v>20.446982999999985</c:v>
                </c:pt>
                <c:pt idx="308">
                  <c:v>20.446982999999985</c:v>
                </c:pt>
                <c:pt idx="309">
                  <c:v>20.446982999999985</c:v>
                </c:pt>
                <c:pt idx="310">
                  <c:v>20.446982999999985</c:v>
                </c:pt>
                <c:pt idx="311">
                  <c:v>20.446982999999985</c:v>
                </c:pt>
                <c:pt idx="312">
                  <c:v>20.446982999999985</c:v>
                </c:pt>
                <c:pt idx="313">
                  <c:v>20.446982999999985</c:v>
                </c:pt>
                <c:pt idx="314">
                  <c:v>20.446982999999985</c:v>
                </c:pt>
                <c:pt idx="315">
                  <c:v>20.446982999999985</c:v>
                </c:pt>
                <c:pt idx="316">
                  <c:v>20.446982999999985</c:v>
                </c:pt>
                <c:pt idx="317">
                  <c:v>20.446982999999985</c:v>
                </c:pt>
                <c:pt idx="318">
                  <c:v>20.446982999999985</c:v>
                </c:pt>
                <c:pt idx="319">
                  <c:v>20.446982999999985</c:v>
                </c:pt>
                <c:pt idx="320">
                  <c:v>20.446982999999985</c:v>
                </c:pt>
                <c:pt idx="321">
                  <c:v>20.446982999999985</c:v>
                </c:pt>
                <c:pt idx="322">
                  <c:v>20.446982999999985</c:v>
                </c:pt>
                <c:pt idx="323">
                  <c:v>20.446982999999985</c:v>
                </c:pt>
                <c:pt idx="324">
                  <c:v>20.446982999999985</c:v>
                </c:pt>
                <c:pt idx="325">
                  <c:v>20.446982999999985</c:v>
                </c:pt>
                <c:pt idx="326">
                  <c:v>20.446982999999985</c:v>
                </c:pt>
                <c:pt idx="327">
                  <c:v>20.446982999999985</c:v>
                </c:pt>
                <c:pt idx="328">
                  <c:v>20.446982999999985</c:v>
                </c:pt>
                <c:pt idx="329">
                  <c:v>20.446982999999985</c:v>
                </c:pt>
                <c:pt idx="330">
                  <c:v>20.446982999999985</c:v>
                </c:pt>
                <c:pt idx="331">
                  <c:v>20.446982999999985</c:v>
                </c:pt>
                <c:pt idx="332">
                  <c:v>20.446982999999985</c:v>
                </c:pt>
                <c:pt idx="333">
                  <c:v>20.446982999999985</c:v>
                </c:pt>
                <c:pt idx="334">
                  <c:v>20.446982999999985</c:v>
                </c:pt>
                <c:pt idx="335">
                  <c:v>20.446982999999985</c:v>
                </c:pt>
                <c:pt idx="336">
                  <c:v>20.446982999999985</c:v>
                </c:pt>
                <c:pt idx="337">
                  <c:v>20.446982999999985</c:v>
                </c:pt>
                <c:pt idx="338">
                  <c:v>20.446982999999985</c:v>
                </c:pt>
                <c:pt idx="339">
                  <c:v>20.446982999999985</c:v>
                </c:pt>
                <c:pt idx="340">
                  <c:v>20.446982999999985</c:v>
                </c:pt>
                <c:pt idx="341">
                  <c:v>20.446982999999985</c:v>
                </c:pt>
                <c:pt idx="342">
                  <c:v>20.446982999999985</c:v>
                </c:pt>
                <c:pt idx="343">
                  <c:v>20.446982999999985</c:v>
                </c:pt>
                <c:pt idx="344">
                  <c:v>20.446982999999985</c:v>
                </c:pt>
                <c:pt idx="345">
                  <c:v>20.446982999999985</c:v>
                </c:pt>
                <c:pt idx="346">
                  <c:v>20.446982999999985</c:v>
                </c:pt>
                <c:pt idx="347">
                  <c:v>20.446982999999985</c:v>
                </c:pt>
                <c:pt idx="348">
                  <c:v>20.446982999999985</c:v>
                </c:pt>
                <c:pt idx="349">
                  <c:v>20.446982999999985</c:v>
                </c:pt>
                <c:pt idx="350">
                  <c:v>20.446982999999985</c:v>
                </c:pt>
                <c:pt idx="351">
                  <c:v>20.446982999999985</c:v>
                </c:pt>
                <c:pt idx="352">
                  <c:v>20.446982999999985</c:v>
                </c:pt>
                <c:pt idx="353">
                  <c:v>20.446982999999985</c:v>
                </c:pt>
                <c:pt idx="354">
                  <c:v>20.446982999999985</c:v>
                </c:pt>
                <c:pt idx="355">
                  <c:v>20.446982999999985</c:v>
                </c:pt>
                <c:pt idx="356">
                  <c:v>20.446982999999985</c:v>
                </c:pt>
                <c:pt idx="357">
                  <c:v>20.446982999999985</c:v>
                </c:pt>
                <c:pt idx="358">
                  <c:v>20.446982999999985</c:v>
                </c:pt>
                <c:pt idx="359">
                  <c:v>20.446982999999985</c:v>
                </c:pt>
                <c:pt idx="360">
                  <c:v>20.446982999999985</c:v>
                </c:pt>
                <c:pt idx="361">
                  <c:v>20.446982999999985</c:v>
                </c:pt>
                <c:pt idx="362">
                  <c:v>20.446982999999985</c:v>
                </c:pt>
                <c:pt idx="363">
                  <c:v>20.446982999999985</c:v>
                </c:pt>
                <c:pt idx="364">
                  <c:v>20.446982999999985</c:v>
                </c:pt>
                <c:pt idx="365">
                  <c:v>20.446982999999985</c:v>
                </c:pt>
                <c:pt idx="366">
                  <c:v>20.446982999999985</c:v>
                </c:pt>
                <c:pt idx="367">
                  <c:v>20.446982999999985</c:v>
                </c:pt>
                <c:pt idx="368">
                  <c:v>20.446982999999985</c:v>
                </c:pt>
                <c:pt idx="369">
                  <c:v>20.446982999999985</c:v>
                </c:pt>
                <c:pt idx="370">
                  <c:v>20.446982999999985</c:v>
                </c:pt>
                <c:pt idx="371">
                  <c:v>20.446982999999985</c:v>
                </c:pt>
                <c:pt idx="372">
                  <c:v>20.446982999999985</c:v>
                </c:pt>
                <c:pt idx="373">
                  <c:v>20.446982999999985</c:v>
                </c:pt>
                <c:pt idx="374">
                  <c:v>20.446982999999985</c:v>
                </c:pt>
                <c:pt idx="375">
                  <c:v>20.446982999999985</c:v>
                </c:pt>
                <c:pt idx="376">
                  <c:v>20.446982999999985</c:v>
                </c:pt>
                <c:pt idx="377">
                  <c:v>20.446982999999985</c:v>
                </c:pt>
                <c:pt idx="378">
                  <c:v>20.446982999999985</c:v>
                </c:pt>
                <c:pt idx="379">
                  <c:v>20.446982999999985</c:v>
                </c:pt>
                <c:pt idx="380">
                  <c:v>20.446982999999985</c:v>
                </c:pt>
                <c:pt idx="381">
                  <c:v>20.446982999999985</c:v>
                </c:pt>
                <c:pt idx="382">
                  <c:v>20.446982999999985</c:v>
                </c:pt>
                <c:pt idx="383">
                  <c:v>20.446982999999985</c:v>
                </c:pt>
                <c:pt idx="384">
                  <c:v>20.446982999999985</c:v>
                </c:pt>
                <c:pt idx="385">
                  <c:v>20.446982999999985</c:v>
                </c:pt>
                <c:pt idx="386">
                  <c:v>20.446982999999985</c:v>
                </c:pt>
                <c:pt idx="387">
                  <c:v>20.446982999999985</c:v>
                </c:pt>
                <c:pt idx="388">
                  <c:v>20.446982999999985</c:v>
                </c:pt>
                <c:pt idx="389">
                  <c:v>20.446982999999985</c:v>
                </c:pt>
                <c:pt idx="390">
                  <c:v>20.446982999999985</c:v>
                </c:pt>
                <c:pt idx="391">
                  <c:v>20.446982999999985</c:v>
                </c:pt>
                <c:pt idx="392">
                  <c:v>20.446982999999985</c:v>
                </c:pt>
                <c:pt idx="393">
                  <c:v>20.446982999999985</c:v>
                </c:pt>
                <c:pt idx="394">
                  <c:v>20.446982999999985</c:v>
                </c:pt>
                <c:pt idx="395">
                  <c:v>20.446982999999985</c:v>
                </c:pt>
                <c:pt idx="396">
                  <c:v>20.446982999999985</c:v>
                </c:pt>
                <c:pt idx="397">
                  <c:v>20.446982999999985</c:v>
                </c:pt>
                <c:pt idx="398">
                  <c:v>20.446982999999985</c:v>
                </c:pt>
                <c:pt idx="399">
                  <c:v>20.446982999999985</c:v>
                </c:pt>
                <c:pt idx="400">
                  <c:v>20.446982999999985</c:v>
                </c:pt>
                <c:pt idx="401">
                  <c:v>20.446982999999985</c:v>
                </c:pt>
                <c:pt idx="402">
                  <c:v>20.446982999999985</c:v>
                </c:pt>
                <c:pt idx="403">
                  <c:v>20.446982999999985</c:v>
                </c:pt>
                <c:pt idx="404">
                  <c:v>20.446982999999985</c:v>
                </c:pt>
                <c:pt idx="405">
                  <c:v>20.446982999999985</c:v>
                </c:pt>
                <c:pt idx="406">
                  <c:v>20.446982999999985</c:v>
                </c:pt>
                <c:pt idx="407">
                  <c:v>20.446982999999985</c:v>
                </c:pt>
                <c:pt idx="408">
                  <c:v>20.446982999999985</c:v>
                </c:pt>
                <c:pt idx="409">
                  <c:v>20.446982999999985</c:v>
                </c:pt>
                <c:pt idx="410">
                  <c:v>20.446982999999985</c:v>
                </c:pt>
                <c:pt idx="411">
                  <c:v>20.446982999999985</c:v>
                </c:pt>
                <c:pt idx="412">
                  <c:v>20.446982999999985</c:v>
                </c:pt>
                <c:pt idx="413">
                  <c:v>20.446982999999985</c:v>
                </c:pt>
                <c:pt idx="414">
                  <c:v>20.446982999999985</c:v>
                </c:pt>
                <c:pt idx="415">
                  <c:v>20.446982999999985</c:v>
                </c:pt>
                <c:pt idx="416">
                  <c:v>20.446982999999985</c:v>
                </c:pt>
                <c:pt idx="417">
                  <c:v>20.446982999999985</c:v>
                </c:pt>
                <c:pt idx="418">
                  <c:v>20.446982999999985</c:v>
                </c:pt>
                <c:pt idx="419">
                  <c:v>20.446982999999985</c:v>
                </c:pt>
                <c:pt idx="420">
                  <c:v>20.446982999999985</c:v>
                </c:pt>
                <c:pt idx="421">
                  <c:v>20.446982999999985</c:v>
                </c:pt>
                <c:pt idx="422">
                  <c:v>20.446982999999985</c:v>
                </c:pt>
                <c:pt idx="423">
                  <c:v>20.446982999999985</c:v>
                </c:pt>
                <c:pt idx="424">
                  <c:v>20.446982999999985</c:v>
                </c:pt>
                <c:pt idx="425">
                  <c:v>20.446982999999985</c:v>
                </c:pt>
                <c:pt idx="426">
                  <c:v>20.446982999999985</c:v>
                </c:pt>
                <c:pt idx="427">
                  <c:v>20.446982999999985</c:v>
                </c:pt>
                <c:pt idx="428">
                  <c:v>20.446982999999985</c:v>
                </c:pt>
                <c:pt idx="429">
                  <c:v>20.446982999999985</c:v>
                </c:pt>
                <c:pt idx="430">
                  <c:v>20.446982999999985</c:v>
                </c:pt>
                <c:pt idx="431">
                  <c:v>20.446982999999985</c:v>
                </c:pt>
                <c:pt idx="432">
                  <c:v>20.446982999999985</c:v>
                </c:pt>
                <c:pt idx="433">
                  <c:v>20.446982999999985</c:v>
                </c:pt>
                <c:pt idx="434">
                  <c:v>20.446982999999985</c:v>
                </c:pt>
                <c:pt idx="435">
                  <c:v>20.446982999999985</c:v>
                </c:pt>
                <c:pt idx="436">
                  <c:v>20.446982999999985</c:v>
                </c:pt>
                <c:pt idx="437">
                  <c:v>20.446982999999985</c:v>
                </c:pt>
                <c:pt idx="438">
                  <c:v>20.446982999999985</c:v>
                </c:pt>
                <c:pt idx="439">
                  <c:v>20.446982999999985</c:v>
                </c:pt>
                <c:pt idx="440">
                  <c:v>20.446982999999985</c:v>
                </c:pt>
                <c:pt idx="441">
                  <c:v>20.446982999999985</c:v>
                </c:pt>
                <c:pt idx="442">
                  <c:v>20.446982999999985</c:v>
                </c:pt>
                <c:pt idx="443">
                  <c:v>20.446982999999985</c:v>
                </c:pt>
                <c:pt idx="444">
                  <c:v>20.446982999999985</c:v>
                </c:pt>
                <c:pt idx="445">
                  <c:v>20.446982999999985</c:v>
                </c:pt>
                <c:pt idx="446">
                  <c:v>20.446982999999985</c:v>
                </c:pt>
                <c:pt idx="447">
                  <c:v>20.446982999999985</c:v>
                </c:pt>
                <c:pt idx="448">
                  <c:v>20.446982999999985</c:v>
                </c:pt>
                <c:pt idx="449">
                  <c:v>20.446982999999985</c:v>
                </c:pt>
                <c:pt idx="450">
                  <c:v>20.446982999999985</c:v>
                </c:pt>
                <c:pt idx="451">
                  <c:v>20.446982999999985</c:v>
                </c:pt>
                <c:pt idx="452">
                  <c:v>20.446982999999985</c:v>
                </c:pt>
                <c:pt idx="453">
                  <c:v>20.446982999999985</c:v>
                </c:pt>
                <c:pt idx="454">
                  <c:v>20.446982999999985</c:v>
                </c:pt>
                <c:pt idx="455">
                  <c:v>20.446982999999985</c:v>
                </c:pt>
                <c:pt idx="456">
                  <c:v>20.446982999999985</c:v>
                </c:pt>
                <c:pt idx="457">
                  <c:v>20.446982999999985</c:v>
                </c:pt>
                <c:pt idx="458">
                  <c:v>20.446982999999985</c:v>
                </c:pt>
                <c:pt idx="459">
                  <c:v>20.446982999999985</c:v>
                </c:pt>
                <c:pt idx="460">
                  <c:v>20.446982999999985</c:v>
                </c:pt>
                <c:pt idx="461">
                  <c:v>20.446982999999985</c:v>
                </c:pt>
                <c:pt idx="462">
                  <c:v>20.446982999999985</c:v>
                </c:pt>
                <c:pt idx="463">
                  <c:v>20.446982999999985</c:v>
                </c:pt>
                <c:pt idx="464">
                  <c:v>20.446982999999985</c:v>
                </c:pt>
                <c:pt idx="465">
                  <c:v>20.446982999999985</c:v>
                </c:pt>
                <c:pt idx="466">
                  <c:v>20.446982999999985</c:v>
                </c:pt>
                <c:pt idx="467">
                  <c:v>20.446982999999985</c:v>
                </c:pt>
                <c:pt idx="468">
                  <c:v>20.446982999999985</c:v>
                </c:pt>
                <c:pt idx="469">
                  <c:v>20.446982999999985</c:v>
                </c:pt>
                <c:pt idx="470">
                  <c:v>20.446982999999985</c:v>
                </c:pt>
                <c:pt idx="471">
                  <c:v>20.446982999999985</c:v>
                </c:pt>
                <c:pt idx="472">
                  <c:v>20.446982999999985</c:v>
                </c:pt>
                <c:pt idx="473">
                  <c:v>20.446982999999985</c:v>
                </c:pt>
                <c:pt idx="474">
                  <c:v>20.446982999999985</c:v>
                </c:pt>
                <c:pt idx="475">
                  <c:v>20.446982999999985</c:v>
                </c:pt>
                <c:pt idx="476">
                  <c:v>20.446982999999985</c:v>
                </c:pt>
                <c:pt idx="477">
                  <c:v>20.446982999999985</c:v>
                </c:pt>
                <c:pt idx="478">
                  <c:v>20.446982999999985</c:v>
                </c:pt>
                <c:pt idx="479">
                  <c:v>20.446982999999985</c:v>
                </c:pt>
                <c:pt idx="480">
                  <c:v>20.446982999999985</c:v>
                </c:pt>
                <c:pt idx="481">
                  <c:v>20.446982999999985</c:v>
                </c:pt>
                <c:pt idx="482">
                  <c:v>20.446982999999985</c:v>
                </c:pt>
                <c:pt idx="483">
                  <c:v>20.446982999999985</c:v>
                </c:pt>
                <c:pt idx="484">
                  <c:v>20.446982999999985</c:v>
                </c:pt>
                <c:pt idx="485">
                  <c:v>20.446982999999985</c:v>
                </c:pt>
                <c:pt idx="486">
                  <c:v>20.446982999999985</c:v>
                </c:pt>
                <c:pt idx="487">
                  <c:v>20.446982999999985</c:v>
                </c:pt>
                <c:pt idx="488">
                  <c:v>20.446982999999985</c:v>
                </c:pt>
                <c:pt idx="489">
                  <c:v>20.446982999999985</c:v>
                </c:pt>
                <c:pt idx="490">
                  <c:v>20.446982999999985</c:v>
                </c:pt>
                <c:pt idx="491">
                  <c:v>20.446982999999985</c:v>
                </c:pt>
                <c:pt idx="492">
                  <c:v>20.446982999999985</c:v>
                </c:pt>
                <c:pt idx="493">
                  <c:v>20.446982999999985</c:v>
                </c:pt>
                <c:pt idx="494">
                  <c:v>20.446982999999985</c:v>
                </c:pt>
                <c:pt idx="495">
                  <c:v>20.446982999999985</c:v>
                </c:pt>
                <c:pt idx="496">
                  <c:v>20.446982999999985</c:v>
                </c:pt>
                <c:pt idx="497">
                  <c:v>20.446982999999985</c:v>
                </c:pt>
                <c:pt idx="498">
                  <c:v>20.446982999999985</c:v>
                </c:pt>
                <c:pt idx="499">
                  <c:v>20.446982999999985</c:v>
                </c:pt>
                <c:pt idx="500">
                  <c:v>20.446982999999985</c:v>
                </c:pt>
                <c:pt idx="501">
                  <c:v>20.446982999999985</c:v>
                </c:pt>
                <c:pt idx="502">
                  <c:v>20.446982999999985</c:v>
                </c:pt>
                <c:pt idx="503">
                  <c:v>20.446982999999985</c:v>
                </c:pt>
                <c:pt idx="504">
                  <c:v>20.446982999999985</c:v>
                </c:pt>
                <c:pt idx="505">
                  <c:v>20.446982999999985</c:v>
                </c:pt>
                <c:pt idx="506">
                  <c:v>20.446982999999985</c:v>
                </c:pt>
                <c:pt idx="507">
                  <c:v>20.446982999999985</c:v>
                </c:pt>
                <c:pt idx="508">
                  <c:v>20.446982999999985</c:v>
                </c:pt>
                <c:pt idx="509">
                  <c:v>20.446982999999985</c:v>
                </c:pt>
                <c:pt idx="510">
                  <c:v>20.446982999999985</c:v>
                </c:pt>
                <c:pt idx="511">
                  <c:v>20.446982999999985</c:v>
                </c:pt>
                <c:pt idx="512">
                  <c:v>20.446982999999985</c:v>
                </c:pt>
                <c:pt idx="513">
                  <c:v>20.446982999999985</c:v>
                </c:pt>
                <c:pt idx="514">
                  <c:v>20.446982999999985</c:v>
                </c:pt>
                <c:pt idx="515">
                  <c:v>20.446982999999985</c:v>
                </c:pt>
                <c:pt idx="516">
                  <c:v>20.446982999999985</c:v>
                </c:pt>
                <c:pt idx="517">
                  <c:v>20.446982999999985</c:v>
                </c:pt>
                <c:pt idx="518">
                  <c:v>20.446982999999985</c:v>
                </c:pt>
                <c:pt idx="519">
                  <c:v>20.446982999999985</c:v>
                </c:pt>
                <c:pt idx="520">
                  <c:v>20.446982999999985</c:v>
                </c:pt>
                <c:pt idx="521">
                  <c:v>20.446982999999985</c:v>
                </c:pt>
                <c:pt idx="522">
                  <c:v>20.446982999999985</c:v>
                </c:pt>
                <c:pt idx="523">
                  <c:v>20.446982999999985</c:v>
                </c:pt>
                <c:pt idx="524">
                  <c:v>20.446982999999985</c:v>
                </c:pt>
                <c:pt idx="525">
                  <c:v>20.446982999999985</c:v>
                </c:pt>
                <c:pt idx="526">
                  <c:v>20.446982999999985</c:v>
                </c:pt>
                <c:pt idx="527">
                  <c:v>20.446982999999985</c:v>
                </c:pt>
                <c:pt idx="528">
                  <c:v>20.446982999999985</c:v>
                </c:pt>
                <c:pt idx="529">
                  <c:v>20.446982999999985</c:v>
                </c:pt>
                <c:pt idx="530">
                  <c:v>20.446982999999985</c:v>
                </c:pt>
                <c:pt idx="531">
                  <c:v>20.446982999999985</c:v>
                </c:pt>
                <c:pt idx="532">
                  <c:v>20.446982999999985</c:v>
                </c:pt>
                <c:pt idx="533">
                  <c:v>20.446982999999985</c:v>
                </c:pt>
                <c:pt idx="534">
                  <c:v>20.446982999999985</c:v>
                </c:pt>
                <c:pt idx="535">
                  <c:v>20.446982999999985</c:v>
                </c:pt>
                <c:pt idx="536">
                  <c:v>20.446982999999985</c:v>
                </c:pt>
                <c:pt idx="537">
                  <c:v>20.446982999999985</c:v>
                </c:pt>
                <c:pt idx="538">
                  <c:v>20.446982999999985</c:v>
                </c:pt>
                <c:pt idx="539">
                  <c:v>20.446982999999985</c:v>
                </c:pt>
                <c:pt idx="540">
                  <c:v>20.446982999999985</c:v>
                </c:pt>
                <c:pt idx="541">
                  <c:v>20.446982999999985</c:v>
                </c:pt>
                <c:pt idx="542">
                  <c:v>20.446982999999985</c:v>
                </c:pt>
                <c:pt idx="543">
                  <c:v>20.446982999999985</c:v>
                </c:pt>
                <c:pt idx="544">
                  <c:v>20.446982999999985</c:v>
                </c:pt>
                <c:pt idx="545">
                  <c:v>20.446982999999985</c:v>
                </c:pt>
                <c:pt idx="546">
                  <c:v>20.446982999999985</c:v>
                </c:pt>
                <c:pt idx="547">
                  <c:v>20.446982999999985</c:v>
                </c:pt>
                <c:pt idx="548">
                  <c:v>20.446982999999985</c:v>
                </c:pt>
                <c:pt idx="549">
                  <c:v>20.446982999999985</c:v>
                </c:pt>
                <c:pt idx="550">
                  <c:v>20.446982999999985</c:v>
                </c:pt>
                <c:pt idx="551">
                  <c:v>20.446982999999985</c:v>
                </c:pt>
                <c:pt idx="552">
                  <c:v>20.446982999999985</c:v>
                </c:pt>
                <c:pt idx="553">
                  <c:v>20.446982999999985</c:v>
                </c:pt>
                <c:pt idx="554">
                  <c:v>20.446982999999985</c:v>
                </c:pt>
                <c:pt idx="555">
                  <c:v>20.446982999999985</c:v>
                </c:pt>
                <c:pt idx="556">
                  <c:v>20.446982999999985</c:v>
                </c:pt>
                <c:pt idx="557">
                  <c:v>20.446982999999985</c:v>
                </c:pt>
                <c:pt idx="558">
                  <c:v>20.446982999999985</c:v>
                </c:pt>
                <c:pt idx="559">
                  <c:v>20.446982999999985</c:v>
                </c:pt>
                <c:pt idx="560">
                  <c:v>20.446982999999985</c:v>
                </c:pt>
                <c:pt idx="561">
                  <c:v>20.446982999999985</c:v>
                </c:pt>
                <c:pt idx="562">
                  <c:v>20.446982999999985</c:v>
                </c:pt>
                <c:pt idx="563">
                  <c:v>20.446982999999985</c:v>
                </c:pt>
                <c:pt idx="564">
                  <c:v>20.446982999999985</c:v>
                </c:pt>
                <c:pt idx="565">
                  <c:v>20.446982999999985</c:v>
                </c:pt>
                <c:pt idx="566">
                  <c:v>20.446982999999985</c:v>
                </c:pt>
                <c:pt idx="567">
                  <c:v>20.446982999999985</c:v>
                </c:pt>
                <c:pt idx="568">
                  <c:v>20.446982999999985</c:v>
                </c:pt>
                <c:pt idx="569">
                  <c:v>20.446982999999985</c:v>
                </c:pt>
                <c:pt idx="570">
                  <c:v>20.446982999999985</c:v>
                </c:pt>
                <c:pt idx="571">
                  <c:v>20.446982999999985</c:v>
                </c:pt>
                <c:pt idx="572">
                  <c:v>20.446982999999985</c:v>
                </c:pt>
                <c:pt idx="573">
                  <c:v>20.446982999999985</c:v>
                </c:pt>
                <c:pt idx="574">
                  <c:v>20.446982999999985</c:v>
                </c:pt>
                <c:pt idx="575">
                  <c:v>20.446982999999985</c:v>
                </c:pt>
                <c:pt idx="576">
                  <c:v>20.446982999999985</c:v>
                </c:pt>
                <c:pt idx="577">
                  <c:v>20.446982999999985</c:v>
                </c:pt>
                <c:pt idx="578">
                  <c:v>20.446982999999985</c:v>
                </c:pt>
                <c:pt idx="579">
                  <c:v>20.446982999999985</c:v>
                </c:pt>
                <c:pt idx="580">
                  <c:v>20.446982999999985</c:v>
                </c:pt>
                <c:pt idx="581">
                  <c:v>20.446982999999985</c:v>
                </c:pt>
                <c:pt idx="582">
                  <c:v>20.446982999999985</c:v>
                </c:pt>
                <c:pt idx="583">
                  <c:v>20.446982999999985</c:v>
                </c:pt>
                <c:pt idx="584">
                  <c:v>20.446982999999985</c:v>
                </c:pt>
                <c:pt idx="585">
                  <c:v>20.446982999999985</c:v>
                </c:pt>
                <c:pt idx="586">
                  <c:v>20.446982999999985</c:v>
                </c:pt>
                <c:pt idx="587">
                  <c:v>20.446982999999985</c:v>
                </c:pt>
                <c:pt idx="588">
                  <c:v>20.446982999999985</c:v>
                </c:pt>
                <c:pt idx="589">
                  <c:v>20.446982999999985</c:v>
                </c:pt>
                <c:pt idx="590">
                  <c:v>20.446982999999985</c:v>
                </c:pt>
                <c:pt idx="591">
                  <c:v>20.446982999999985</c:v>
                </c:pt>
                <c:pt idx="592">
                  <c:v>20.446982999999985</c:v>
                </c:pt>
                <c:pt idx="593">
                  <c:v>20.446982999999985</c:v>
                </c:pt>
                <c:pt idx="594">
                  <c:v>20.446982999999985</c:v>
                </c:pt>
                <c:pt idx="595">
                  <c:v>20.446982999999985</c:v>
                </c:pt>
                <c:pt idx="596">
                  <c:v>20.446982999999985</c:v>
                </c:pt>
                <c:pt idx="597">
                  <c:v>20.446982999999985</c:v>
                </c:pt>
                <c:pt idx="598">
                  <c:v>20.446982999999985</c:v>
                </c:pt>
                <c:pt idx="599">
                  <c:v>20.446982999999985</c:v>
                </c:pt>
                <c:pt idx="600">
                  <c:v>20.446982999999985</c:v>
                </c:pt>
                <c:pt idx="601">
                  <c:v>20.446982999999985</c:v>
                </c:pt>
                <c:pt idx="602">
                  <c:v>20.446982999999985</c:v>
                </c:pt>
                <c:pt idx="603">
                  <c:v>20.446982999999985</c:v>
                </c:pt>
                <c:pt idx="604">
                  <c:v>20.446982999999985</c:v>
                </c:pt>
                <c:pt idx="605">
                  <c:v>20.446982999999985</c:v>
                </c:pt>
                <c:pt idx="606">
                  <c:v>20.446982999999985</c:v>
                </c:pt>
                <c:pt idx="607">
                  <c:v>20.446982999999985</c:v>
                </c:pt>
                <c:pt idx="608">
                  <c:v>20.446982999999985</c:v>
                </c:pt>
                <c:pt idx="609">
                  <c:v>20.446982999999985</c:v>
                </c:pt>
                <c:pt idx="610">
                  <c:v>20.446982999999985</c:v>
                </c:pt>
                <c:pt idx="611">
                  <c:v>20.446982999999985</c:v>
                </c:pt>
                <c:pt idx="612">
                  <c:v>20.446982999999985</c:v>
                </c:pt>
                <c:pt idx="613">
                  <c:v>20.446982999999985</c:v>
                </c:pt>
                <c:pt idx="614">
                  <c:v>20.446982999999985</c:v>
                </c:pt>
                <c:pt idx="615">
                  <c:v>20.446982999999985</c:v>
                </c:pt>
                <c:pt idx="616">
                  <c:v>20.446982999999985</c:v>
                </c:pt>
                <c:pt idx="617">
                  <c:v>20.446982999999985</c:v>
                </c:pt>
                <c:pt idx="618">
                  <c:v>20.446982999999985</c:v>
                </c:pt>
                <c:pt idx="619">
                  <c:v>20.446982999999985</c:v>
                </c:pt>
                <c:pt idx="620">
                  <c:v>20.446982999999985</c:v>
                </c:pt>
                <c:pt idx="621">
                  <c:v>20.446982999999985</c:v>
                </c:pt>
                <c:pt idx="622">
                  <c:v>20.446982999999985</c:v>
                </c:pt>
                <c:pt idx="623">
                  <c:v>20.446982999999985</c:v>
                </c:pt>
                <c:pt idx="624">
                  <c:v>20.446982999999985</c:v>
                </c:pt>
                <c:pt idx="625">
                  <c:v>20.446982999999985</c:v>
                </c:pt>
                <c:pt idx="626">
                  <c:v>20.446982999999985</c:v>
                </c:pt>
                <c:pt idx="627">
                  <c:v>20.446982999999985</c:v>
                </c:pt>
                <c:pt idx="628">
                  <c:v>20.446982999999985</c:v>
                </c:pt>
                <c:pt idx="629">
                  <c:v>20.446982999999985</c:v>
                </c:pt>
                <c:pt idx="630">
                  <c:v>20.446982999999985</c:v>
                </c:pt>
                <c:pt idx="631">
                  <c:v>20.446982999999985</c:v>
                </c:pt>
                <c:pt idx="632">
                  <c:v>20.446982999999985</c:v>
                </c:pt>
                <c:pt idx="633">
                  <c:v>20.446982999999985</c:v>
                </c:pt>
                <c:pt idx="634">
                  <c:v>20.446982999999985</c:v>
                </c:pt>
                <c:pt idx="635">
                  <c:v>20.446982999999985</c:v>
                </c:pt>
                <c:pt idx="636">
                  <c:v>20.446982999999985</c:v>
                </c:pt>
                <c:pt idx="637">
                  <c:v>20.446982999999985</c:v>
                </c:pt>
                <c:pt idx="638">
                  <c:v>20.446982999999985</c:v>
                </c:pt>
                <c:pt idx="639">
                  <c:v>20.446982999999985</c:v>
                </c:pt>
                <c:pt idx="640">
                  <c:v>20.446982999999985</c:v>
                </c:pt>
                <c:pt idx="641">
                  <c:v>20.446982999999985</c:v>
                </c:pt>
                <c:pt idx="642">
                  <c:v>20.446982999999985</c:v>
                </c:pt>
                <c:pt idx="643">
                  <c:v>20.446982999999985</c:v>
                </c:pt>
                <c:pt idx="644">
                  <c:v>20.446982999999985</c:v>
                </c:pt>
                <c:pt idx="645">
                  <c:v>20.446982999999985</c:v>
                </c:pt>
                <c:pt idx="646">
                  <c:v>20.446982999999985</c:v>
                </c:pt>
                <c:pt idx="647">
                  <c:v>20.446982999999985</c:v>
                </c:pt>
                <c:pt idx="648">
                  <c:v>20.446982999999985</c:v>
                </c:pt>
                <c:pt idx="649">
                  <c:v>20.446982999999985</c:v>
                </c:pt>
                <c:pt idx="650">
                  <c:v>20.446982999999985</c:v>
                </c:pt>
                <c:pt idx="651">
                  <c:v>20.446982999999985</c:v>
                </c:pt>
                <c:pt idx="652">
                  <c:v>20.446982999999985</c:v>
                </c:pt>
                <c:pt idx="653">
                  <c:v>20.446982999999985</c:v>
                </c:pt>
                <c:pt idx="654">
                  <c:v>20.446982999999985</c:v>
                </c:pt>
                <c:pt idx="655">
                  <c:v>20.446982999999985</c:v>
                </c:pt>
                <c:pt idx="656">
                  <c:v>20.446982999999985</c:v>
                </c:pt>
                <c:pt idx="657">
                  <c:v>20.446982999999985</c:v>
                </c:pt>
                <c:pt idx="658">
                  <c:v>20.446982999999985</c:v>
                </c:pt>
                <c:pt idx="659">
                  <c:v>20.446982999999985</c:v>
                </c:pt>
                <c:pt idx="660">
                  <c:v>20.446982999999985</c:v>
                </c:pt>
                <c:pt idx="661">
                  <c:v>20.446982999999985</c:v>
                </c:pt>
                <c:pt idx="662">
                  <c:v>20.446982999999985</c:v>
                </c:pt>
                <c:pt idx="663">
                  <c:v>20.446982999999985</c:v>
                </c:pt>
                <c:pt idx="664">
                  <c:v>20.446982999999985</c:v>
                </c:pt>
                <c:pt idx="665">
                  <c:v>20.446982999999985</c:v>
                </c:pt>
                <c:pt idx="666">
                  <c:v>20.446982999999985</c:v>
                </c:pt>
                <c:pt idx="667">
                  <c:v>20.446982999999985</c:v>
                </c:pt>
                <c:pt idx="668">
                  <c:v>20.446982999999985</c:v>
                </c:pt>
                <c:pt idx="669">
                  <c:v>20.446982999999985</c:v>
                </c:pt>
                <c:pt idx="670">
                  <c:v>20.446982999999985</c:v>
                </c:pt>
                <c:pt idx="671">
                  <c:v>20.446982999999985</c:v>
                </c:pt>
                <c:pt idx="672">
                  <c:v>20.446982999999985</c:v>
                </c:pt>
                <c:pt idx="673">
                  <c:v>20.446982999999985</c:v>
                </c:pt>
                <c:pt idx="674">
                  <c:v>20.446982999999985</c:v>
                </c:pt>
                <c:pt idx="675">
                  <c:v>20.446982999999985</c:v>
                </c:pt>
                <c:pt idx="676">
                  <c:v>20.446982999999985</c:v>
                </c:pt>
                <c:pt idx="677">
                  <c:v>20.446982999999985</c:v>
                </c:pt>
                <c:pt idx="678">
                  <c:v>20.446982999999985</c:v>
                </c:pt>
                <c:pt idx="679">
                  <c:v>20.446982999999985</c:v>
                </c:pt>
                <c:pt idx="680">
                  <c:v>20.446982999999985</c:v>
                </c:pt>
                <c:pt idx="681">
                  <c:v>20.446982999999985</c:v>
                </c:pt>
                <c:pt idx="682">
                  <c:v>20.446982999999985</c:v>
                </c:pt>
                <c:pt idx="683">
                  <c:v>20.446982999999985</c:v>
                </c:pt>
                <c:pt idx="684">
                  <c:v>20.446982999999985</c:v>
                </c:pt>
                <c:pt idx="685">
                  <c:v>20.446982999999985</c:v>
                </c:pt>
                <c:pt idx="686">
                  <c:v>20.446982999999985</c:v>
                </c:pt>
                <c:pt idx="687">
                  <c:v>20.446982999999985</c:v>
                </c:pt>
                <c:pt idx="688">
                  <c:v>20.446982999999985</c:v>
                </c:pt>
                <c:pt idx="689">
                  <c:v>20.446982999999985</c:v>
                </c:pt>
                <c:pt idx="690">
                  <c:v>20.446982999999985</c:v>
                </c:pt>
                <c:pt idx="691">
                  <c:v>20.446982999999985</c:v>
                </c:pt>
                <c:pt idx="692">
                  <c:v>20.446982999999985</c:v>
                </c:pt>
                <c:pt idx="693">
                  <c:v>20.446982999999985</c:v>
                </c:pt>
                <c:pt idx="694">
                  <c:v>20.446982999999985</c:v>
                </c:pt>
                <c:pt idx="695">
                  <c:v>20.446982999999985</c:v>
                </c:pt>
                <c:pt idx="696">
                  <c:v>20.446982999999985</c:v>
                </c:pt>
                <c:pt idx="697">
                  <c:v>20.446982999999985</c:v>
                </c:pt>
                <c:pt idx="698">
                  <c:v>20.446982999999985</c:v>
                </c:pt>
                <c:pt idx="699">
                  <c:v>20.446982999999985</c:v>
                </c:pt>
                <c:pt idx="700">
                  <c:v>20.446982999999985</c:v>
                </c:pt>
                <c:pt idx="701">
                  <c:v>20.446982999999985</c:v>
                </c:pt>
                <c:pt idx="702">
                  <c:v>20.446982999999985</c:v>
                </c:pt>
                <c:pt idx="703">
                  <c:v>20.446982999999985</c:v>
                </c:pt>
                <c:pt idx="704">
                  <c:v>20.446982999999985</c:v>
                </c:pt>
                <c:pt idx="705">
                  <c:v>20.446982999999985</c:v>
                </c:pt>
                <c:pt idx="706">
                  <c:v>20.446982999999985</c:v>
                </c:pt>
                <c:pt idx="707">
                  <c:v>20.446982999999985</c:v>
                </c:pt>
                <c:pt idx="708">
                  <c:v>20.446982999999985</c:v>
                </c:pt>
                <c:pt idx="709">
                  <c:v>20.446982999999985</c:v>
                </c:pt>
                <c:pt idx="710">
                  <c:v>20.446982999999985</c:v>
                </c:pt>
                <c:pt idx="711">
                  <c:v>20.446982999999985</c:v>
                </c:pt>
                <c:pt idx="712">
                  <c:v>20.446982999999985</c:v>
                </c:pt>
                <c:pt idx="713">
                  <c:v>20.446982999999985</c:v>
                </c:pt>
                <c:pt idx="714">
                  <c:v>20.446982999999985</c:v>
                </c:pt>
                <c:pt idx="715">
                  <c:v>20.446982999999985</c:v>
                </c:pt>
                <c:pt idx="716">
                  <c:v>20.446982999999985</c:v>
                </c:pt>
                <c:pt idx="717">
                  <c:v>20.446982999999985</c:v>
                </c:pt>
                <c:pt idx="718">
                  <c:v>20.446982999999985</c:v>
                </c:pt>
                <c:pt idx="719">
                  <c:v>20.446982999999985</c:v>
                </c:pt>
                <c:pt idx="720">
                  <c:v>20.446982999999985</c:v>
                </c:pt>
                <c:pt idx="721">
                  <c:v>20.446982999999985</c:v>
                </c:pt>
                <c:pt idx="722">
                  <c:v>20.446982999999985</c:v>
                </c:pt>
                <c:pt idx="723">
                  <c:v>20.446982999999985</c:v>
                </c:pt>
                <c:pt idx="724">
                  <c:v>20.446982999999985</c:v>
                </c:pt>
                <c:pt idx="725">
                  <c:v>20.446982999999985</c:v>
                </c:pt>
                <c:pt idx="726">
                  <c:v>20.446982999999985</c:v>
                </c:pt>
                <c:pt idx="727">
                  <c:v>20.446982999999985</c:v>
                </c:pt>
                <c:pt idx="728">
                  <c:v>20.446982999999985</c:v>
                </c:pt>
                <c:pt idx="729">
                  <c:v>20.446982999999985</c:v>
                </c:pt>
                <c:pt idx="730">
                  <c:v>20.446982999999985</c:v>
                </c:pt>
                <c:pt idx="731">
                  <c:v>20.446982999999985</c:v>
                </c:pt>
                <c:pt idx="732">
                  <c:v>20.446982999999985</c:v>
                </c:pt>
                <c:pt idx="733">
                  <c:v>20.446982999999985</c:v>
                </c:pt>
                <c:pt idx="734">
                  <c:v>20.446982999999985</c:v>
                </c:pt>
                <c:pt idx="735">
                  <c:v>20.446982999999985</c:v>
                </c:pt>
                <c:pt idx="736">
                  <c:v>20.446982999999985</c:v>
                </c:pt>
                <c:pt idx="737">
                  <c:v>20.446982999999985</c:v>
                </c:pt>
                <c:pt idx="738">
                  <c:v>20.446982999999985</c:v>
                </c:pt>
                <c:pt idx="739">
                  <c:v>20.446982999999985</c:v>
                </c:pt>
                <c:pt idx="740">
                  <c:v>20.446982999999985</c:v>
                </c:pt>
                <c:pt idx="741">
                  <c:v>20.446982999999985</c:v>
                </c:pt>
                <c:pt idx="742">
                  <c:v>20.446982999999985</c:v>
                </c:pt>
                <c:pt idx="743">
                  <c:v>20.446982999999985</c:v>
                </c:pt>
                <c:pt idx="744">
                  <c:v>20.446982999999985</c:v>
                </c:pt>
                <c:pt idx="745">
                  <c:v>20.446982999999985</c:v>
                </c:pt>
                <c:pt idx="746">
                  <c:v>20.446982999999985</c:v>
                </c:pt>
                <c:pt idx="747">
                  <c:v>20.446982999999985</c:v>
                </c:pt>
                <c:pt idx="748">
                  <c:v>20.446982999999985</c:v>
                </c:pt>
                <c:pt idx="749">
                  <c:v>20.446982999999985</c:v>
                </c:pt>
                <c:pt idx="750">
                  <c:v>20.446982999999985</c:v>
                </c:pt>
                <c:pt idx="751">
                  <c:v>20.446982999999985</c:v>
                </c:pt>
                <c:pt idx="752">
                  <c:v>20.446982999999985</c:v>
                </c:pt>
                <c:pt idx="753">
                  <c:v>20.446982999999985</c:v>
                </c:pt>
                <c:pt idx="754">
                  <c:v>20.446982999999985</c:v>
                </c:pt>
                <c:pt idx="755">
                  <c:v>20.446982999999985</c:v>
                </c:pt>
                <c:pt idx="756">
                  <c:v>20.446982999999985</c:v>
                </c:pt>
                <c:pt idx="757">
                  <c:v>20.446982999999985</c:v>
                </c:pt>
                <c:pt idx="758">
                  <c:v>20.446982999999985</c:v>
                </c:pt>
                <c:pt idx="759">
                  <c:v>20.446982999999985</c:v>
                </c:pt>
                <c:pt idx="760">
                  <c:v>20.446982999999985</c:v>
                </c:pt>
                <c:pt idx="761">
                  <c:v>20.446982999999985</c:v>
                </c:pt>
                <c:pt idx="762">
                  <c:v>20.446982999999985</c:v>
                </c:pt>
                <c:pt idx="763">
                  <c:v>20.446982999999985</c:v>
                </c:pt>
                <c:pt idx="764">
                  <c:v>20.446982999999985</c:v>
                </c:pt>
                <c:pt idx="765">
                  <c:v>20.446982999999985</c:v>
                </c:pt>
                <c:pt idx="766">
                  <c:v>20.446982999999985</c:v>
                </c:pt>
                <c:pt idx="767">
                  <c:v>20.446982999999985</c:v>
                </c:pt>
                <c:pt idx="768">
                  <c:v>20.446982999999985</c:v>
                </c:pt>
                <c:pt idx="769">
                  <c:v>20.446982999999985</c:v>
                </c:pt>
                <c:pt idx="770">
                  <c:v>20.446982999999985</c:v>
                </c:pt>
                <c:pt idx="771">
                  <c:v>20.446982999999985</c:v>
                </c:pt>
                <c:pt idx="772">
                  <c:v>20.446982999999985</c:v>
                </c:pt>
                <c:pt idx="773">
                  <c:v>20.446982999999985</c:v>
                </c:pt>
                <c:pt idx="774">
                  <c:v>20.446982999999985</c:v>
                </c:pt>
                <c:pt idx="775">
                  <c:v>20.446982999999985</c:v>
                </c:pt>
                <c:pt idx="776">
                  <c:v>20.446982999999985</c:v>
                </c:pt>
                <c:pt idx="777">
                  <c:v>20.446982999999985</c:v>
                </c:pt>
                <c:pt idx="778">
                  <c:v>20.446982999999985</c:v>
                </c:pt>
                <c:pt idx="779">
                  <c:v>20.446982999999985</c:v>
                </c:pt>
                <c:pt idx="780">
                  <c:v>20.446982999999985</c:v>
                </c:pt>
                <c:pt idx="781">
                  <c:v>20.446982999999985</c:v>
                </c:pt>
                <c:pt idx="782">
                  <c:v>20.446982999999985</c:v>
                </c:pt>
                <c:pt idx="783">
                  <c:v>20.446982999999985</c:v>
                </c:pt>
                <c:pt idx="784">
                  <c:v>20.446982999999985</c:v>
                </c:pt>
                <c:pt idx="785">
                  <c:v>20.446982999999985</c:v>
                </c:pt>
                <c:pt idx="786">
                  <c:v>20.446982999999985</c:v>
                </c:pt>
                <c:pt idx="787">
                  <c:v>20.446982999999985</c:v>
                </c:pt>
                <c:pt idx="788">
                  <c:v>20.446982999999985</c:v>
                </c:pt>
                <c:pt idx="789">
                  <c:v>20.446982999999985</c:v>
                </c:pt>
                <c:pt idx="790">
                  <c:v>20.446982999999985</c:v>
                </c:pt>
                <c:pt idx="791">
                  <c:v>20.446982999999985</c:v>
                </c:pt>
                <c:pt idx="792">
                  <c:v>20.446982999999985</c:v>
                </c:pt>
                <c:pt idx="793">
                  <c:v>20.446982999999985</c:v>
                </c:pt>
                <c:pt idx="794">
                  <c:v>20.446982999999985</c:v>
                </c:pt>
                <c:pt idx="795">
                  <c:v>20.446982999999985</c:v>
                </c:pt>
                <c:pt idx="796">
                  <c:v>20.446982999999985</c:v>
                </c:pt>
                <c:pt idx="797">
                  <c:v>20.446982999999985</c:v>
                </c:pt>
                <c:pt idx="798">
                  <c:v>20.446982999999985</c:v>
                </c:pt>
                <c:pt idx="799">
                  <c:v>20.446982999999985</c:v>
                </c:pt>
                <c:pt idx="800">
                  <c:v>20.446982999999985</c:v>
                </c:pt>
                <c:pt idx="801">
                  <c:v>20.446982999999985</c:v>
                </c:pt>
                <c:pt idx="802">
                  <c:v>20.446982999999985</c:v>
                </c:pt>
                <c:pt idx="803">
                  <c:v>20.446982999999985</c:v>
                </c:pt>
                <c:pt idx="804">
                  <c:v>20.446982999999985</c:v>
                </c:pt>
                <c:pt idx="805">
                  <c:v>20.446982999999985</c:v>
                </c:pt>
                <c:pt idx="806">
                  <c:v>20.446982999999985</c:v>
                </c:pt>
                <c:pt idx="807">
                  <c:v>20.446982999999985</c:v>
                </c:pt>
                <c:pt idx="808">
                  <c:v>20.446982999999985</c:v>
                </c:pt>
                <c:pt idx="809">
                  <c:v>20.446982999999985</c:v>
                </c:pt>
                <c:pt idx="810">
                  <c:v>20.446982999999985</c:v>
                </c:pt>
                <c:pt idx="811">
                  <c:v>20.446982999999985</c:v>
                </c:pt>
                <c:pt idx="812">
                  <c:v>20.446982999999985</c:v>
                </c:pt>
                <c:pt idx="813">
                  <c:v>20.446982999999985</c:v>
                </c:pt>
                <c:pt idx="814">
                  <c:v>20.446982999999985</c:v>
                </c:pt>
                <c:pt idx="815">
                  <c:v>20.446982999999985</c:v>
                </c:pt>
                <c:pt idx="816">
                  <c:v>20.446982999999985</c:v>
                </c:pt>
                <c:pt idx="817">
                  <c:v>20.446982999999985</c:v>
                </c:pt>
                <c:pt idx="818">
                  <c:v>20.446982999999985</c:v>
                </c:pt>
                <c:pt idx="819">
                  <c:v>20.446982999999985</c:v>
                </c:pt>
                <c:pt idx="820">
                  <c:v>20.446982999999985</c:v>
                </c:pt>
                <c:pt idx="821">
                  <c:v>20.446982999999985</c:v>
                </c:pt>
                <c:pt idx="822">
                  <c:v>20.446982999999985</c:v>
                </c:pt>
                <c:pt idx="823">
                  <c:v>20.446982999999985</c:v>
                </c:pt>
                <c:pt idx="824">
                  <c:v>20.446982999999985</c:v>
                </c:pt>
                <c:pt idx="825">
                  <c:v>20.446982999999985</c:v>
                </c:pt>
                <c:pt idx="826">
                  <c:v>20.446982999999985</c:v>
                </c:pt>
                <c:pt idx="827">
                  <c:v>20.446982999999985</c:v>
                </c:pt>
                <c:pt idx="828">
                  <c:v>20.446982999999985</c:v>
                </c:pt>
                <c:pt idx="829">
                  <c:v>20.446982999999985</c:v>
                </c:pt>
                <c:pt idx="830">
                  <c:v>20.446982999999985</c:v>
                </c:pt>
                <c:pt idx="831">
                  <c:v>20.446982999999985</c:v>
                </c:pt>
                <c:pt idx="832">
                  <c:v>20.446982999999985</c:v>
                </c:pt>
                <c:pt idx="833">
                  <c:v>20.446982999999985</c:v>
                </c:pt>
                <c:pt idx="834">
                  <c:v>20.446982999999985</c:v>
                </c:pt>
                <c:pt idx="835">
                  <c:v>20.446982999999985</c:v>
                </c:pt>
                <c:pt idx="836">
                  <c:v>20.446982999999985</c:v>
                </c:pt>
                <c:pt idx="837">
                  <c:v>20.446982999999985</c:v>
                </c:pt>
                <c:pt idx="838">
                  <c:v>20.446982999999985</c:v>
                </c:pt>
                <c:pt idx="839">
                  <c:v>20.446982999999985</c:v>
                </c:pt>
                <c:pt idx="840">
                  <c:v>20.446982999999985</c:v>
                </c:pt>
                <c:pt idx="841">
                  <c:v>20.446982999999985</c:v>
                </c:pt>
                <c:pt idx="842">
                  <c:v>20.446982999999985</c:v>
                </c:pt>
                <c:pt idx="843">
                  <c:v>20.446982999999985</c:v>
                </c:pt>
                <c:pt idx="844">
                  <c:v>20.446982999999985</c:v>
                </c:pt>
                <c:pt idx="845">
                  <c:v>20.446982999999985</c:v>
                </c:pt>
                <c:pt idx="846">
                  <c:v>20.446982999999985</c:v>
                </c:pt>
                <c:pt idx="847">
                  <c:v>20.446982999999985</c:v>
                </c:pt>
                <c:pt idx="848">
                  <c:v>20.446982999999985</c:v>
                </c:pt>
                <c:pt idx="849">
                  <c:v>20.446982999999985</c:v>
                </c:pt>
                <c:pt idx="850">
                  <c:v>20.446982999999985</c:v>
                </c:pt>
                <c:pt idx="851">
                  <c:v>20.446982999999985</c:v>
                </c:pt>
                <c:pt idx="852">
                  <c:v>20.446982999999985</c:v>
                </c:pt>
                <c:pt idx="853">
                  <c:v>20.446982999999985</c:v>
                </c:pt>
                <c:pt idx="854">
                  <c:v>20.446982999999985</c:v>
                </c:pt>
                <c:pt idx="855">
                  <c:v>20.446982999999985</c:v>
                </c:pt>
                <c:pt idx="856">
                  <c:v>20.446982999999985</c:v>
                </c:pt>
                <c:pt idx="857">
                  <c:v>20.446982999999985</c:v>
                </c:pt>
                <c:pt idx="858">
                  <c:v>20.446982999999985</c:v>
                </c:pt>
                <c:pt idx="859">
                  <c:v>20.446982999999985</c:v>
                </c:pt>
                <c:pt idx="860">
                  <c:v>20.446982999999985</c:v>
                </c:pt>
                <c:pt idx="861">
                  <c:v>20.446982999999985</c:v>
                </c:pt>
                <c:pt idx="862">
                  <c:v>20.446982999999985</c:v>
                </c:pt>
                <c:pt idx="863">
                  <c:v>20.446982999999985</c:v>
                </c:pt>
                <c:pt idx="864">
                  <c:v>20.446982999999985</c:v>
                </c:pt>
                <c:pt idx="865">
                  <c:v>20.446982999999985</c:v>
                </c:pt>
                <c:pt idx="866">
                  <c:v>20.446982999999985</c:v>
                </c:pt>
                <c:pt idx="867">
                  <c:v>20.446982999999985</c:v>
                </c:pt>
                <c:pt idx="868">
                  <c:v>20.446982999999985</c:v>
                </c:pt>
                <c:pt idx="869">
                  <c:v>20.446982999999985</c:v>
                </c:pt>
                <c:pt idx="870">
                  <c:v>20.446982999999985</c:v>
                </c:pt>
                <c:pt idx="871">
                  <c:v>20.446982999999985</c:v>
                </c:pt>
                <c:pt idx="872">
                  <c:v>20.446982999999985</c:v>
                </c:pt>
                <c:pt idx="873">
                  <c:v>20.446982999999985</c:v>
                </c:pt>
                <c:pt idx="874">
                  <c:v>20.446982999999985</c:v>
                </c:pt>
                <c:pt idx="875">
                  <c:v>20.446982999999985</c:v>
                </c:pt>
                <c:pt idx="876">
                  <c:v>20.446982999999985</c:v>
                </c:pt>
                <c:pt idx="877">
                  <c:v>20.446982999999985</c:v>
                </c:pt>
                <c:pt idx="878">
                  <c:v>20.446982999999985</c:v>
                </c:pt>
                <c:pt idx="879">
                  <c:v>20.446982999999985</c:v>
                </c:pt>
                <c:pt idx="880">
                  <c:v>20.446982999999985</c:v>
                </c:pt>
                <c:pt idx="881">
                  <c:v>20.446982999999985</c:v>
                </c:pt>
                <c:pt idx="882">
                  <c:v>20.446982999999985</c:v>
                </c:pt>
                <c:pt idx="883">
                  <c:v>20.446982999999985</c:v>
                </c:pt>
                <c:pt idx="884">
                  <c:v>20.446982999999985</c:v>
                </c:pt>
                <c:pt idx="885">
                  <c:v>20.446982999999985</c:v>
                </c:pt>
                <c:pt idx="886">
                  <c:v>20.446982999999985</c:v>
                </c:pt>
                <c:pt idx="887">
                  <c:v>20.446982999999985</c:v>
                </c:pt>
                <c:pt idx="888">
                  <c:v>20.446982999999985</c:v>
                </c:pt>
                <c:pt idx="889">
                  <c:v>20.446982999999985</c:v>
                </c:pt>
                <c:pt idx="890">
                  <c:v>20.446982999999985</c:v>
                </c:pt>
                <c:pt idx="891">
                  <c:v>20.446982999999985</c:v>
                </c:pt>
                <c:pt idx="892">
                  <c:v>20.446982999999985</c:v>
                </c:pt>
                <c:pt idx="893">
                  <c:v>20.446982999999985</c:v>
                </c:pt>
                <c:pt idx="894">
                  <c:v>20.446982999999985</c:v>
                </c:pt>
                <c:pt idx="895">
                  <c:v>20.446982999999985</c:v>
                </c:pt>
                <c:pt idx="896">
                  <c:v>20.446982999999985</c:v>
                </c:pt>
                <c:pt idx="897">
                  <c:v>20.446982999999985</c:v>
                </c:pt>
                <c:pt idx="898">
                  <c:v>20.446982999999985</c:v>
                </c:pt>
                <c:pt idx="899">
                  <c:v>20.446982999999985</c:v>
                </c:pt>
                <c:pt idx="900">
                  <c:v>20.446982999999985</c:v>
                </c:pt>
                <c:pt idx="901">
                  <c:v>20.446982999999985</c:v>
                </c:pt>
                <c:pt idx="902">
                  <c:v>20.446982999999985</c:v>
                </c:pt>
                <c:pt idx="903">
                  <c:v>20.446982999999985</c:v>
                </c:pt>
                <c:pt idx="904">
                  <c:v>20.446982999999985</c:v>
                </c:pt>
                <c:pt idx="905">
                  <c:v>20.446982999999985</c:v>
                </c:pt>
                <c:pt idx="906">
                  <c:v>20.446982999999985</c:v>
                </c:pt>
                <c:pt idx="907">
                  <c:v>20.446982999999985</c:v>
                </c:pt>
                <c:pt idx="908">
                  <c:v>20.446982999999985</c:v>
                </c:pt>
                <c:pt idx="909">
                  <c:v>20.446982999999985</c:v>
                </c:pt>
                <c:pt idx="910">
                  <c:v>20.446982999999985</c:v>
                </c:pt>
                <c:pt idx="911">
                  <c:v>20.446982999999985</c:v>
                </c:pt>
                <c:pt idx="912">
                  <c:v>20.446982999999985</c:v>
                </c:pt>
                <c:pt idx="913">
                  <c:v>20.446982999999985</c:v>
                </c:pt>
                <c:pt idx="914">
                  <c:v>20.446982999999985</c:v>
                </c:pt>
                <c:pt idx="915">
                  <c:v>20.446982999999985</c:v>
                </c:pt>
                <c:pt idx="916">
                  <c:v>20.446982999999985</c:v>
                </c:pt>
                <c:pt idx="917">
                  <c:v>20.446982999999985</c:v>
                </c:pt>
                <c:pt idx="918">
                  <c:v>20.446982999999985</c:v>
                </c:pt>
                <c:pt idx="919">
                  <c:v>20.446982999999985</c:v>
                </c:pt>
                <c:pt idx="920">
                  <c:v>20.446982999999985</c:v>
                </c:pt>
                <c:pt idx="921">
                  <c:v>20.446982999999985</c:v>
                </c:pt>
                <c:pt idx="922">
                  <c:v>20.446982999999985</c:v>
                </c:pt>
                <c:pt idx="923">
                  <c:v>20.446982999999985</c:v>
                </c:pt>
                <c:pt idx="924">
                  <c:v>20.446982999999985</c:v>
                </c:pt>
                <c:pt idx="925">
                  <c:v>20.446982999999985</c:v>
                </c:pt>
                <c:pt idx="926">
                  <c:v>20.446982999999985</c:v>
                </c:pt>
                <c:pt idx="927">
                  <c:v>20.446982999999985</c:v>
                </c:pt>
                <c:pt idx="928">
                  <c:v>20.446982999999985</c:v>
                </c:pt>
                <c:pt idx="929">
                  <c:v>20.446982999999985</c:v>
                </c:pt>
                <c:pt idx="930">
                  <c:v>20.446982999999985</c:v>
                </c:pt>
                <c:pt idx="931">
                  <c:v>20.446982999999985</c:v>
                </c:pt>
                <c:pt idx="932">
                  <c:v>20.446982999999985</c:v>
                </c:pt>
                <c:pt idx="933">
                  <c:v>20.446982999999985</c:v>
                </c:pt>
                <c:pt idx="934">
                  <c:v>20.446982999999985</c:v>
                </c:pt>
                <c:pt idx="935">
                  <c:v>20.446982999999985</c:v>
                </c:pt>
                <c:pt idx="936">
                  <c:v>20.446982999999985</c:v>
                </c:pt>
                <c:pt idx="937">
                  <c:v>20.446982999999985</c:v>
                </c:pt>
                <c:pt idx="938">
                  <c:v>20.446982999999985</c:v>
                </c:pt>
                <c:pt idx="939">
                  <c:v>20.446982999999985</c:v>
                </c:pt>
                <c:pt idx="940">
                  <c:v>20.446982999999985</c:v>
                </c:pt>
                <c:pt idx="941">
                  <c:v>20.446982999999985</c:v>
                </c:pt>
                <c:pt idx="942">
                  <c:v>20.446982999999985</c:v>
                </c:pt>
                <c:pt idx="943">
                  <c:v>20.446982999999985</c:v>
                </c:pt>
                <c:pt idx="944">
                  <c:v>20.446982999999985</c:v>
                </c:pt>
                <c:pt idx="945">
                  <c:v>20.446982999999985</c:v>
                </c:pt>
                <c:pt idx="946">
                  <c:v>20.446982999999985</c:v>
                </c:pt>
                <c:pt idx="947">
                  <c:v>20.446982999999985</c:v>
                </c:pt>
                <c:pt idx="948">
                  <c:v>20.446982999999985</c:v>
                </c:pt>
                <c:pt idx="949">
                  <c:v>20.446982999999985</c:v>
                </c:pt>
                <c:pt idx="950">
                  <c:v>20.446982999999985</c:v>
                </c:pt>
                <c:pt idx="951">
                  <c:v>20.446982999999985</c:v>
                </c:pt>
                <c:pt idx="952">
                  <c:v>20.446982999999985</c:v>
                </c:pt>
                <c:pt idx="953">
                  <c:v>20.446982999999985</c:v>
                </c:pt>
                <c:pt idx="954">
                  <c:v>20.446982999999985</c:v>
                </c:pt>
                <c:pt idx="955">
                  <c:v>20.446982999999985</c:v>
                </c:pt>
                <c:pt idx="956">
                  <c:v>20.446982999999985</c:v>
                </c:pt>
                <c:pt idx="957">
                  <c:v>20.446982999999985</c:v>
                </c:pt>
                <c:pt idx="958">
                  <c:v>20.446982999999985</c:v>
                </c:pt>
                <c:pt idx="959">
                  <c:v>20.446982999999985</c:v>
                </c:pt>
                <c:pt idx="960">
                  <c:v>20.446982999999985</c:v>
                </c:pt>
                <c:pt idx="961">
                  <c:v>20.446982999999985</c:v>
                </c:pt>
                <c:pt idx="962">
                  <c:v>20.446982999999985</c:v>
                </c:pt>
                <c:pt idx="963">
                  <c:v>20.446982999999985</c:v>
                </c:pt>
                <c:pt idx="964">
                  <c:v>20.446982999999985</c:v>
                </c:pt>
                <c:pt idx="965">
                  <c:v>20.446982999999985</c:v>
                </c:pt>
                <c:pt idx="966">
                  <c:v>20.446982999999985</c:v>
                </c:pt>
                <c:pt idx="967">
                  <c:v>20.446982999999985</c:v>
                </c:pt>
                <c:pt idx="968">
                  <c:v>20.446982999999985</c:v>
                </c:pt>
                <c:pt idx="969">
                  <c:v>20.446982999999985</c:v>
                </c:pt>
                <c:pt idx="970">
                  <c:v>20.446982999999985</c:v>
                </c:pt>
                <c:pt idx="971">
                  <c:v>20.446982999999985</c:v>
                </c:pt>
                <c:pt idx="972">
                  <c:v>20.446982999999985</c:v>
                </c:pt>
                <c:pt idx="973">
                  <c:v>20.446982999999985</c:v>
                </c:pt>
                <c:pt idx="974">
                  <c:v>20.446982999999985</c:v>
                </c:pt>
                <c:pt idx="975">
                  <c:v>20.446982999999985</c:v>
                </c:pt>
                <c:pt idx="976">
                  <c:v>20.446982999999985</c:v>
                </c:pt>
                <c:pt idx="977">
                  <c:v>20.446982999999985</c:v>
                </c:pt>
                <c:pt idx="978">
                  <c:v>20.446982999999985</c:v>
                </c:pt>
                <c:pt idx="979">
                  <c:v>20.446982999999985</c:v>
                </c:pt>
                <c:pt idx="980">
                  <c:v>20.446982999999985</c:v>
                </c:pt>
                <c:pt idx="981">
                  <c:v>20.446982999999985</c:v>
                </c:pt>
                <c:pt idx="982">
                  <c:v>20.446982999999985</c:v>
                </c:pt>
                <c:pt idx="983">
                  <c:v>20.446982999999985</c:v>
                </c:pt>
                <c:pt idx="984">
                  <c:v>20.446982999999985</c:v>
                </c:pt>
                <c:pt idx="985">
                  <c:v>20.446982999999985</c:v>
                </c:pt>
                <c:pt idx="986">
                  <c:v>20.446982999999985</c:v>
                </c:pt>
                <c:pt idx="987">
                  <c:v>20.446982999999985</c:v>
                </c:pt>
                <c:pt idx="988">
                  <c:v>20.446982999999985</c:v>
                </c:pt>
                <c:pt idx="989">
                  <c:v>20.446982999999985</c:v>
                </c:pt>
                <c:pt idx="990">
                  <c:v>20.446982999999985</c:v>
                </c:pt>
                <c:pt idx="991">
                  <c:v>20.446982999999985</c:v>
                </c:pt>
                <c:pt idx="992">
                  <c:v>20.446982999999985</c:v>
                </c:pt>
                <c:pt idx="993">
                  <c:v>20.446982999999985</c:v>
                </c:pt>
                <c:pt idx="994">
                  <c:v>20.446982999999985</c:v>
                </c:pt>
                <c:pt idx="995">
                  <c:v>20.446982999999985</c:v>
                </c:pt>
                <c:pt idx="996">
                  <c:v>20.446982999999985</c:v>
                </c:pt>
                <c:pt idx="997">
                  <c:v>20.446982999999985</c:v>
                </c:pt>
                <c:pt idx="998">
                  <c:v>20.446982999999985</c:v>
                </c:pt>
                <c:pt idx="999">
                  <c:v>20.446982999999985</c:v>
                </c:pt>
                <c:pt idx="1000">
                  <c:v>20.446982999999985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4-48D6-934B-5D8E0316888E}"/>
            </c:ext>
          </c:extLst>
        </c:ser>
        <c:ser>
          <c:idx val="0"/>
          <c:order val="2"/>
          <c:tx>
            <c:strRef>
              <c:f>Courbes!$B$133</c:f>
              <c:strCache>
                <c:ptCount val="1"/>
                <c:pt idx="0">
                  <c:v>Traînée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5.7</c:v>
                </c:pt>
                <c:pt idx="1">
                  <c:v>5.71</c:v>
                </c:pt>
                <c:pt idx="2">
                  <c:v>5.72</c:v>
                </c:pt>
                <c:pt idx="3">
                  <c:v>5.7299999999999995</c:v>
                </c:pt>
                <c:pt idx="4">
                  <c:v>5.7399999999999993</c:v>
                </c:pt>
                <c:pt idx="5">
                  <c:v>5.7499999999999991</c:v>
                </c:pt>
                <c:pt idx="6">
                  <c:v>5.7599999999999989</c:v>
                </c:pt>
                <c:pt idx="7">
                  <c:v>5.7699999999999987</c:v>
                </c:pt>
                <c:pt idx="8">
                  <c:v>5.7799999999999985</c:v>
                </c:pt>
                <c:pt idx="9">
                  <c:v>5.7899999999999983</c:v>
                </c:pt>
                <c:pt idx="10">
                  <c:v>5.799999999999998</c:v>
                </c:pt>
                <c:pt idx="11">
                  <c:v>5.8099999999999978</c:v>
                </c:pt>
                <c:pt idx="12">
                  <c:v>5.8199999999999976</c:v>
                </c:pt>
                <c:pt idx="13">
                  <c:v>5.8299999999999974</c:v>
                </c:pt>
                <c:pt idx="14">
                  <c:v>5.8399999999999972</c:v>
                </c:pt>
                <c:pt idx="15">
                  <c:v>5.849999999999997</c:v>
                </c:pt>
                <c:pt idx="16">
                  <c:v>5.8599999999999968</c:v>
                </c:pt>
                <c:pt idx="17">
                  <c:v>5.8699999999999966</c:v>
                </c:pt>
                <c:pt idx="18">
                  <c:v>5.8799999999999963</c:v>
                </c:pt>
                <c:pt idx="19">
                  <c:v>5.8899999999999961</c:v>
                </c:pt>
                <c:pt idx="20">
                  <c:v>5.8999999999999959</c:v>
                </c:pt>
                <c:pt idx="21">
                  <c:v>5.9099999999999957</c:v>
                </c:pt>
                <c:pt idx="22">
                  <c:v>5.9199999999999955</c:v>
                </c:pt>
                <c:pt idx="23">
                  <c:v>5.9299999999999953</c:v>
                </c:pt>
                <c:pt idx="24">
                  <c:v>5.9399999999999951</c:v>
                </c:pt>
                <c:pt idx="25">
                  <c:v>5.9499999999999948</c:v>
                </c:pt>
                <c:pt idx="26">
                  <c:v>5.9599999999999946</c:v>
                </c:pt>
                <c:pt idx="27">
                  <c:v>5.9699999999999944</c:v>
                </c:pt>
                <c:pt idx="28">
                  <c:v>5.9799999999999942</c:v>
                </c:pt>
                <c:pt idx="29">
                  <c:v>5.989999999999994</c:v>
                </c:pt>
                <c:pt idx="30">
                  <c:v>5.9999999999999938</c:v>
                </c:pt>
                <c:pt idx="31">
                  <c:v>6.0099999999999936</c:v>
                </c:pt>
                <c:pt idx="32">
                  <c:v>6.0199999999999934</c:v>
                </c:pt>
                <c:pt idx="33">
                  <c:v>6.0299999999999931</c:v>
                </c:pt>
                <c:pt idx="34">
                  <c:v>6.0399999999999929</c:v>
                </c:pt>
                <c:pt idx="35">
                  <c:v>6.0499999999999927</c:v>
                </c:pt>
                <c:pt idx="36">
                  <c:v>6.0599999999999925</c:v>
                </c:pt>
                <c:pt idx="37">
                  <c:v>6.0699999999999923</c:v>
                </c:pt>
                <c:pt idx="38">
                  <c:v>6.0799999999999921</c:v>
                </c:pt>
                <c:pt idx="39">
                  <c:v>6.0899999999999919</c:v>
                </c:pt>
                <c:pt idx="40">
                  <c:v>6.0999999999999917</c:v>
                </c:pt>
                <c:pt idx="41">
                  <c:v>6.1099999999999914</c:v>
                </c:pt>
                <c:pt idx="42">
                  <c:v>6.1199999999999912</c:v>
                </c:pt>
                <c:pt idx="43">
                  <c:v>6.129999999999991</c:v>
                </c:pt>
                <c:pt idx="44">
                  <c:v>6.1399999999999908</c:v>
                </c:pt>
                <c:pt idx="45">
                  <c:v>6.1499999999999906</c:v>
                </c:pt>
                <c:pt idx="46">
                  <c:v>6.1599999999999904</c:v>
                </c:pt>
                <c:pt idx="47">
                  <c:v>6.1699999999999902</c:v>
                </c:pt>
                <c:pt idx="48">
                  <c:v>6.1799999999999899</c:v>
                </c:pt>
                <c:pt idx="49">
                  <c:v>6.1899999999999897</c:v>
                </c:pt>
                <c:pt idx="50">
                  <c:v>6.1999999999999895</c:v>
                </c:pt>
                <c:pt idx="51">
                  <c:v>6.2099999999999893</c:v>
                </c:pt>
                <c:pt idx="52">
                  <c:v>6.2199999999999891</c:v>
                </c:pt>
                <c:pt idx="53">
                  <c:v>6.2299999999999889</c:v>
                </c:pt>
                <c:pt idx="54">
                  <c:v>6.2399999999999887</c:v>
                </c:pt>
                <c:pt idx="55">
                  <c:v>6.2499999999999885</c:v>
                </c:pt>
                <c:pt idx="56">
                  <c:v>6.2599999999999882</c:v>
                </c:pt>
                <c:pt idx="57">
                  <c:v>6.269999999999988</c:v>
                </c:pt>
                <c:pt idx="58">
                  <c:v>6.2799999999999878</c:v>
                </c:pt>
                <c:pt idx="59">
                  <c:v>6.2899999999999876</c:v>
                </c:pt>
                <c:pt idx="60">
                  <c:v>6.2999999999999874</c:v>
                </c:pt>
                <c:pt idx="61">
                  <c:v>6.3099999999999872</c:v>
                </c:pt>
                <c:pt idx="62">
                  <c:v>6.319999999999987</c:v>
                </c:pt>
                <c:pt idx="63">
                  <c:v>6.3299999999999867</c:v>
                </c:pt>
                <c:pt idx="64">
                  <c:v>6.3399999999999865</c:v>
                </c:pt>
                <c:pt idx="65">
                  <c:v>6.3499999999999863</c:v>
                </c:pt>
                <c:pt idx="66">
                  <c:v>6.3599999999999861</c:v>
                </c:pt>
                <c:pt idx="67">
                  <c:v>6.3699999999999859</c:v>
                </c:pt>
                <c:pt idx="68">
                  <c:v>6.3799999999999857</c:v>
                </c:pt>
                <c:pt idx="69">
                  <c:v>6.3899999999999855</c:v>
                </c:pt>
                <c:pt idx="70">
                  <c:v>6.3999999999999853</c:v>
                </c:pt>
                <c:pt idx="71">
                  <c:v>6.409999999999985</c:v>
                </c:pt>
                <c:pt idx="72">
                  <c:v>6.4199999999999848</c:v>
                </c:pt>
                <c:pt idx="73">
                  <c:v>6.4299999999999846</c:v>
                </c:pt>
                <c:pt idx="74">
                  <c:v>6.4399999999999844</c:v>
                </c:pt>
                <c:pt idx="75">
                  <c:v>6.4499999999999842</c:v>
                </c:pt>
                <c:pt idx="76">
                  <c:v>6.459999999999984</c:v>
                </c:pt>
                <c:pt idx="77">
                  <c:v>6.4699999999999838</c:v>
                </c:pt>
                <c:pt idx="78">
                  <c:v>6.4799999999999836</c:v>
                </c:pt>
                <c:pt idx="79">
                  <c:v>6.4899999999999833</c:v>
                </c:pt>
                <c:pt idx="80">
                  <c:v>6.4999999999999831</c:v>
                </c:pt>
                <c:pt idx="81">
                  <c:v>6.5099999999999829</c:v>
                </c:pt>
                <c:pt idx="82">
                  <c:v>6.5199999999999827</c:v>
                </c:pt>
                <c:pt idx="83">
                  <c:v>6.5299999999999825</c:v>
                </c:pt>
                <c:pt idx="84">
                  <c:v>6.5399999999999823</c:v>
                </c:pt>
                <c:pt idx="85">
                  <c:v>6.5499999999999821</c:v>
                </c:pt>
                <c:pt idx="86">
                  <c:v>6.5599999999999818</c:v>
                </c:pt>
                <c:pt idx="87">
                  <c:v>6.5699999999999816</c:v>
                </c:pt>
                <c:pt idx="88">
                  <c:v>6.5799999999999814</c:v>
                </c:pt>
                <c:pt idx="89">
                  <c:v>6.5899999999999812</c:v>
                </c:pt>
                <c:pt idx="90">
                  <c:v>6.599999999999981</c:v>
                </c:pt>
                <c:pt idx="91">
                  <c:v>6.6099999999999808</c:v>
                </c:pt>
                <c:pt idx="92">
                  <c:v>6.6199999999999806</c:v>
                </c:pt>
                <c:pt idx="93">
                  <c:v>6.6299999999999804</c:v>
                </c:pt>
                <c:pt idx="94">
                  <c:v>6.6399999999999801</c:v>
                </c:pt>
                <c:pt idx="95">
                  <c:v>6.6499999999999799</c:v>
                </c:pt>
                <c:pt idx="96">
                  <c:v>6.6599999999999797</c:v>
                </c:pt>
                <c:pt idx="97">
                  <c:v>6.6699999999999795</c:v>
                </c:pt>
                <c:pt idx="98">
                  <c:v>6.6799999999999793</c:v>
                </c:pt>
                <c:pt idx="99">
                  <c:v>6.6899999999999791</c:v>
                </c:pt>
                <c:pt idx="100">
                  <c:v>6.6999999999999789</c:v>
                </c:pt>
                <c:pt idx="101">
                  <c:v>6.7099999999999786</c:v>
                </c:pt>
                <c:pt idx="102">
                  <c:v>6.7199999999999784</c:v>
                </c:pt>
                <c:pt idx="103">
                  <c:v>6.7299999999999782</c:v>
                </c:pt>
                <c:pt idx="104">
                  <c:v>6.739999999999978</c:v>
                </c:pt>
                <c:pt idx="105">
                  <c:v>6.7499999999999778</c:v>
                </c:pt>
                <c:pt idx="106">
                  <c:v>6.7599999999999776</c:v>
                </c:pt>
                <c:pt idx="107">
                  <c:v>6.7699999999999774</c:v>
                </c:pt>
                <c:pt idx="108">
                  <c:v>6.7799999999999772</c:v>
                </c:pt>
                <c:pt idx="109">
                  <c:v>6.7899999999999769</c:v>
                </c:pt>
                <c:pt idx="110">
                  <c:v>6.7999999999999767</c:v>
                </c:pt>
                <c:pt idx="111">
                  <c:v>6.8099999999999765</c:v>
                </c:pt>
                <c:pt idx="112">
                  <c:v>6.8199999999999763</c:v>
                </c:pt>
                <c:pt idx="113">
                  <c:v>6.8299999999999761</c:v>
                </c:pt>
                <c:pt idx="114">
                  <c:v>6.8399999999999759</c:v>
                </c:pt>
                <c:pt idx="115">
                  <c:v>6.8499999999999757</c:v>
                </c:pt>
                <c:pt idx="116">
                  <c:v>6.8599999999999755</c:v>
                </c:pt>
                <c:pt idx="117">
                  <c:v>6.8699999999999752</c:v>
                </c:pt>
                <c:pt idx="118">
                  <c:v>6.879999999999975</c:v>
                </c:pt>
                <c:pt idx="119">
                  <c:v>6.8899999999999748</c:v>
                </c:pt>
                <c:pt idx="120">
                  <c:v>6.8999999999999746</c:v>
                </c:pt>
                <c:pt idx="121">
                  <c:v>6.9099999999999744</c:v>
                </c:pt>
                <c:pt idx="122">
                  <c:v>6.9199999999999742</c:v>
                </c:pt>
                <c:pt idx="123">
                  <c:v>6.929999999999974</c:v>
                </c:pt>
                <c:pt idx="124">
                  <c:v>6.9399999999999737</c:v>
                </c:pt>
                <c:pt idx="125">
                  <c:v>6.9499999999999735</c:v>
                </c:pt>
                <c:pt idx="126">
                  <c:v>6.9599999999999733</c:v>
                </c:pt>
                <c:pt idx="127">
                  <c:v>6.9699999999999731</c:v>
                </c:pt>
                <c:pt idx="128">
                  <c:v>6.9799999999999729</c:v>
                </c:pt>
                <c:pt idx="129">
                  <c:v>6.9899999999999727</c:v>
                </c:pt>
                <c:pt idx="130">
                  <c:v>6.9999999999999725</c:v>
                </c:pt>
                <c:pt idx="131">
                  <c:v>7.0099999999999723</c:v>
                </c:pt>
                <c:pt idx="132">
                  <c:v>7.019999999999972</c:v>
                </c:pt>
                <c:pt idx="133">
                  <c:v>7.0299999999999718</c:v>
                </c:pt>
                <c:pt idx="134">
                  <c:v>7.0399999999999716</c:v>
                </c:pt>
                <c:pt idx="135">
                  <c:v>7.0499999999999714</c:v>
                </c:pt>
                <c:pt idx="136">
                  <c:v>7.0599999999999712</c:v>
                </c:pt>
                <c:pt idx="137">
                  <c:v>7.069999999999971</c:v>
                </c:pt>
                <c:pt idx="138">
                  <c:v>7.0799999999999708</c:v>
                </c:pt>
                <c:pt idx="139">
                  <c:v>7.0899999999999705</c:v>
                </c:pt>
                <c:pt idx="140">
                  <c:v>7.0999999999999703</c:v>
                </c:pt>
                <c:pt idx="141">
                  <c:v>7.1099999999999701</c:v>
                </c:pt>
                <c:pt idx="142">
                  <c:v>7.1199999999999699</c:v>
                </c:pt>
                <c:pt idx="143">
                  <c:v>7.1299999999999697</c:v>
                </c:pt>
                <c:pt idx="144">
                  <c:v>7.1399999999999695</c:v>
                </c:pt>
                <c:pt idx="145">
                  <c:v>7.1499999999999693</c:v>
                </c:pt>
                <c:pt idx="146">
                  <c:v>7.1599999999999691</c:v>
                </c:pt>
                <c:pt idx="147">
                  <c:v>7.1699999999999688</c:v>
                </c:pt>
                <c:pt idx="148">
                  <c:v>7.1799999999999686</c:v>
                </c:pt>
                <c:pt idx="149">
                  <c:v>7.1899999999999684</c:v>
                </c:pt>
                <c:pt idx="150">
                  <c:v>7.1999999999999682</c:v>
                </c:pt>
                <c:pt idx="151">
                  <c:v>7.209999999999968</c:v>
                </c:pt>
                <c:pt idx="152">
                  <c:v>7.2199999999999678</c:v>
                </c:pt>
                <c:pt idx="153">
                  <c:v>7.2299999999999676</c:v>
                </c:pt>
                <c:pt idx="154">
                  <c:v>7.2399999999999674</c:v>
                </c:pt>
                <c:pt idx="155">
                  <c:v>7.2499999999999671</c:v>
                </c:pt>
                <c:pt idx="156">
                  <c:v>7.2599999999999669</c:v>
                </c:pt>
                <c:pt idx="157">
                  <c:v>7.2699999999999667</c:v>
                </c:pt>
                <c:pt idx="158">
                  <c:v>7.2799999999999665</c:v>
                </c:pt>
                <c:pt idx="159">
                  <c:v>7.2899999999999663</c:v>
                </c:pt>
                <c:pt idx="160">
                  <c:v>7.2999999999999661</c:v>
                </c:pt>
                <c:pt idx="161">
                  <c:v>7.3099999999999659</c:v>
                </c:pt>
                <c:pt idx="162">
                  <c:v>7.3199999999999656</c:v>
                </c:pt>
                <c:pt idx="163">
                  <c:v>7.3299999999999654</c:v>
                </c:pt>
                <c:pt idx="164">
                  <c:v>7.3399999999999652</c:v>
                </c:pt>
                <c:pt idx="165">
                  <c:v>7.349999999999965</c:v>
                </c:pt>
                <c:pt idx="166">
                  <c:v>7.3599999999999648</c:v>
                </c:pt>
                <c:pt idx="167">
                  <c:v>7.3699999999999646</c:v>
                </c:pt>
                <c:pt idx="168">
                  <c:v>7.3799999999999644</c:v>
                </c:pt>
                <c:pt idx="169">
                  <c:v>7.3899999999999642</c:v>
                </c:pt>
                <c:pt idx="170">
                  <c:v>7.3999999999999639</c:v>
                </c:pt>
                <c:pt idx="171">
                  <c:v>7.4099999999999637</c:v>
                </c:pt>
                <c:pt idx="172">
                  <c:v>7.4199999999999635</c:v>
                </c:pt>
                <c:pt idx="173">
                  <c:v>7.4299999999999633</c:v>
                </c:pt>
                <c:pt idx="174">
                  <c:v>7.4399999999999631</c:v>
                </c:pt>
                <c:pt idx="175">
                  <c:v>7.4499999999999629</c:v>
                </c:pt>
                <c:pt idx="176">
                  <c:v>7.4599999999999627</c:v>
                </c:pt>
                <c:pt idx="177">
                  <c:v>7.4699999999999624</c:v>
                </c:pt>
                <c:pt idx="178">
                  <c:v>7.4799999999999622</c:v>
                </c:pt>
                <c:pt idx="179">
                  <c:v>7.489999999999962</c:v>
                </c:pt>
                <c:pt idx="180">
                  <c:v>7.4999999999999618</c:v>
                </c:pt>
                <c:pt idx="181">
                  <c:v>7.5099999999999616</c:v>
                </c:pt>
                <c:pt idx="182">
                  <c:v>7.5199999999999614</c:v>
                </c:pt>
                <c:pt idx="183">
                  <c:v>7.5299999999999612</c:v>
                </c:pt>
                <c:pt idx="184">
                  <c:v>7.539999999999961</c:v>
                </c:pt>
                <c:pt idx="185">
                  <c:v>7.5499999999999607</c:v>
                </c:pt>
                <c:pt idx="186">
                  <c:v>7.5599999999999605</c:v>
                </c:pt>
                <c:pt idx="187">
                  <c:v>7.5699999999999603</c:v>
                </c:pt>
                <c:pt idx="188">
                  <c:v>7.5799999999999601</c:v>
                </c:pt>
                <c:pt idx="189">
                  <c:v>7.5899999999999599</c:v>
                </c:pt>
                <c:pt idx="190">
                  <c:v>7.5999999999999597</c:v>
                </c:pt>
                <c:pt idx="191">
                  <c:v>7.6099999999999595</c:v>
                </c:pt>
                <c:pt idx="192">
                  <c:v>7.6199999999999593</c:v>
                </c:pt>
                <c:pt idx="193">
                  <c:v>7.629999999999959</c:v>
                </c:pt>
                <c:pt idx="194">
                  <c:v>7.6399999999999588</c:v>
                </c:pt>
                <c:pt idx="195">
                  <c:v>7.6499999999999586</c:v>
                </c:pt>
                <c:pt idx="196">
                  <c:v>7.6599999999999584</c:v>
                </c:pt>
                <c:pt idx="197">
                  <c:v>7.6699999999999582</c:v>
                </c:pt>
                <c:pt idx="198">
                  <c:v>7.679999999999958</c:v>
                </c:pt>
                <c:pt idx="199">
                  <c:v>7.6899999999999578</c:v>
                </c:pt>
                <c:pt idx="200">
                  <c:v>7.6999999999999575</c:v>
                </c:pt>
                <c:pt idx="201">
                  <c:v>7.7999999999999572</c:v>
                </c:pt>
                <c:pt idx="202">
                  <c:v>7.8999999999999568</c:v>
                </c:pt>
                <c:pt idx="203">
                  <c:v>7.9999999999999565</c:v>
                </c:pt>
                <c:pt idx="204">
                  <c:v>8.099999999999957</c:v>
                </c:pt>
                <c:pt idx="205">
                  <c:v>8.1999999999999567</c:v>
                </c:pt>
                <c:pt idx="206">
                  <c:v>8.2999999999999563</c:v>
                </c:pt>
                <c:pt idx="207">
                  <c:v>8.3999999999999559</c:v>
                </c:pt>
                <c:pt idx="208">
                  <c:v>8.4999999999999556</c:v>
                </c:pt>
                <c:pt idx="209">
                  <c:v>8.5999999999999552</c:v>
                </c:pt>
                <c:pt idx="210">
                  <c:v>8.6999999999999549</c:v>
                </c:pt>
                <c:pt idx="211">
                  <c:v>8.7999999999999545</c:v>
                </c:pt>
                <c:pt idx="212">
                  <c:v>8.8999999999999542</c:v>
                </c:pt>
                <c:pt idx="213">
                  <c:v>8.9999999999999538</c:v>
                </c:pt>
                <c:pt idx="214">
                  <c:v>9.0999999999999535</c:v>
                </c:pt>
                <c:pt idx="215">
                  <c:v>9.1999999999999531</c:v>
                </c:pt>
                <c:pt idx="216">
                  <c:v>9.2999999999999527</c:v>
                </c:pt>
                <c:pt idx="217">
                  <c:v>9.3999999999999524</c:v>
                </c:pt>
                <c:pt idx="218">
                  <c:v>9.499999999999952</c:v>
                </c:pt>
                <c:pt idx="219">
                  <c:v>9.5999999999999517</c:v>
                </c:pt>
                <c:pt idx="220">
                  <c:v>9.6999999999999513</c:v>
                </c:pt>
                <c:pt idx="221">
                  <c:v>9.799999999999951</c:v>
                </c:pt>
                <c:pt idx="222">
                  <c:v>9.8999999999999506</c:v>
                </c:pt>
                <c:pt idx="223">
                  <c:v>9.9999999999999503</c:v>
                </c:pt>
                <c:pt idx="224">
                  <c:v>10.09999999999995</c:v>
                </c:pt>
                <c:pt idx="225">
                  <c:v>10.19999999999995</c:v>
                </c:pt>
                <c:pt idx="226">
                  <c:v>10.299999999999949</c:v>
                </c:pt>
                <c:pt idx="227">
                  <c:v>10.399999999999949</c:v>
                </c:pt>
                <c:pt idx="228">
                  <c:v>10.499999999999948</c:v>
                </c:pt>
                <c:pt idx="229">
                  <c:v>10.599999999999948</c:v>
                </c:pt>
                <c:pt idx="230">
                  <c:v>10.699999999999948</c:v>
                </c:pt>
                <c:pt idx="231">
                  <c:v>10.799999999999947</c:v>
                </c:pt>
                <c:pt idx="232">
                  <c:v>10.899999999999947</c:v>
                </c:pt>
                <c:pt idx="233">
                  <c:v>10.999999999999947</c:v>
                </c:pt>
                <c:pt idx="234">
                  <c:v>11.099999999999946</c:v>
                </c:pt>
                <c:pt idx="235">
                  <c:v>11.199999999999946</c:v>
                </c:pt>
                <c:pt idx="236">
                  <c:v>11.299999999999946</c:v>
                </c:pt>
                <c:pt idx="237">
                  <c:v>11.399999999999945</c:v>
                </c:pt>
                <c:pt idx="238">
                  <c:v>11.499999999999945</c:v>
                </c:pt>
                <c:pt idx="239">
                  <c:v>11.599999999999945</c:v>
                </c:pt>
                <c:pt idx="240">
                  <c:v>11.699999999999944</c:v>
                </c:pt>
                <c:pt idx="241">
                  <c:v>11.799999999999944</c:v>
                </c:pt>
                <c:pt idx="242">
                  <c:v>11.899999999999944</c:v>
                </c:pt>
                <c:pt idx="243">
                  <c:v>11.999999999999943</c:v>
                </c:pt>
                <c:pt idx="244">
                  <c:v>12.099999999999943</c:v>
                </c:pt>
                <c:pt idx="245">
                  <c:v>12.199999999999942</c:v>
                </c:pt>
                <c:pt idx="246">
                  <c:v>12.299999999999942</c:v>
                </c:pt>
                <c:pt idx="247">
                  <c:v>12.399999999999942</c:v>
                </c:pt>
                <c:pt idx="248">
                  <c:v>12.499999999999941</c:v>
                </c:pt>
                <c:pt idx="249">
                  <c:v>12.599999999999941</c:v>
                </c:pt>
                <c:pt idx="250">
                  <c:v>12.699999999999941</c:v>
                </c:pt>
                <c:pt idx="251">
                  <c:v>12.79999999999994</c:v>
                </c:pt>
                <c:pt idx="252">
                  <c:v>12.89999999999994</c:v>
                </c:pt>
                <c:pt idx="253">
                  <c:v>12.99999999999994</c:v>
                </c:pt>
                <c:pt idx="254">
                  <c:v>13.099999999999939</c:v>
                </c:pt>
                <c:pt idx="255">
                  <c:v>13.199999999999939</c:v>
                </c:pt>
                <c:pt idx="256">
                  <c:v>13.299999999999939</c:v>
                </c:pt>
                <c:pt idx="257">
                  <c:v>13.399999999999938</c:v>
                </c:pt>
                <c:pt idx="258">
                  <c:v>13.499999999999938</c:v>
                </c:pt>
                <c:pt idx="259">
                  <c:v>13.599999999999937</c:v>
                </c:pt>
                <c:pt idx="260">
                  <c:v>13.699999999999937</c:v>
                </c:pt>
                <c:pt idx="261">
                  <c:v>13.799999999999937</c:v>
                </c:pt>
                <c:pt idx="262">
                  <c:v>13.899999999999936</c:v>
                </c:pt>
                <c:pt idx="263">
                  <c:v>13.999999999999936</c:v>
                </c:pt>
                <c:pt idx="264">
                  <c:v>14.099999999999936</c:v>
                </c:pt>
                <c:pt idx="265">
                  <c:v>14.199999999999935</c:v>
                </c:pt>
                <c:pt idx="266">
                  <c:v>14.299999999999935</c:v>
                </c:pt>
                <c:pt idx="267">
                  <c:v>14.399999999999935</c:v>
                </c:pt>
                <c:pt idx="268">
                  <c:v>14.499999999999934</c:v>
                </c:pt>
                <c:pt idx="269">
                  <c:v>14.599999999999934</c:v>
                </c:pt>
                <c:pt idx="270">
                  <c:v>14.699999999999934</c:v>
                </c:pt>
                <c:pt idx="271">
                  <c:v>14.799999999999933</c:v>
                </c:pt>
                <c:pt idx="272">
                  <c:v>14.899999999999933</c:v>
                </c:pt>
                <c:pt idx="273">
                  <c:v>14.999999999999932</c:v>
                </c:pt>
                <c:pt idx="274">
                  <c:v>15.099999999999932</c:v>
                </c:pt>
                <c:pt idx="275">
                  <c:v>15.199999999999932</c:v>
                </c:pt>
                <c:pt idx="276">
                  <c:v>15.299999999999931</c:v>
                </c:pt>
                <c:pt idx="277">
                  <c:v>15.399999999999931</c:v>
                </c:pt>
                <c:pt idx="278">
                  <c:v>15.499999999999931</c:v>
                </c:pt>
                <c:pt idx="279">
                  <c:v>15.59999999999993</c:v>
                </c:pt>
                <c:pt idx="280">
                  <c:v>15.69999999999993</c:v>
                </c:pt>
                <c:pt idx="281">
                  <c:v>15.79999999999993</c:v>
                </c:pt>
                <c:pt idx="282">
                  <c:v>15.899999999999929</c:v>
                </c:pt>
                <c:pt idx="283">
                  <c:v>15.999999999999929</c:v>
                </c:pt>
                <c:pt idx="284">
                  <c:v>16.09999999999993</c:v>
                </c:pt>
                <c:pt idx="285">
                  <c:v>16.199999999999932</c:v>
                </c:pt>
                <c:pt idx="286">
                  <c:v>16.299999999999933</c:v>
                </c:pt>
                <c:pt idx="287">
                  <c:v>16.399999999999935</c:v>
                </c:pt>
                <c:pt idx="288">
                  <c:v>16.499999999999936</c:v>
                </c:pt>
                <c:pt idx="289">
                  <c:v>16.599999999999937</c:v>
                </c:pt>
                <c:pt idx="290">
                  <c:v>16.699999999999939</c:v>
                </c:pt>
                <c:pt idx="291">
                  <c:v>16.79999999999994</c:v>
                </c:pt>
                <c:pt idx="292">
                  <c:v>16.899999999999942</c:v>
                </c:pt>
                <c:pt idx="293">
                  <c:v>16.999999999999943</c:v>
                </c:pt>
                <c:pt idx="294">
                  <c:v>17.099999999999945</c:v>
                </c:pt>
                <c:pt idx="295">
                  <c:v>17.199999999999946</c:v>
                </c:pt>
                <c:pt idx="296">
                  <c:v>17.299999999999947</c:v>
                </c:pt>
                <c:pt idx="297">
                  <c:v>17.399999999999949</c:v>
                </c:pt>
                <c:pt idx="298">
                  <c:v>17.49999999999995</c:v>
                </c:pt>
                <c:pt idx="299">
                  <c:v>17.599999999999952</c:v>
                </c:pt>
                <c:pt idx="300">
                  <c:v>17.699999999999953</c:v>
                </c:pt>
                <c:pt idx="301">
                  <c:v>17.799999999999955</c:v>
                </c:pt>
                <c:pt idx="302">
                  <c:v>17.899999999999956</c:v>
                </c:pt>
                <c:pt idx="303">
                  <c:v>17.999999999999957</c:v>
                </c:pt>
                <c:pt idx="304">
                  <c:v>18.099999999999959</c:v>
                </c:pt>
                <c:pt idx="305">
                  <c:v>18.19999999999996</c:v>
                </c:pt>
                <c:pt idx="306">
                  <c:v>18.299999999999962</c:v>
                </c:pt>
                <c:pt idx="307">
                  <c:v>18.399999999999963</c:v>
                </c:pt>
                <c:pt idx="308">
                  <c:v>18.499999999999964</c:v>
                </c:pt>
                <c:pt idx="309">
                  <c:v>18.599999999999966</c:v>
                </c:pt>
                <c:pt idx="310">
                  <c:v>18.699999999999967</c:v>
                </c:pt>
                <c:pt idx="311">
                  <c:v>18.799999999999969</c:v>
                </c:pt>
                <c:pt idx="312">
                  <c:v>18.89999999999997</c:v>
                </c:pt>
                <c:pt idx="313">
                  <c:v>18.999999999999972</c:v>
                </c:pt>
                <c:pt idx="314">
                  <c:v>19.099999999999973</c:v>
                </c:pt>
                <c:pt idx="315">
                  <c:v>19.199999999999974</c:v>
                </c:pt>
                <c:pt idx="316">
                  <c:v>19.299999999999976</c:v>
                </c:pt>
                <c:pt idx="317">
                  <c:v>19.399999999999977</c:v>
                </c:pt>
                <c:pt idx="318">
                  <c:v>19.499999999999979</c:v>
                </c:pt>
                <c:pt idx="319">
                  <c:v>19.59999999999998</c:v>
                </c:pt>
                <c:pt idx="320">
                  <c:v>19.699999999999982</c:v>
                </c:pt>
                <c:pt idx="321">
                  <c:v>19.799999999999983</c:v>
                </c:pt>
                <c:pt idx="322">
                  <c:v>19.899999999999984</c:v>
                </c:pt>
                <c:pt idx="323">
                  <c:v>19.999999999999986</c:v>
                </c:pt>
                <c:pt idx="324">
                  <c:v>20.099999999999987</c:v>
                </c:pt>
                <c:pt idx="325">
                  <c:v>20.199999999999989</c:v>
                </c:pt>
                <c:pt idx="326">
                  <c:v>20.29999999999999</c:v>
                </c:pt>
                <c:pt idx="327">
                  <c:v>20.399999999999991</c:v>
                </c:pt>
                <c:pt idx="328">
                  <c:v>20.499999999999993</c:v>
                </c:pt>
                <c:pt idx="329">
                  <c:v>20.599999999999994</c:v>
                </c:pt>
                <c:pt idx="330">
                  <c:v>20.699999999999996</c:v>
                </c:pt>
                <c:pt idx="331">
                  <c:v>20.799999999999997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21.200000000000003</c:v>
                </c:pt>
                <c:pt idx="336">
                  <c:v>21.300000000000004</c:v>
                </c:pt>
                <c:pt idx="337">
                  <c:v>21.400000000000006</c:v>
                </c:pt>
                <c:pt idx="338">
                  <c:v>21.500000000000007</c:v>
                </c:pt>
                <c:pt idx="339">
                  <c:v>21.600000000000009</c:v>
                </c:pt>
                <c:pt idx="340">
                  <c:v>21.70000000000001</c:v>
                </c:pt>
                <c:pt idx="341">
                  <c:v>21.800000000000011</c:v>
                </c:pt>
                <c:pt idx="342">
                  <c:v>21.900000000000013</c:v>
                </c:pt>
                <c:pt idx="343">
                  <c:v>22.000000000000014</c:v>
                </c:pt>
                <c:pt idx="344">
                  <c:v>22.100000000000016</c:v>
                </c:pt>
                <c:pt idx="345">
                  <c:v>22.200000000000017</c:v>
                </c:pt>
                <c:pt idx="346">
                  <c:v>22.300000000000018</c:v>
                </c:pt>
                <c:pt idx="347">
                  <c:v>22.40000000000002</c:v>
                </c:pt>
                <c:pt idx="348">
                  <c:v>22.500000000000021</c:v>
                </c:pt>
                <c:pt idx="349">
                  <c:v>22.600000000000023</c:v>
                </c:pt>
                <c:pt idx="350">
                  <c:v>22.700000000000024</c:v>
                </c:pt>
                <c:pt idx="351">
                  <c:v>22.800000000000026</c:v>
                </c:pt>
                <c:pt idx="352">
                  <c:v>22.900000000000027</c:v>
                </c:pt>
                <c:pt idx="353">
                  <c:v>23.000000000000028</c:v>
                </c:pt>
                <c:pt idx="354">
                  <c:v>23.10000000000003</c:v>
                </c:pt>
                <c:pt idx="355">
                  <c:v>23.200000000000031</c:v>
                </c:pt>
                <c:pt idx="356">
                  <c:v>23.300000000000033</c:v>
                </c:pt>
                <c:pt idx="357">
                  <c:v>23.400000000000034</c:v>
                </c:pt>
                <c:pt idx="358">
                  <c:v>23.500000000000036</c:v>
                </c:pt>
                <c:pt idx="359">
                  <c:v>23.600000000000037</c:v>
                </c:pt>
                <c:pt idx="360">
                  <c:v>23.700000000000038</c:v>
                </c:pt>
                <c:pt idx="361">
                  <c:v>23.80000000000004</c:v>
                </c:pt>
                <c:pt idx="362">
                  <c:v>23.900000000000041</c:v>
                </c:pt>
                <c:pt idx="363">
                  <c:v>24.000000000000043</c:v>
                </c:pt>
                <c:pt idx="364">
                  <c:v>24.100000000000044</c:v>
                </c:pt>
                <c:pt idx="365">
                  <c:v>24.200000000000045</c:v>
                </c:pt>
                <c:pt idx="366">
                  <c:v>24.300000000000047</c:v>
                </c:pt>
                <c:pt idx="367">
                  <c:v>24.400000000000048</c:v>
                </c:pt>
                <c:pt idx="368">
                  <c:v>24.50000000000005</c:v>
                </c:pt>
                <c:pt idx="369">
                  <c:v>24.600000000000051</c:v>
                </c:pt>
                <c:pt idx="370">
                  <c:v>24.700000000000053</c:v>
                </c:pt>
                <c:pt idx="371">
                  <c:v>24.800000000000054</c:v>
                </c:pt>
                <c:pt idx="372">
                  <c:v>24.900000000000055</c:v>
                </c:pt>
                <c:pt idx="373">
                  <c:v>25.000000000000057</c:v>
                </c:pt>
                <c:pt idx="374">
                  <c:v>25.100000000000058</c:v>
                </c:pt>
                <c:pt idx="375">
                  <c:v>25.20000000000006</c:v>
                </c:pt>
                <c:pt idx="376">
                  <c:v>25.300000000000061</c:v>
                </c:pt>
                <c:pt idx="377">
                  <c:v>25.400000000000063</c:v>
                </c:pt>
                <c:pt idx="378">
                  <c:v>25.500000000000064</c:v>
                </c:pt>
                <c:pt idx="379">
                  <c:v>25.600000000000065</c:v>
                </c:pt>
                <c:pt idx="380">
                  <c:v>25.700000000000067</c:v>
                </c:pt>
                <c:pt idx="381">
                  <c:v>25.800000000000068</c:v>
                </c:pt>
                <c:pt idx="382">
                  <c:v>25.90000000000007</c:v>
                </c:pt>
                <c:pt idx="383">
                  <c:v>26.000000000000071</c:v>
                </c:pt>
                <c:pt idx="384">
                  <c:v>26.100000000000072</c:v>
                </c:pt>
                <c:pt idx="385">
                  <c:v>26.200000000000074</c:v>
                </c:pt>
                <c:pt idx="386">
                  <c:v>26.300000000000075</c:v>
                </c:pt>
                <c:pt idx="387">
                  <c:v>26.400000000000077</c:v>
                </c:pt>
                <c:pt idx="388">
                  <c:v>26.500000000000078</c:v>
                </c:pt>
                <c:pt idx="389">
                  <c:v>26.60000000000008</c:v>
                </c:pt>
                <c:pt idx="390">
                  <c:v>26.700000000000081</c:v>
                </c:pt>
                <c:pt idx="391">
                  <c:v>26.800000000000082</c:v>
                </c:pt>
                <c:pt idx="392">
                  <c:v>26.900000000000084</c:v>
                </c:pt>
                <c:pt idx="393">
                  <c:v>27.000000000000085</c:v>
                </c:pt>
                <c:pt idx="394">
                  <c:v>27.100000000000087</c:v>
                </c:pt>
                <c:pt idx="395">
                  <c:v>27.200000000000088</c:v>
                </c:pt>
                <c:pt idx="396">
                  <c:v>27.30000000000009</c:v>
                </c:pt>
                <c:pt idx="397">
                  <c:v>27.400000000000091</c:v>
                </c:pt>
                <c:pt idx="398">
                  <c:v>27.500000000000092</c:v>
                </c:pt>
                <c:pt idx="399">
                  <c:v>27.600000000000094</c:v>
                </c:pt>
                <c:pt idx="400">
                  <c:v>27.700000000000095</c:v>
                </c:pt>
                <c:pt idx="401">
                  <c:v>27.800000000000097</c:v>
                </c:pt>
                <c:pt idx="402">
                  <c:v>27.900000000000098</c:v>
                </c:pt>
                <c:pt idx="403">
                  <c:v>28.000000000000099</c:v>
                </c:pt>
                <c:pt idx="404">
                  <c:v>28.100000000000101</c:v>
                </c:pt>
                <c:pt idx="405">
                  <c:v>28.200000000000102</c:v>
                </c:pt>
                <c:pt idx="406">
                  <c:v>28.300000000000104</c:v>
                </c:pt>
                <c:pt idx="407">
                  <c:v>28.400000000000105</c:v>
                </c:pt>
                <c:pt idx="408">
                  <c:v>28.500000000000107</c:v>
                </c:pt>
                <c:pt idx="409">
                  <c:v>28.600000000000108</c:v>
                </c:pt>
                <c:pt idx="410">
                  <c:v>28.700000000000109</c:v>
                </c:pt>
                <c:pt idx="411">
                  <c:v>28.800000000000111</c:v>
                </c:pt>
                <c:pt idx="412">
                  <c:v>28.900000000000112</c:v>
                </c:pt>
                <c:pt idx="413">
                  <c:v>29.000000000000114</c:v>
                </c:pt>
                <c:pt idx="414">
                  <c:v>29.100000000000115</c:v>
                </c:pt>
                <c:pt idx="415">
                  <c:v>29.200000000000117</c:v>
                </c:pt>
                <c:pt idx="416">
                  <c:v>29.300000000000118</c:v>
                </c:pt>
                <c:pt idx="417">
                  <c:v>29.400000000000119</c:v>
                </c:pt>
                <c:pt idx="418">
                  <c:v>29.500000000000121</c:v>
                </c:pt>
                <c:pt idx="419">
                  <c:v>29.600000000000122</c:v>
                </c:pt>
                <c:pt idx="420">
                  <c:v>29.700000000000124</c:v>
                </c:pt>
                <c:pt idx="421">
                  <c:v>29.800000000000125</c:v>
                </c:pt>
                <c:pt idx="422">
                  <c:v>29.900000000000126</c:v>
                </c:pt>
                <c:pt idx="423">
                  <c:v>30.000000000000128</c:v>
                </c:pt>
                <c:pt idx="424">
                  <c:v>30.100000000000129</c:v>
                </c:pt>
                <c:pt idx="425">
                  <c:v>30.200000000000131</c:v>
                </c:pt>
                <c:pt idx="426">
                  <c:v>30.300000000000132</c:v>
                </c:pt>
                <c:pt idx="427">
                  <c:v>30.400000000000134</c:v>
                </c:pt>
                <c:pt idx="428">
                  <c:v>30.500000000000135</c:v>
                </c:pt>
                <c:pt idx="429">
                  <c:v>30.600000000000136</c:v>
                </c:pt>
                <c:pt idx="430">
                  <c:v>30.700000000000138</c:v>
                </c:pt>
                <c:pt idx="431">
                  <c:v>30.800000000000139</c:v>
                </c:pt>
                <c:pt idx="432">
                  <c:v>30.900000000000141</c:v>
                </c:pt>
                <c:pt idx="433">
                  <c:v>31.000000000000142</c:v>
                </c:pt>
                <c:pt idx="434">
                  <c:v>31.100000000000144</c:v>
                </c:pt>
                <c:pt idx="435">
                  <c:v>31.200000000000145</c:v>
                </c:pt>
                <c:pt idx="436">
                  <c:v>31.300000000000146</c:v>
                </c:pt>
                <c:pt idx="437">
                  <c:v>31.400000000000148</c:v>
                </c:pt>
                <c:pt idx="438">
                  <c:v>31.500000000000149</c:v>
                </c:pt>
                <c:pt idx="439">
                  <c:v>31.600000000000151</c:v>
                </c:pt>
                <c:pt idx="440">
                  <c:v>31.700000000000152</c:v>
                </c:pt>
                <c:pt idx="441">
                  <c:v>31.800000000000153</c:v>
                </c:pt>
                <c:pt idx="442">
                  <c:v>31.900000000000155</c:v>
                </c:pt>
                <c:pt idx="443">
                  <c:v>32.000000000000156</c:v>
                </c:pt>
                <c:pt idx="444">
                  <c:v>32.100000000000158</c:v>
                </c:pt>
                <c:pt idx="445">
                  <c:v>32.200000000000159</c:v>
                </c:pt>
                <c:pt idx="446">
                  <c:v>32.300000000000161</c:v>
                </c:pt>
                <c:pt idx="447">
                  <c:v>32.400000000000162</c:v>
                </c:pt>
                <c:pt idx="448">
                  <c:v>32.500000000000163</c:v>
                </c:pt>
                <c:pt idx="449">
                  <c:v>32.600000000000165</c:v>
                </c:pt>
                <c:pt idx="450">
                  <c:v>32.700000000000166</c:v>
                </c:pt>
                <c:pt idx="451">
                  <c:v>32.800000000000168</c:v>
                </c:pt>
                <c:pt idx="452">
                  <c:v>32.900000000000169</c:v>
                </c:pt>
                <c:pt idx="453">
                  <c:v>33.000000000000171</c:v>
                </c:pt>
                <c:pt idx="454">
                  <c:v>33.100000000000172</c:v>
                </c:pt>
                <c:pt idx="455">
                  <c:v>33.200000000000173</c:v>
                </c:pt>
                <c:pt idx="456">
                  <c:v>33.300000000000175</c:v>
                </c:pt>
                <c:pt idx="457">
                  <c:v>33.400000000000176</c:v>
                </c:pt>
                <c:pt idx="458">
                  <c:v>33.500000000000178</c:v>
                </c:pt>
                <c:pt idx="459">
                  <c:v>33.600000000000179</c:v>
                </c:pt>
                <c:pt idx="460">
                  <c:v>33.70000000000018</c:v>
                </c:pt>
                <c:pt idx="461">
                  <c:v>33.800000000000182</c:v>
                </c:pt>
                <c:pt idx="462">
                  <c:v>33.900000000000183</c:v>
                </c:pt>
                <c:pt idx="463">
                  <c:v>34.000000000000185</c:v>
                </c:pt>
                <c:pt idx="464">
                  <c:v>34.100000000000186</c:v>
                </c:pt>
                <c:pt idx="465">
                  <c:v>34.200000000000188</c:v>
                </c:pt>
                <c:pt idx="466">
                  <c:v>34.300000000000189</c:v>
                </c:pt>
                <c:pt idx="467">
                  <c:v>34.40000000000019</c:v>
                </c:pt>
                <c:pt idx="468">
                  <c:v>34.500000000000192</c:v>
                </c:pt>
                <c:pt idx="469">
                  <c:v>34.600000000000193</c:v>
                </c:pt>
                <c:pt idx="470">
                  <c:v>34.700000000000195</c:v>
                </c:pt>
                <c:pt idx="471">
                  <c:v>34.800000000000196</c:v>
                </c:pt>
                <c:pt idx="472">
                  <c:v>34.900000000000198</c:v>
                </c:pt>
                <c:pt idx="473">
                  <c:v>35.000000000000199</c:v>
                </c:pt>
                <c:pt idx="474">
                  <c:v>35.1000000000002</c:v>
                </c:pt>
                <c:pt idx="475">
                  <c:v>35.200000000000202</c:v>
                </c:pt>
                <c:pt idx="476">
                  <c:v>35.300000000000203</c:v>
                </c:pt>
                <c:pt idx="477">
                  <c:v>35.400000000000205</c:v>
                </c:pt>
                <c:pt idx="478">
                  <c:v>35.500000000000206</c:v>
                </c:pt>
                <c:pt idx="479">
                  <c:v>35.600000000000207</c:v>
                </c:pt>
                <c:pt idx="480">
                  <c:v>35.700000000000209</c:v>
                </c:pt>
                <c:pt idx="481">
                  <c:v>35.80000000000021</c:v>
                </c:pt>
                <c:pt idx="482">
                  <c:v>35.900000000000212</c:v>
                </c:pt>
                <c:pt idx="483">
                  <c:v>36.000000000000213</c:v>
                </c:pt>
                <c:pt idx="484">
                  <c:v>36.100000000000215</c:v>
                </c:pt>
                <c:pt idx="485">
                  <c:v>36.200000000000216</c:v>
                </c:pt>
                <c:pt idx="486">
                  <c:v>36.300000000000217</c:v>
                </c:pt>
                <c:pt idx="487">
                  <c:v>36.400000000000219</c:v>
                </c:pt>
                <c:pt idx="488">
                  <c:v>36.50000000000022</c:v>
                </c:pt>
                <c:pt idx="489">
                  <c:v>36.600000000000222</c:v>
                </c:pt>
                <c:pt idx="490">
                  <c:v>36.700000000000223</c:v>
                </c:pt>
                <c:pt idx="491">
                  <c:v>36.800000000000225</c:v>
                </c:pt>
                <c:pt idx="492">
                  <c:v>36.900000000000226</c:v>
                </c:pt>
                <c:pt idx="493">
                  <c:v>37.000000000000227</c:v>
                </c:pt>
                <c:pt idx="494">
                  <c:v>37.100000000000229</c:v>
                </c:pt>
                <c:pt idx="495">
                  <c:v>37.20000000000023</c:v>
                </c:pt>
                <c:pt idx="496">
                  <c:v>37.300000000000232</c:v>
                </c:pt>
                <c:pt idx="497">
                  <c:v>37.400000000000233</c:v>
                </c:pt>
                <c:pt idx="498">
                  <c:v>37.500000000000234</c:v>
                </c:pt>
                <c:pt idx="499">
                  <c:v>37.600000000000236</c:v>
                </c:pt>
                <c:pt idx="500">
                  <c:v>37.700000000000237</c:v>
                </c:pt>
                <c:pt idx="501">
                  <c:v>37.800000000000239</c:v>
                </c:pt>
                <c:pt idx="502">
                  <c:v>37.90000000000024</c:v>
                </c:pt>
                <c:pt idx="503">
                  <c:v>38.000000000000242</c:v>
                </c:pt>
                <c:pt idx="504">
                  <c:v>38.100000000000243</c:v>
                </c:pt>
                <c:pt idx="505">
                  <c:v>38.200000000000244</c:v>
                </c:pt>
                <c:pt idx="506">
                  <c:v>38.300000000000246</c:v>
                </c:pt>
                <c:pt idx="507">
                  <c:v>38.400000000000247</c:v>
                </c:pt>
                <c:pt idx="508">
                  <c:v>38.500000000000249</c:v>
                </c:pt>
                <c:pt idx="509">
                  <c:v>38.60000000000025</c:v>
                </c:pt>
                <c:pt idx="510">
                  <c:v>38.700000000000252</c:v>
                </c:pt>
                <c:pt idx="511">
                  <c:v>38.800000000000253</c:v>
                </c:pt>
                <c:pt idx="512">
                  <c:v>38.900000000000254</c:v>
                </c:pt>
                <c:pt idx="513">
                  <c:v>39.000000000000256</c:v>
                </c:pt>
                <c:pt idx="514">
                  <c:v>39.100000000000257</c:v>
                </c:pt>
                <c:pt idx="515">
                  <c:v>39.200000000000259</c:v>
                </c:pt>
                <c:pt idx="516">
                  <c:v>39.30000000000026</c:v>
                </c:pt>
                <c:pt idx="517">
                  <c:v>39.400000000000261</c:v>
                </c:pt>
                <c:pt idx="518">
                  <c:v>39.500000000000263</c:v>
                </c:pt>
                <c:pt idx="519">
                  <c:v>39.600000000000264</c:v>
                </c:pt>
                <c:pt idx="520">
                  <c:v>39.700000000000266</c:v>
                </c:pt>
                <c:pt idx="521">
                  <c:v>39.800000000000267</c:v>
                </c:pt>
                <c:pt idx="522">
                  <c:v>39.900000000000269</c:v>
                </c:pt>
                <c:pt idx="523">
                  <c:v>40.00000000000027</c:v>
                </c:pt>
                <c:pt idx="524">
                  <c:v>40.100000000000271</c:v>
                </c:pt>
                <c:pt idx="525">
                  <c:v>40.200000000000273</c:v>
                </c:pt>
                <c:pt idx="526">
                  <c:v>40.300000000000274</c:v>
                </c:pt>
                <c:pt idx="527">
                  <c:v>40.400000000000276</c:v>
                </c:pt>
                <c:pt idx="528">
                  <c:v>40.500000000000277</c:v>
                </c:pt>
                <c:pt idx="529">
                  <c:v>40.600000000000279</c:v>
                </c:pt>
                <c:pt idx="530">
                  <c:v>40.70000000000028</c:v>
                </c:pt>
                <c:pt idx="531">
                  <c:v>40.800000000000281</c:v>
                </c:pt>
                <c:pt idx="532">
                  <c:v>40.900000000000283</c:v>
                </c:pt>
                <c:pt idx="533">
                  <c:v>41.000000000000284</c:v>
                </c:pt>
                <c:pt idx="534">
                  <c:v>41.100000000000286</c:v>
                </c:pt>
                <c:pt idx="535">
                  <c:v>41.200000000000287</c:v>
                </c:pt>
                <c:pt idx="536">
                  <c:v>41.300000000000288</c:v>
                </c:pt>
                <c:pt idx="537">
                  <c:v>41.40000000000029</c:v>
                </c:pt>
                <c:pt idx="538">
                  <c:v>41.500000000000291</c:v>
                </c:pt>
                <c:pt idx="539">
                  <c:v>41.600000000000293</c:v>
                </c:pt>
                <c:pt idx="540">
                  <c:v>41.700000000000294</c:v>
                </c:pt>
                <c:pt idx="541">
                  <c:v>41.800000000000296</c:v>
                </c:pt>
                <c:pt idx="542">
                  <c:v>41.900000000000297</c:v>
                </c:pt>
                <c:pt idx="543">
                  <c:v>42.000000000000298</c:v>
                </c:pt>
                <c:pt idx="544">
                  <c:v>42.1000000000003</c:v>
                </c:pt>
                <c:pt idx="545">
                  <c:v>42.200000000000301</c:v>
                </c:pt>
                <c:pt idx="546">
                  <c:v>42.300000000000303</c:v>
                </c:pt>
                <c:pt idx="547">
                  <c:v>42.400000000000304</c:v>
                </c:pt>
                <c:pt idx="548">
                  <c:v>42.500000000000306</c:v>
                </c:pt>
                <c:pt idx="549">
                  <c:v>42.600000000000307</c:v>
                </c:pt>
                <c:pt idx="550">
                  <c:v>42.700000000000308</c:v>
                </c:pt>
                <c:pt idx="551">
                  <c:v>42.80000000000031</c:v>
                </c:pt>
                <c:pt idx="552">
                  <c:v>42.900000000000311</c:v>
                </c:pt>
                <c:pt idx="553">
                  <c:v>43.000000000000313</c:v>
                </c:pt>
                <c:pt idx="554">
                  <c:v>43.100000000000314</c:v>
                </c:pt>
                <c:pt idx="555">
                  <c:v>43.200000000000315</c:v>
                </c:pt>
                <c:pt idx="556">
                  <c:v>43.300000000000317</c:v>
                </c:pt>
                <c:pt idx="557">
                  <c:v>43.400000000000318</c:v>
                </c:pt>
                <c:pt idx="558">
                  <c:v>43.50000000000032</c:v>
                </c:pt>
                <c:pt idx="559">
                  <c:v>43.600000000000321</c:v>
                </c:pt>
                <c:pt idx="560">
                  <c:v>43.700000000000323</c:v>
                </c:pt>
                <c:pt idx="561">
                  <c:v>43.800000000000324</c:v>
                </c:pt>
                <c:pt idx="562">
                  <c:v>43.900000000000325</c:v>
                </c:pt>
                <c:pt idx="563">
                  <c:v>44.000000000000327</c:v>
                </c:pt>
                <c:pt idx="564">
                  <c:v>44.100000000000328</c:v>
                </c:pt>
                <c:pt idx="565">
                  <c:v>44.20000000000033</c:v>
                </c:pt>
                <c:pt idx="566">
                  <c:v>44.300000000000331</c:v>
                </c:pt>
                <c:pt idx="567">
                  <c:v>44.400000000000333</c:v>
                </c:pt>
                <c:pt idx="568">
                  <c:v>44.500000000000334</c:v>
                </c:pt>
                <c:pt idx="569">
                  <c:v>44.600000000000335</c:v>
                </c:pt>
                <c:pt idx="570">
                  <c:v>44.700000000000337</c:v>
                </c:pt>
                <c:pt idx="571">
                  <c:v>44.800000000000338</c:v>
                </c:pt>
                <c:pt idx="572">
                  <c:v>44.90000000000034</c:v>
                </c:pt>
                <c:pt idx="573">
                  <c:v>45.000000000000341</c:v>
                </c:pt>
                <c:pt idx="574">
                  <c:v>45.100000000000342</c:v>
                </c:pt>
                <c:pt idx="575">
                  <c:v>45.200000000000344</c:v>
                </c:pt>
                <c:pt idx="576">
                  <c:v>45.300000000000345</c:v>
                </c:pt>
                <c:pt idx="577">
                  <c:v>45.400000000000347</c:v>
                </c:pt>
                <c:pt idx="578">
                  <c:v>45.500000000000348</c:v>
                </c:pt>
                <c:pt idx="579">
                  <c:v>45.60000000000035</c:v>
                </c:pt>
                <c:pt idx="580">
                  <c:v>45.700000000000351</c:v>
                </c:pt>
                <c:pt idx="581">
                  <c:v>45.800000000000352</c:v>
                </c:pt>
                <c:pt idx="582">
                  <c:v>45.900000000000354</c:v>
                </c:pt>
                <c:pt idx="583">
                  <c:v>46.000000000000355</c:v>
                </c:pt>
                <c:pt idx="584">
                  <c:v>46.100000000000357</c:v>
                </c:pt>
                <c:pt idx="585">
                  <c:v>46.200000000000358</c:v>
                </c:pt>
                <c:pt idx="586">
                  <c:v>46.30000000000036</c:v>
                </c:pt>
                <c:pt idx="587">
                  <c:v>46.400000000000361</c:v>
                </c:pt>
                <c:pt idx="588">
                  <c:v>46.500000000000362</c:v>
                </c:pt>
                <c:pt idx="589">
                  <c:v>46.600000000000364</c:v>
                </c:pt>
                <c:pt idx="590">
                  <c:v>46.700000000000365</c:v>
                </c:pt>
                <c:pt idx="591">
                  <c:v>46.800000000000367</c:v>
                </c:pt>
                <c:pt idx="592">
                  <c:v>46.900000000000368</c:v>
                </c:pt>
                <c:pt idx="593">
                  <c:v>47.000000000000369</c:v>
                </c:pt>
                <c:pt idx="594">
                  <c:v>47.100000000000371</c:v>
                </c:pt>
                <c:pt idx="595">
                  <c:v>47.100100000000374</c:v>
                </c:pt>
                <c:pt idx="596">
                  <c:v>47.100200000000378</c:v>
                </c:pt>
                <c:pt idx="597">
                  <c:v>47.100300000000381</c:v>
                </c:pt>
                <c:pt idx="598">
                  <c:v>47.100400000000384</c:v>
                </c:pt>
                <c:pt idx="599">
                  <c:v>47.100500000000388</c:v>
                </c:pt>
                <c:pt idx="600">
                  <c:v>47.100600000000391</c:v>
                </c:pt>
                <c:pt idx="601">
                  <c:v>47.100700000000394</c:v>
                </c:pt>
                <c:pt idx="602">
                  <c:v>47.100800000000397</c:v>
                </c:pt>
                <c:pt idx="603">
                  <c:v>47.100900000000401</c:v>
                </c:pt>
                <c:pt idx="604">
                  <c:v>47.101000000000404</c:v>
                </c:pt>
                <c:pt idx="605">
                  <c:v>47.101100000000407</c:v>
                </c:pt>
                <c:pt idx="606">
                  <c:v>47.101200000000411</c:v>
                </c:pt>
                <c:pt idx="607">
                  <c:v>47.101300000000414</c:v>
                </c:pt>
                <c:pt idx="608">
                  <c:v>47.101400000000417</c:v>
                </c:pt>
                <c:pt idx="609">
                  <c:v>47.101500000000421</c:v>
                </c:pt>
                <c:pt idx="610">
                  <c:v>47.101600000000424</c:v>
                </c:pt>
                <c:pt idx="611">
                  <c:v>47.101700000000427</c:v>
                </c:pt>
                <c:pt idx="612">
                  <c:v>47.101800000000431</c:v>
                </c:pt>
                <c:pt idx="613">
                  <c:v>47.101900000000434</c:v>
                </c:pt>
                <c:pt idx="614">
                  <c:v>47.102000000000437</c:v>
                </c:pt>
                <c:pt idx="615">
                  <c:v>47.102100000000441</c:v>
                </c:pt>
                <c:pt idx="616">
                  <c:v>47.102200000000444</c:v>
                </c:pt>
                <c:pt idx="617">
                  <c:v>47.102300000000447</c:v>
                </c:pt>
                <c:pt idx="618">
                  <c:v>47.102400000000451</c:v>
                </c:pt>
                <c:pt idx="619">
                  <c:v>47.102500000000454</c:v>
                </c:pt>
                <c:pt idx="620">
                  <c:v>47.102600000000457</c:v>
                </c:pt>
                <c:pt idx="621">
                  <c:v>47.102700000000461</c:v>
                </c:pt>
                <c:pt idx="622">
                  <c:v>47.102800000000464</c:v>
                </c:pt>
                <c:pt idx="623">
                  <c:v>47.102900000000467</c:v>
                </c:pt>
                <c:pt idx="624">
                  <c:v>47.10300000000047</c:v>
                </c:pt>
                <c:pt idx="625">
                  <c:v>47.103100000000474</c:v>
                </c:pt>
                <c:pt idx="626">
                  <c:v>47.103200000000477</c:v>
                </c:pt>
                <c:pt idx="627">
                  <c:v>47.10330000000048</c:v>
                </c:pt>
                <c:pt idx="628">
                  <c:v>47.103400000000484</c:v>
                </c:pt>
                <c:pt idx="629">
                  <c:v>47.103500000000487</c:v>
                </c:pt>
                <c:pt idx="630">
                  <c:v>47.10360000000049</c:v>
                </c:pt>
                <c:pt idx="631">
                  <c:v>47.103700000000494</c:v>
                </c:pt>
                <c:pt idx="632">
                  <c:v>47.103800000000497</c:v>
                </c:pt>
                <c:pt idx="633">
                  <c:v>47.1039000000005</c:v>
                </c:pt>
                <c:pt idx="634">
                  <c:v>47.104000000000504</c:v>
                </c:pt>
                <c:pt idx="635">
                  <c:v>47.104100000000507</c:v>
                </c:pt>
                <c:pt idx="636">
                  <c:v>47.10420000000051</c:v>
                </c:pt>
                <c:pt idx="637">
                  <c:v>47.104300000000514</c:v>
                </c:pt>
                <c:pt idx="638">
                  <c:v>47.104400000000517</c:v>
                </c:pt>
                <c:pt idx="639">
                  <c:v>47.10450000000052</c:v>
                </c:pt>
                <c:pt idx="640">
                  <c:v>47.104600000000524</c:v>
                </c:pt>
                <c:pt idx="641">
                  <c:v>47.104700000000527</c:v>
                </c:pt>
                <c:pt idx="642">
                  <c:v>47.10480000000053</c:v>
                </c:pt>
                <c:pt idx="643">
                  <c:v>47.104900000000534</c:v>
                </c:pt>
                <c:pt idx="644">
                  <c:v>47.105000000000537</c:v>
                </c:pt>
                <c:pt idx="645">
                  <c:v>47.10510000000054</c:v>
                </c:pt>
                <c:pt idx="646">
                  <c:v>47.105200000000544</c:v>
                </c:pt>
                <c:pt idx="647">
                  <c:v>47.105300000000547</c:v>
                </c:pt>
                <c:pt idx="648">
                  <c:v>47.10540000000055</c:v>
                </c:pt>
                <c:pt idx="649">
                  <c:v>47.105500000000553</c:v>
                </c:pt>
                <c:pt idx="650">
                  <c:v>47.105600000000557</c:v>
                </c:pt>
                <c:pt idx="651">
                  <c:v>47.10570000000056</c:v>
                </c:pt>
                <c:pt idx="652">
                  <c:v>47.105800000000563</c:v>
                </c:pt>
                <c:pt idx="653">
                  <c:v>47.105900000000567</c:v>
                </c:pt>
                <c:pt idx="654">
                  <c:v>47.10600000000057</c:v>
                </c:pt>
                <c:pt idx="655">
                  <c:v>47.106100000000573</c:v>
                </c:pt>
                <c:pt idx="656">
                  <c:v>47.106200000000577</c:v>
                </c:pt>
                <c:pt idx="657">
                  <c:v>47.10630000000058</c:v>
                </c:pt>
                <c:pt idx="658">
                  <c:v>47.106400000000583</c:v>
                </c:pt>
                <c:pt idx="659">
                  <c:v>47.106500000000587</c:v>
                </c:pt>
                <c:pt idx="660">
                  <c:v>47.10660000000059</c:v>
                </c:pt>
                <c:pt idx="661">
                  <c:v>47.106700000000593</c:v>
                </c:pt>
                <c:pt idx="662">
                  <c:v>47.106800000000597</c:v>
                </c:pt>
                <c:pt idx="663">
                  <c:v>47.1069000000006</c:v>
                </c:pt>
                <c:pt idx="664">
                  <c:v>47.107000000000603</c:v>
                </c:pt>
                <c:pt idx="665">
                  <c:v>47.107100000000607</c:v>
                </c:pt>
                <c:pt idx="666">
                  <c:v>47.10720000000061</c:v>
                </c:pt>
                <c:pt idx="667">
                  <c:v>47.107300000000613</c:v>
                </c:pt>
                <c:pt idx="668">
                  <c:v>47.107400000000617</c:v>
                </c:pt>
                <c:pt idx="669">
                  <c:v>47.10750000000062</c:v>
                </c:pt>
                <c:pt idx="670">
                  <c:v>47.107600000000623</c:v>
                </c:pt>
                <c:pt idx="671">
                  <c:v>47.107700000000627</c:v>
                </c:pt>
                <c:pt idx="672">
                  <c:v>47.10780000000063</c:v>
                </c:pt>
                <c:pt idx="673">
                  <c:v>47.107900000000633</c:v>
                </c:pt>
                <c:pt idx="674">
                  <c:v>47.108000000000636</c:v>
                </c:pt>
                <c:pt idx="675">
                  <c:v>47.10810000000064</c:v>
                </c:pt>
                <c:pt idx="676">
                  <c:v>47.108200000000643</c:v>
                </c:pt>
                <c:pt idx="677">
                  <c:v>47.108300000000646</c:v>
                </c:pt>
                <c:pt idx="678">
                  <c:v>47.10840000000065</c:v>
                </c:pt>
                <c:pt idx="679">
                  <c:v>47.108500000000653</c:v>
                </c:pt>
                <c:pt idx="680">
                  <c:v>47.108600000000656</c:v>
                </c:pt>
                <c:pt idx="681">
                  <c:v>47.10870000000066</c:v>
                </c:pt>
                <c:pt idx="682">
                  <c:v>47.108800000000663</c:v>
                </c:pt>
                <c:pt idx="683">
                  <c:v>47.108900000000666</c:v>
                </c:pt>
                <c:pt idx="684">
                  <c:v>47.10900000000067</c:v>
                </c:pt>
                <c:pt idx="685">
                  <c:v>47.109100000000673</c:v>
                </c:pt>
                <c:pt idx="686">
                  <c:v>47.109200000000676</c:v>
                </c:pt>
                <c:pt idx="687">
                  <c:v>47.10930000000068</c:v>
                </c:pt>
                <c:pt idx="688">
                  <c:v>47.109400000000683</c:v>
                </c:pt>
                <c:pt idx="689">
                  <c:v>47.109500000000686</c:v>
                </c:pt>
                <c:pt idx="690">
                  <c:v>47.10960000000069</c:v>
                </c:pt>
                <c:pt idx="691">
                  <c:v>47.109700000000693</c:v>
                </c:pt>
                <c:pt idx="692">
                  <c:v>47.109800000000696</c:v>
                </c:pt>
                <c:pt idx="693">
                  <c:v>47.1099000000007</c:v>
                </c:pt>
                <c:pt idx="694">
                  <c:v>47.110000000000703</c:v>
                </c:pt>
                <c:pt idx="695">
                  <c:v>47.110100000000706</c:v>
                </c:pt>
                <c:pt idx="696">
                  <c:v>47.11020000000071</c:v>
                </c:pt>
                <c:pt idx="697">
                  <c:v>47.110300000000713</c:v>
                </c:pt>
                <c:pt idx="698">
                  <c:v>47.110400000000716</c:v>
                </c:pt>
                <c:pt idx="699">
                  <c:v>47.110500000000719</c:v>
                </c:pt>
                <c:pt idx="700">
                  <c:v>47.110600000000723</c:v>
                </c:pt>
                <c:pt idx="701">
                  <c:v>47.110700000000726</c:v>
                </c:pt>
                <c:pt idx="702">
                  <c:v>47.110800000000729</c:v>
                </c:pt>
                <c:pt idx="703">
                  <c:v>47.110900000000733</c:v>
                </c:pt>
                <c:pt idx="704">
                  <c:v>47.111000000000736</c:v>
                </c:pt>
                <c:pt idx="705">
                  <c:v>47.111100000000739</c:v>
                </c:pt>
                <c:pt idx="706">
                  <c:v>47.111200000000743</c:v>
                </c:pt>
                <c:pt idx="707">
                  <c:v>47.111300000000746</c:v>
                </c:pt>
                <c:pt idx="708">
                  <c:v>47.111400000000749</c:v>
                </c:pt>
                <c:pt idx="709">
                  <c:v>47.111500000000753</c:v>
                </c:pt>
                <c:pt idx="710">
                  <c:v>47.111600000000756</c:v>
                </c:pt>
                <c:pt idx="711">
                  <c:v>47.111700000000759</c:v>
                </c:pt>
                <c:pt idx="712">
                  <c:v>47.111800000000763</c:v>
                </c:pt>
                <c:pt idx="713">
                  <c:v>47.111900000000766</c:v>
                </c:pt>
                <c:pt idx="714">
                  <c:v>47.112000000000769</c:v>
                </c:pt>
                <c:pt idx="715">
                  <c:v>47.112100000000773</c:v>
                </c:pt>
                <c:pt idx="716">
                  <c:v>47.112200000000776</c:v>
                </c:pt>
                <c:pt idx="717">
                  <c:v>47.112300000000779</c:v>
                </c:pt>
                <c:pt idx="718">
                  <c:v>47.112400000000783</c:v>
                </c:pt>
                <c:pt idx="719">
                  <c:v>47.112500000000786</c:v>
                </c:pt>
                <c:pt idx="720">
                  <c:v>47.112600000000789</c:v>
                </c:pt>
                <c:pt idx="721">
                  <c:v>47.112700000000792</c:v>
                </c:pt>
                <c:pt idx="722">
                  <c:v>47.112800000000796</c:v>
                </c:pt>
                <c:pt idx="723">
                  <c:v>47.112900000000799</c:v>
                </c:pt>
                <c:pt idx="724">
                  <c:v>47.113000000000802</c:v>
                </c:pt>
                <c:pt idx="725">
                  <c:v>47.113100000000806</c:v>
                </c:pt>
                <c:pt idx="726">
                  <c:v>47.113200000000809</c:v>
                </c:pt>
                <c:pt idx="727">
                  <c:v>47.113300000000812</c:v>
                </c:pt>
                <c:pt idx="728">
                  <c:v>47.113400000000816</c:v>
                </c:pt>
                <c:pt idx="729">
                  <c:v>47.113500000000819</c:v>
                </c:pt>
                <c:pt idx="730">
                  <c:v>47.113600000000822</c:v>
                </c:pt>
                <c:pt idx="731">
                  <c:v>47.113700000000826</c:v>
                </c:pt>
                <c:pt idx="732">
                  <c:v>47.113800000000829</c:v>
                </c:pt>
                <c:pt idx="733">
                  <c:v>47.113900000000832</c:v>
                </c:pt>
                <c:pt idx="734">
                  <c:v>47.114000000000836</c:v>
                </c:pt>
                <c:pt idx="735">
                  <c:v>47.114100000000839</c:v>
                </c:pt>
                <c:pt idx="736">
                  <c:v>47.114200000000842</c:v>
                </c:pt>
                <c:pt idx="737">
                  <c:v>47.114300000000846</c:v>
                </c:pt>
                <c:pt idx="738">
                  <c:v>47.114400000000849</c:v>
                </c:pt>
                <c:pt idx="739">
                  <c:v>47.114500000000852</c:v>
                </c:pt>
                <c:pt idx="740">
                  <c:v>47.114600000000856</c:v>
                </c:pt>
                <c:pt idx="741">
                  <c:v>47.114700000000859</c:v>
                </c:pt>
                <c:pt idx="742">
                  <c:v>47.114800000000862</c:v>
                </c:pt>
                <c:pt idx="743">
                  <c:v>47.114900000000866</c:v>
                </c:pt>
                <c:pt idx="744">
                  <c:v>47.115000000000869</c:v>
                </c:pt>
                <c:pt idx="745">
                  <c:v>47.115100000000872</c:v>
                </c:pt>
                <c:pt idx="746">
                  <c:v>47.115200000000875</c:v>
                </c:pt>
                <c:pt idx="747">
                  <c:v>47.115300000000879</c:v>
                </c:pt>
                <c:pt idx="748">
                  <c:v>47.115400000000882</c:v>
                </c:pt>
                <c:pt idx="749">
                  <c:v>47.115500000000885</c:v>
                </c:pt>
                <c:pt idx="750">
                  <c:v>47.115600000000889</c:v>
                </c:pt>
                <c:pt idx="751">
                  <c:v>47.115700000000892</c:v>
                </c:pt>
                <c:pt idx="752">
                  <c:v>47.115800000000895</c:v>
                </c:pt>
                <c:pt idx="753">
                  <c:v>47.115900000000899</c:v>
                </c:pt>
                <c:pt idx="754">
                  <c:v>47.116000000000902</c:v>
                </c:pt>
                <c:pt idx="755">
                  <c:v>47.116100000000905</c:v>
                </c:pt>
                <c:pt idx="756">
                  <c:v>47.116200000000909</c:v>
                </c:pt>
                <c:pt idx="757">
                  <c:v>47.116300000000912</c:v>
                </c:pt>
                <c:pt idx="758">
                  <c:v>47.116400000000915</c:v>
                </c:pt>
                <c:pt idx="759">
                  <c:v>47.116500000000919</c:v>
                </c:pt>
                <c:pt idx="760">
                  <c:v>47.116600000000922</c:v>
                </c:pt>
                <c:pt idx="761">
                  <c:v>47.116700000000925</c:v>
                </c:pt>
                <c:pt idx="762">
                  <c:v>47.116800000000929</c:v>
                </c:pt>
                <c:pt idx="763">
                  <c:v>47.116900000000932</c:v>
                </c:pt>
                <c:pt idx="764">
                  <c:v>47.117000000000935</c:v>
                </c:pt>
                <c:pt idx="765">
                  <c:v>47.117100000000939</c:v>
                </c:pt>
                <c:pt idx="766">
                  <c:v>47.117200000000942</c:v>
                </c:pt>
                <c:pt idx="767">
                  <c:v>47.117300000000945</c:v>
                </c:pt>
                <c:pt idx="768">
                  <c:v>47.117400000000949</c:v>
                </c:pt>
                <c:pt idx="769">
                  <c:v>47.117500000000952</c:v>
                </c:pt>
                <c:pt idx="770">
                  <c:v>47.117600000000955</c:v>
                </c:pt>
                <c:pt idx="771">
                  <c:v>47.117700000000958</c:v>
                </c:pt>
                <c:pt idx="772">
                  <c:v>47.117800000000962</c:v>
                </c:pt>
                <c:pt idx="773">
                  <c:v>47.117900000000965</c:v>
                </c:pt>
                <c:pt idx="774">
                  <c:v>47.118000000000968</c:v>
                </c:pt>
                <c:pt idx="775">
                  <c:v>47.118100000000972</c:v>
                </c:pt>
                <c:pt idx="776">
                  <c:v>47.118200000000975</c:v>
                </c:pt>
                <c:pt idx="777">
                  <c:v>47.118300000000978</c:v>
                </c:pt>
                <c:pt idx="778">
                  <c:v>47.118400000000982</c:v>
                </c:pt>
                <c:pt idx="779">
                  <c:v>47.118500000000985</c:v>
                </c:pt>
                <c:pt idx="780">
                  <c:v>47.118600000000988</c:v>
                </c:pt>
                <c:pt idx="781">
                  <c:v>47.118700000000992</c:v>
                </c:pt>
                <c:pt idx="782">
                  <c:v>47.118800000000995</c:v>
                </c:pt>
                <c:pt idx="783">
                  <c:v>47.118900000000998</c:v>
                </c:pt>
                <c:pt idx="784">
                  <c:v>47.119000000001002</c:v>
                </c:pt>
                <c:pt idx="785">
                  <c:v>47.119100000001005</c:v>
                </c:pt>
                <c:pt idx="786">
                  <c:v>47.119200000001008</c:v>
                </c:pt>
                <c:pt idx="787">
                  <c:v>47.119300000001012</c:v>
                </c:pt>
                <c:pt idx="788">
                  <c:v>47.119400000001015</c:v>
                </c:pt>
                <c:pt idx="789">
                  <c:v>47.119500000001018</c:v>
                </c:pt>
                <c:pt idx="790">
                  <c:v>47.119600000001022</c:v>
                </c:pt>
                <c:pt idx="791">
                  <c:v>47.119700000001025</c:v>
                </c:pt>
                <c:pt idx="792">
                  <c:v>47.119800000001028</c:v>
                </c:pt>
                <c:pt idx="793">
                  <c:v>47.119900000001032</c:v>
                </c:pt>
                <c:pt idx="794">
                  <c:v>47.120000000001035</c:v>
                </c:pt>
                <c:pt idx="795">
                  <c:v>47.120100000001038</c:v>
                </c:pt>
                <c:pt idx="796">
                  <c:v>47.120200000001041</c:v>
                </c:pt>
                <c:pt idx="797">
                  <c:v>47.120300000001045</c:v>
                </c:pt>
                <c:pt idx="798">
                  <c:v>47.120400000001048</c:v>
                </c:pt>
                <c:pt idx="799">
                  <c:v>47.120500000001051</c:v>
                </c:pt>
                <c:pt idx="800">
                  <c:v>47.120600000001055</c:v>
                </c:pt>
                <c:pt idx="801">
                  <c:v>47.120700000001058</c:v>
                </c:pt>
                <c:pt idx="802">
                  <c:v>47.120800000001061</c:v>
                </c:pt>
                <c:pt idx="803">
                  <c:v>47.120900000001065</c:v>
                </c:pt>
                <c:pt idx="804">
                  <c:v>47.121000000001068</c:v>
                </c:pt>
                <c:pt idx="805">
                  <c:v>47.121100000001071</c:v>
                </c:pt>
                <c:pt idx="806">
                  <c:v>47.121200000001075</c:v>
                </c:pt>
                <c:pt idx="807">
                  <c:v>47.121300000001078</c:v>
                </c:pt>
                <c:pt idx="808">
                  <c:v>47.121400000001081</c:v>
                </c:pt>
                <c:pt idx="809">
                  <c:v>47.121500000001085</c:v>
                </c:pt>
                <c:pt idx="810">
                  <c:v>47.121600000001088</c:v>
                </c:pt>
                <c:pt idx="811">
                  <c:v>47.121700000001091</c:v>
                </c:pt>
                <c:pt idx="812">
                  <c:v>47.121800000001095</c:v>
                </c:pt>
                <c:pt idx="813">
                  <c:v>47.121900000001098</c:v>
                </c:pt>
                <c:pt idx="814">
                  <c:v>47.122000000001101</c:v>
                </c:pt>
                <c:pt idx="815">
                  <c:v>47.122100000001105</c:v>
                </c:pt>
                <c:pt idx="816">
                  <c:v>47.122200000001108</c:v>
                </c:pt>
                <c:pt idx="817">
                  <c:v>47.122300000001111</c:v>
                </c:pt>
                <c:pt idx="818">
                  <c:v>47.122400000001115</c:v>
                </c:pt>
                <c:pt idx="819">
                  <c:v>47.122500000001118</c:v>
                </c:pt>
                <c:pt idx="820">
                  <c:v>47.122600000001121</c:v>
                </c:pt>
                <c:pt idx="821">
                  <c:v>47.122700000001124</c:v>
                </c:pt>
                <c:pt idx="822">
                  <c:v>47.122800000001128</c:v>
                </c:pt>
                <c:pt idx="823">
                  <c:v>47.122900000001131</c:v>
                </c:pt>
                <c:pt idx="824">
                  <c:v>47.123000000001134</c:v>
                </c:pt>
                <c:pt idx="825">
                  <c:v>47.123100000001138</c:v>
                </c:pt>
                <c:pt idx="826">
                  <c:v>47.123200000001141</c:v>
                </c:pt>
                <c:pt idx="827">
                  <c:v>47.123300000001144</c:v>
                </c:pt>
                <c:pt idx="828">
                  <c:v>47.123400000001148</c:v>
                </c:pt>
                <c:pt idx="829">
                  <c:v>47.123500000001151</c:v>
                </c:pt>
                <c:pt idx="830">
                  <c:v>47.123600000001154</c:v>
                </c:pt>
                <c:pt idx="831">
                  <c:v>47.123700000001158</c:v>
                </c:pt>
                <c:pt idx="832">
                  <c:v>47.123800000001161</c:v>
                </c:pt>
                <c:pt idx="833">
                  <c:v>47.123900000001164</c:v>
                </c:pt>
                <c:pt idx="834">
                  <c:v>47.124000000001168</c:v>
                </c:pt>
                <c:pt idx="835">
                  <c:v>47.124100000001171</c:v>
                </c:pt>
                <c:pt idx="836">
                  <c:v>47.124200000001174</c:v>
                </c:pt>
                <c:pt idx="837">
                  <c:v>47.124300000001178</c:v>
                </c:pt>
                <c:pt idx="838">
                  <c:v>47.124400000001181</c:v>
                </c:pt>
                <c:pt idx="839">
                  <c:v>47.124500000001184</c:v>
                </c:pt>
                <c:pt idx="840">
                  <c:v>47.124600000001188</c:v>
                </c:pt>
                <c:pt idx="841">
                  <c:v>47.124700000001191</c:v>
                </c:pt>
                <c:pt idx="842">
                  <c:v>47.124800000001194</c:v>
                </c:pt>
                <c:pt idx="843">
                  <c:v>47.124900000001197</c:v>
                </c:pt>
                <c:pt idx="844">
                  <c:v>47.125000000001201</c:v>
                </c:pt>
                <c:pt idx="845">
                  <c:v>47.125100000001204</c:v>
                </c:pt>
                <c:pt idx="846">
                  <c:v>47.125200000001207</c:v>
                </c:pt>
                <c:pt idx="847">
                  <c:v>47.125300000001211</c:v>
                </c:pt>
                <c:pt idx="848">
                  <c:v>47.125400000001214</c:v>
                </c:pt>
                <c:pt idx="849">
                  <c:v>47.125500000001217</c:v>
                </c:pt>
                <c:pt idx="850">
                  <c:v>47.125600000001221</c:v>
                </c:pt>
                <c:pt idx="851">
                  <c:v>47.125700000001224</c:v>
                </c:pt>
                <c:pt idx="852">
                  <c:v>47.125800000001227</c:v>
                </c:pt>
                <c:pt idx="853">
                  <c:v>47.125900000001231</c:v>
                </c:pt>
                <c:pt idx="854">
                  <c:v>47.126000000001234</c:v>
                </c:pt>
                <c:pt idx="855">
                  <c:v>47.126100000001237</c:v>
                </c:pt>
                <c:pt idx="856">
                  <c:v>47.126200000001241</c:v>
                </c:pt>
                <c:pt idx="857">
                  <c:v>47.126300000001244</c:v>
                </c:pt>
                <c:pt idx="858">
                  <c:v>47.126400000001247</c:v>
                </c:pt>
                <c:pt idx="859">
                  <c:v>47.126500000001251</c:v>
                </c:pt>
                <c:pt idx="860">
                  <c:v>47.126600000001254</c:v>
                </c:pt>
                <c:pt idx="861">
                  <c:v>47.126700000001257</c:v>
                </c:pt>
                <c:pt idx="862">
                  <c:v>47.126800000001261</c:v>
                </c:pt>
                <c:pt idx="863">
                  <c:v>47.126900000001264</c:v>
                </c:pt>
                <c:pt idx="864">
                  <c:v>47.127000000001267</c:v>
                </c:pt>
                <c:pt idx="865">
                  <c:v>47.127100000001271</c:v>
                </c:pt>
                <c:pt idx="866">
                  <c:v>47.127200000001274</c:v>
                </c:pt>
                <c:pt idx="867">
                  <c:v>47.127300000001277</c:v>
                </c:pt>
                <c:pt idx="868">
                  <c:v>47.12740000000128</c:v>
                </c:pt>
                <c:pt idx="869">
                  <c:v>47.127500000001284</c:v>
                </c:pt>
                <c:pt idx="870">
                  <c:v>47.127600000001287</c:v>
                </c:pt>
                <c:pt idx="871">
                  <c:v>47.12770000000129</c:v>
                </c:pt>
                <c:pt idx="872">
                  <c:v>47.127800000001294</c:v>
                </c:pt>
                <c:pt idx="873">
                  <c:v>47.127900000001297</c:v>
                </c:pt>
                <c:pt idx="874">
                  <c:v>47.1280000000013</c:v>
                </c:pt>
                <c:pt idx="875">
                  <c:v>47.128100000001304</c:v>
                </c:pt>
                <c:pt idx="876">
                  <c:v>47.128200000001307</c:v>
                </c:pt>
                <c:pt idx="877">
                  <c:v>47.12830000000131</c:v>
                </c:pt>
                <c:pt idx="878">
                  <c:v>47.128400000001314</c:v>
                </c:pt>
                <c:pt idx="879">
                  <c:v>47.128500000001317</c:v>
                </c:pt>
                <c:pt idx="880">
                  <c:v>47.12860000000132</c:v>
                </c:pt>
                <c:pt idx="881">
                  <c:v>47.128700000001324</c:v>
                </c:pt>
                <c:pt idx="882">
                  <c:v>47.128800000001327</c:v>
                </c:pt>
                <c:pt idx="883">
                  <c:v>47.12890000000133</c:v>
                </c:pt>
                <c:pt idx="884">
                  <c:v>47.129000000001334</c:v>
                </c:pt>
                <c:pt idx="885">
                  <c:v>47.129100000001337</c:v>
                </c:pt>
                <c:pt idx="886">
                  <c:v>47.12920000000134</c:v>
                </c:pt>
                <c:pt idx="887">
                  <c:v>47.129300000001344</c:v>
                </c:pt>
                <c:pt idx="888">
                  <c:v>47.129400000001347</c:v>
                </c:pt>
                <c:pt idx="889">
                  <c:v>47.12950000000135</c:v>
                </c:pt>
                <c:pt idx="890">
                  <c:v>47.129600000001354</c:v>
                </c:pt>
                <c:pt idx="891">
                  <c:v>47.129700000001357</c:v>
                </c:pt>
                <c:pt idx="892">
                  <c:v>47.12980000000136</c:v>
                </c:pt>
                <c:pt idx="893">
                  <c:v>47.129900000001363</c:v>
                </c:pt>
                <c:pt idx="894">
                  <c:v>47.130000000001367</c:v>
                </c:pt>
                <c:pt idx="895">
                  <c:v>47.13010000000137</c:v>
                </c:pt>
                <c:pt idx="896">
                  <c:v>47.130200000001373</c:v>
                </c:pt>
                <c:pt idx="897">
                  <c:v>47.130300000001377</c:v>
                </c:pt>
                <c:pt idx="898">
                  <c:v>47.13040000000138</c:v>
                </c:pt>
                <c:pt idx="899">
                  <c:v>47.130500000001383</c:v>
                </c:pt>
                <c:pt idx="900">
                  <c:v>47.130600000001387</c:v>
                </c:pt>
                <c:pt idx="901">
                  <c:v>47.13070000000139</c:v>
                </c:pt>
                <c:pt idx="902">
                  <c:v>47.130800000001393</c:v>
                </c:pt>
                <c:pt idx="903">
                  <c:v>47.130900000001397</c:v>
                </c:pt>
                <c:pt idx="904">
                  <c:v>47.1310000000014</c:v>
                </c:pt>
                <c:pt idx="905">
                  <c:v>47.131100000001403</c:v>
                </c:pt>
                <c:pt idx="906">
                  <c:v>47.131200000001407</c:v>
                </c:pt>
                <c:pt idx="907">
                  <c:v>47.13130000000141</c:v>
                </c:pt>
                <c:pt idx="908">
                  <c:v>47.131400000001413</c:v>
                </c:pt>
                <c:pt idx="909">
                  <c:v>47.131500000001417</c:v>
                </c:pt>
                <c:pt idx="910">
                  <c:v>47.13160000000142</c:v>
                </c:pt>
                <c:pt idx="911">
                  <c:v>47.131700000001423</c:v>
                </c:pt>
                <c:pt idx="912">
                  <c:v>47.131800000001427</c:v>
                </c:pt>
                <c:pt idx="913">
                  <c:v>47.13190000000143</c:v>
                </c:pt>
                <c:pt idx="914">
                  <c:v>47.132000000001433</c:v>
                </c:pt>
                <c:pt idx="915">
                  <c:v>47.132100000001437</c:v>
                </c:pt>
                <c:pt idx="916">
                  <c:v>47.13220000000144</c:v>
                </c:pt>
                <c:pt idx="917">
                  <c:v>47.132300000001443</c:v>
                </c:pt>
                <c:pt idx="918">
                  <c:v>47.132400000001446</c:v>
                </c:pt>
                <c:pt idx="919">
                  <c:v>47.13250000000145</c:v>
                </c:pt>
                <c:pt idx="920">
                  <c:v>47.132600000001453</c:v>
                </c:pt>
                <c:pt idx="921">
                  <c:v>47.132700000001456</c:v>
                </c:pt>
                <c:pt idx="922">
                  <c:v>47.13280000000146</c:v>
                </c:pt>
                <c:pt idx="923">
                  <c:v>47.132900000001463</c:v>
                </c:pt>
                <c:pt idx="924">
                  <c:v>47.133000000001466</c:v>
                </c:pt>
                <c:pt idx="925">
                  <c:v>47.13310000000147</c:v>
                </c:pt>
                <c:pt idx="926">
                  <c:v>47.133200000001473</c:v>
                </c:pt>
                <c:pt idx="927">
                  <c:v>47.133300000001476</c:v>
                </c:pt>
                <c:pt idx="928">
                  <c:v>47.13340000000148</c:v>
                </c:pt>
                <c:pt idx="929">
                  <c:v>47.133500000001483</c:v>
                </c:pt>
                <c:pt idx="930">
                  <c:v>47.133600000001486</c:v>
                </c:pt>
                <c:pt idx="931">
                  <c:v>47.13370000000149</c:v>
                </c:pt>
                <c:pt idx="932">
                  <c:v>47.133800000001493</c:v>
                </c:pt>
                <c:pt idx="933">
                  <c:v>47.133900000001496</c:v>
                </c:pt>
                <c:pt idx="934">
                  <c:v>47.1340000000015</c:v>
                </c:pt>
                <c:pt idx="935">
                  <c:v>47.134100000001503</c:v>
                </c:pt>
                <c:pt idx="936">
                  <c:v>47.134200000001506</c:v>
                </c:pt>
                <c:pt idx="937">
                  <c:v>47.13430000000151</c:v>
                </c:pt>
                <c:pt idx="938">
                  <c:v>47.134400000001513</c:v>
                </c:pt>
                <c:pt idx="939">
                  <c:v>47.134500000001516</c:v>
                </c:pt>
                <c:pt idx="940">
                  <c:v>47.13460000000152</c:v>
                </c:pt>
                <c:pt idx="941">
                  <c:v>47.134700000001523</c:v>
                </c:pt>
                <c:pt idx="942">
                  <c:v>47.134800000001526</c:v>
                </c:pt>
                <c:pt idx="943">
                  <c:v>47.134900000001529</c:v>
                </c:pt>
                <c:pt idx="944">
                  <c:v>47.135000000001533</c:v>
                </c:pt>
                <c:pt idx="945">
                  <c:v>47.135100000001536</c:v>
                </c:pt>
                <c:pt idx="946">
                  <c:v>47.135200000001539</c:v>
                </c:pt>
                <c:pt idx="947">
                  <c:v>47.135300000001543</c:v>
                </c:pt>
                <c:pt idx="948">
                  <c:v>47.135400000001546</c:v>
                </c:pt>
                <c:pt idx="949">
                  <c:v>47.135500000001549</c:v>
                </c:pt>
                <c:pt idx="950">
                  <c:v>47.135600000001553</c:v>
                </c:pt>
                <c:pt idx="951">
                  <c:v>47.135700000001556</c:v>
                </c:pt>
                <c:pt idx="952">
                  <c:v>47.135800000001559</c:v>
                </c:pt>
                <c:pt idx="953">
                  <c:v>47.135900000001563</c:v>
                </c:pt>
                <c:pt idx="954">
                  <c:v>47.136000000001566</c:v>
                </c:pt>
                <c:pt idx="955">
                  <c:v>47.136100000001569</c:v>
                </c:pt>
                <c:pt idx="956">
                  <c:v>47.136200000001573</c:v>
                </c:pt>
                <c:pt idx="957">
                  <c:v>47.136300000001576</c:v>
                </c:pt>
                <c:pt idx="958">
                  <c:v>47.136400000001579</c:v>
                </c:pt>
                <c:pt idx="959">
                  <c:v>47.136500000001583</c:v>
                </c:pt>
                <c:pt idx="960">
                  <c:v>47.136600000001586</c:v>
                </c:pt>
                <c:pt idx="961">
                  <c:v>47.136700000001589</c:v>
                </c:pt>
                <c:pt idx="962">
                  <c:v>47.136800000001593</c:v>
                </c:pt>
                <c:pt idx="963">
                  <c:v>47.136900000001596</c:v>
                </c:pt>
                <c:pt idx="964">
                  <c:v>47.137000000001599</c:v>
                </c:pt>
                <c:pt idx="965">
                  <c:v>47.137100000001602</c:v>
                </c:pt>
                <c:pt idx="966">
                  <c:v>47.137200000001606</c:v>
                </c:pt>
                <c:pt idx="967">
                  <c:v>47.137300000001609</c:v>
                </c:pt>
                <c:pt idx="968">
                  <c:v>47.137400000001612</c:v>
                </c:pt>
                <c:pt idx="969">
                  <c:v>47.137500000001616</c:v>
                </c:pt>
                <c:pt idx="970">
                  <c:v>47.137600000001619</c:v>
                </c:pt>
                <c:pt idx="971">
                  <c:v>47.137700000001622</c:v>
                </c:pt>
                <c:pt idx="972">
                  <c:v>47.137800000001626</c:v>
                </c:pt>
                <c:pt idx="973">
                  <c:v>47.137900000001629</c:v>
                </c:pt>
                <c:pt idx="974">
                  <c:v>47.138000000001632</c:v>
                </c:pt>
                <c:pt idx="975">
                  <c:v>47.138100000001636</c:v>
                </c:pt>
                <c:pt idx="976">
                  <c:v>47.138200000001639</c:v>
                </c:pt>
                <c:pt idx="977">
                  <c:v>47.138300000001642</c:v>
                </c:pt>
                <c:pt idx="978">
                  <c:v>47.138400000001646</c:v>
                </c:pt>
                <c:pt idx="979">
                  <c:v>47.138500000001649</c:v>
                </c:pt>
                <c:pt idx="980">
                  <c:v>47.138600000001652</c:v>
                </c:pt>
                <c:pt idx="981">
                  <c:v>47.138700000001656</c:v>
                </c:pt>
                <c:pt idx="982">
                  <c:v>47.138800000001659</c:v>
                </c:pt>
                <c:pt idx="983">
                  <c:v>47.138900000001662</c:v>
                </c:pt>
                <c:pt idx="984">
                  <c:v>47.139000000001666</c:v>
                </c:pt>
                <c:pt idx="985">
                  <c:v>47.139100000001669</c:v>
                </c:pt>
                <c:pt idx="986">
                  <c:v>47.139200000001672</c:v>
                </c:pt>
                <c:pt idx="987">
                  <c:v>47.139300000001676</c:v>
                </c:pt>
                <c:pt idx="988">
                  <c:v>47.139400000001679</c:v>
                </c:pt>
                <c:pt idx="989">
                  <c:v>47.139500000001682</c:v>
                </c:pt>
                <c:pt idx="990">
                  <c:v>47.139600000001685</c:v>
                </c:pt>
                <c:pt idx="991">
                  <c:v>47.139700000001689</c:v>
                </c:pt>
                <c:pt idx="992">
                  <c:v>47.139800000001692</c:v>
                </c:pt>
                <c:pt idx="993">
                  <c:v>47.139900000001695</c:v>
                </c:pt>
                <c:pt idx="994">
                  <c:v>47.140000000001699</c:v>
                </c:pt>
                <c:pt idx="995">
                  <c:v>47.140100000001702</c:v>
                </c:pt>
                <c:pt idx="996">
                  <c:v>47.140200000001705</c:v>
                </c:pt>
                <c:pt idx="997">
                  <c:v>47.140300000001709</c:v>
                </c:pt>
                <c:pt idx="998">
                  <c:v>47.140400000001712</c:v>
                </c:pt>
                <c:pt idx="999">
                  <c:v>47.140500000001715</c:v>
                </c:pt>
                <c:pt idx="1000">
                  <c:v>47.140600000001719</c:v>
                </c:pt>
              </c:numCache>
            </c:numRef>
          </c:xVal>
          <c:yVal>
            <c:numRef>
              <c:f>Calculs!$W$4:$W$1004</c:f>
              <c:numCache>
                <c:formatCode>0.00</c:formatCode>
                <c:ptCount val="1001"/>
                <c:pt idx="0">
                  <c:v>46.811308605722971</c:v>
                </c:pt>
                <c:pt idx="1">
                  <c:v>46.790429110671752</c:v>
                </c:pt>
                <c:pt idx="2">
                  <c:v>47.048688855213271</c:v>
                </c:pt>
                <c:pt idx="3">
                  <c:v>47.425025561639401</c:v>
                </c:pt>
                <c:pt idx="4">
                  <c:v>47.757030887555601</c:v>
                </c:pt>
                <c:pt idx="5">
                  <c:v>48.065937270658807</c:v>
                </c:pt>
                <c:pt idx="6">
                  <c:v>48.373276338985086</c:v>
                </c:pt>
                <c:pt idx="7">
                  <c:v>48.679024557219044</c:v>
                </c:pt>
                <c:pt idx="8">
                  <c:v>48.983158683206092</c:v>
                </c:pt>
                <c:pt idx="9">
                  <c:v>49.285655768263631</c:v>
                </c:pt>
                <c:pt idx="10">
                  <c:v>49.586493157446768</c:v>
                </c:pt>
                <c:pt idx="11">
                  <c:v>49.885648489768137</c:v>
                </c:pt>
                <c:pt idx="12">
                  <c:v>50.183099698372878</c:v>
                </c:pt>
                <c:pt idx="13">
                  <c:v>50.478825010668849</c:v>
                </c:pt>
                <c:pt idx="14">
                  <c:v>50.772802948412846</c:v>
                </c:pt>
                <c:pt idx="15">
                  <c:v>51.065012327752875</c:v>
                </c:pt>
                <c:pt idx="16">
                  <c:v>51.355432259227499</c:v>
                </c:pt>
                <c:pt idx="17">
                  <c:v>51.644042147722161</c:v>
                </c:pt>
                <c:pt idx="18">
                  <c:v>51.930821692383425</c:v>
                </c:pt>
                <c:pt idx="19">
                  <c:v>52.215750886491342</c:v>
                </c:pt>
                <c:pt idx="20">
                  <c:v>52.498810017290552</c:v>
                </c:pt>
                <c:pt idx="21">
                  <c:v>52.779979665780573</c:v>
                </c:pt>
                <c:pt idx="22">
                  <c:v>53.059240706465779</c:v>
                </c:pt>
                <c:pt idx="23">
                  <c:v>53.336574307065618</c:v>
                </c:pt>
                <c:pt idx="24">
                  <c:v>53.611961928185593</c:v>
                </c:pt>
                <c:pt idx="25">
                  <c:v>53.885385322949382</c:v>
                </c:pt>
                <c:pt idx="26">
                  <c:v>54.156826536592582</c:v>
                </c:pt>
                <c:pt idx="27">
                  <c:v>54.426267906019092</c:v>
                </c:pt>
                <c:pt idx="28">
                  <c:v>54.693692059319929</c:v>
                </c:pt>
                <c:pt idx="29">
                  <c:v>54.959081915255481</c:v>
                </c:pt>
                <c:pt idx="30">
                  <c:v>55.222420682701589</c:v>
                </c:pt>
                <c:pt idx="31">
                  <c:v>55.48369186006007</c:v>
                </c:pt>
                <c:pt idx="32">
                  <c:v>55.742879234634046</c:v>
                </c:pt>
                <c:pt idx="33">
                  <c:v>55.999966881968618</c:v>
                </c:pt>
                <c:pt idx="34">
                  <c:v>56.254939165157786</c:v>
                </c:pt>
                <c:pt idx="35">
                  <c:v>56.507780734117745</c:v>
                </c:pt>
                <c:pt idx="36">
                  <c:v>56.758476524827067</c:v>
                </c:pt>
                <c:pt idx="37">
                  <c:v>57.007011758534816</c:v>
                </c:pt>
                <c:pt idx="38">
                  <c:v>57.253371940936468</c:v>
                </c:pt>
                <c:pt idx="39">
                  <c:v>57.497542861318678</c:v>
                </c:pt>
                <c:pt idx="40">
                  <c:v>57.739510591673387</c:v>
                </c:pt>
                <c:pt idx="41">
                  <c:v>57.979261485781429</c:v>
                </c:pt>
                <c:pt idx="42">
                  <c:v>58.216782178266634</c:v>
                </c:pt>
                <c:pt idx="43">
                  <c:v>58.452059583620773</c:v>
                </c:pt>
                <c:pt idx="44">
                  <c:v>58.685080895199881</c:v>
                </c:pt>
                <c:pt idx="45">
                  <c:v>58.915833584192598</c:v>
                </c:pt>
                <c:pt idx="46">
                  <c:v>59.144305398560917</c:v>
                </c:pt>
                <c:pt idx="47">
                  <c:v>59.370484361953963</c:v>
                </c:pt>
                <c:pt idx="48">
                  <c:v>59.594358772595548</c:v>
                </c:pt>
                <c:pt idx="49">
                  <c:v>59.815917202145634</c:v>
                </c:pt>
                <c:pt idx="50">
                  <c:v>60.035148494536585</c:v>
                </c:pt>
                <c:pt idx="51">
                  <c:v>60.252041764784771</c:v>
                </c:pt>
                <c:pt idx="52">
                  <c:v>60.466586397777505</c:v>
                </c:pt>
                <c:pt idx="53">
                  <c:v>60.67877204703678</c:v>
                </c:pt>
                <c:pt idx="54">
                  <c:v>60.888588633459669</c:v>
                </c:pt>
                <c:pt idx="55">
                  <c:v>61.096026344035721</c:v>
                </c:pt>
                <c:pt idx="56">
                  <c:v>61.301075630543068</c:v>
                </c:pt>
                <c:pt idx="57">
                  <c:v>61.503727208222045</c:v>
                </c:pt>
                <c:pt idx="58">
                  <c:v>61.703972054428625</c:v>
                </c:pt>
                <c:pt idx="59">
                  <c:v>61.901801407266596</c:v>
                </c:pt>
                <c:pt idx="60">
                  <c:v>62.097206764200386</c:v>
                </c:pt>
                <c:pt idx="61">
                  <c:v>62.290179880648246</c:v>
                </c:pt>
                <c:pt idx="62">
                  <c:v>62.480712768555975</c:v>
                </c:pt>
                <c:pt idx="63">
                  <c:v>62.666637173930219</c:v>
                </c:pt>
                <c:pt idx="64">
                  <c:v>62.845776381379373</c:v>
                </c:pt>
                <c:pt idx="65">
                  <c:v>63.018114137003764</c:v>
                </c:pt>
                <c:pt idx="66">
                  <c:v>63.183635644046873</c:v>
                </c:pt>
                <c:pt idx="67">
                  <c:v>63.340336250499995</c:v>
                </c:pt>
                <c:pt idx="68">
                  <c:v>63.486207245907146</c:v>
                </c:pt>
                <c:pt idx="69">
                  <c:v>63.617684763916465</c:v>
                </c:pt>
                <c:pt idx="70">
                  <c:v>63.731202407841593</c:v>
                </c:pt>
                <c:pt idx="71">
                  <c:v>63.826753001848701</c:v>
                </c:pt>
                <c:pt idx="72">
                  <c:v>63.90433814041738</c:v>
                </c:pt>
                <c:pt idx="73">
                  <c:v>63.963968103074066</c:v>
                </c:pt>
                <c:pt idx="74">
                  <c:v>64.005661767239815</c:v>
                </c:pt>
                <c:pt idx="75">
                  <c:v>64.029446519303235</c:v>
                </c:pt>
                <c:pt idx="76">
                  <c:v>64.035358164026519</c:v>
                </c:pt>
                <c:pt idx="77">
                  <c:v>64.023440832393931</c:v>
                </c:pt>
                <c:pt idx="78">
                  <c:v>63.993746888008651</c:v>
                </c:pt>
                <c:pt idx="79">
                  <c:v>63.946336832144063</c:v>
                </c:pt>
                <c:pt idx="80">
                  <c:v>63.881279207554009</c:v>
                </c:pt>
                <c:pt idx="81">
                  <c:v>63.802877190890165</c:v>
                </c:pt>
                <c:pt idx="82">
                  <c:v>63.715417187481407</c:v>
                </c:pt>
                <c:pt idx="83">
                  <c:v>63.618943832223785</c:v>
                </c:pt>
                <c:pt idx="84">
                  <c:v>63.513503739159155</c:v>
                </c:pt>
                <c:pt idx="85">
                  <c:v>63.399145475370702</c:v>
                </c:pt>
                <c:pt idx="86">
                  <c:v>63.275919534918991</c:v>
                </c:pt>
                <c:pt idx="87">
                  <c:v>63.143878312830367</c:v>
                </c:pt>
                <c:pt idx="88">
                  <c:v>63.003076079148961</c:v>
                </c:pt>
                <c:pt idx="89">
                  <c:v>62.854893673106822</c:v>
                </c:pt>
                <c:pt idx="90">
                  <c:v>62.700703074923815</c:v>
                </c:pt>
                <c:pt idx="91">
                  <c:v>62.540545332669808</c:v>
                </c:pt>
                <c:pt idx="92">
                  <c:v>62.374462307626523</c:v>
                </c:pt>
                <c:pt idx="93">
                  <c:v>62.202826054353437</c:v>
                </c:pt>
                <c:pt idx="94">
                  <c:v>62.026006496838122</c:v>
                </c:pt>
                <c:pt idx="95">
                  <c:v>61.844042870039999</c:v>
                </c:pt>
                <c:pt idx="96">
                  <c:v>61.656974998018853</c:v>
                </c:pt>
                <c:pt idx="97">
                  <c:v>61.466152640012687</c:v>
                </c:pt>
                <c:pt idx="98">
                  <c:v>61.272913594641075</c:v>
                </c:pt>
                <c:pt idx="99">
                  <c:v>61.077278354799034</c:v>
                </c:pt>
                <c:pt idx="100">
                  <c:v>60.87926750877476</c:v>
                </c:pt>
                <c:pt idx="101">
                  <c:v>60.678901738437517</c:v>
                </c:pt>
                <c:pt idx="102">
                  <c:v>60.476201817452086</c:v>
                </c:pt>
                <c:pt idx="103">
                  <c:v>60.271188609519903</c:v>
                </c:pt>
                <c:pt idx="104">
                  <c:v>60.063883066647044</c:v>
                </c:pt>
                <c:pt idx="105">
                  <c:v>59.854306227438421</c:v>
                </c:pt>
                <c:pt idx="106">
                  <c:v>59.642479215419037</c:v>
                </c:pt>
                <c:pt idx="107">
                  <c:v>59.428423237381239</c:v>
                </c:pt>
                <c:pt idx="108">
                  <c:v>59.212159581758733</c:v>
                </c:pt>
                <c:pt idx="109">
                  <c:v>58.995311205212097</c:v>
                </c:pt>
                <c:pt idx="110">
                  <c:v>58.779484050838398</c:v>
                </c:pt>
                <c:pt idx="111">
                  <c:v>58.564671710391963</c:v>
                </c:pt>
                <c:pt idx="112">
                  <c:v>58.350867826227578</c:v>
                </c:pt>
                <c:pt idx="113">
                  <c:v>58.138066090820352</c:v>
                </c:pt>
                <c:pt idx="114">
                  <c:v>57.926260246290276</c:v>
                </c:pt>
                <c:pt idx="115">
                  <c:v>57.715444083932503</c:v>
                </c:pt>
                <c:pt idx="116">
                  <c:v>57.505611443752613</c:v>
                </c:pt>
                <c:pt idx="117">
                  <c:v>57.296756214007196</c:v>
                </c:pt>
                <c:pt idx="118">
                  <c:v>57.088872330749112</c:v>
                </c:pt>
                <c:pt idx="119">
                  <c:v>56.8819537773782</c:v>
                </c:pt>
                <c:pt idx="120">
                  <c:v>56.675994584196772</c:v>
                </c:pt>
                <c:pt idx="121">
                  <c:v>56.470988827969691</c:v>
                </c:pt>
                <c:pt idx="122">
                  <c:v>56.266930631489764</c:v>
                </c:pt>
                <c:pt idx="123">
                  <c:v>56.063814163147576</c:v>
                </c:pt>
                <c:pt idx="124">
                  <c:v>55.861633636506006</c:v>
                </c:pt>
                <c:pt idx="125">
                  <c:v>55.660383309879499</c:v>
                </c:pt>
                <c:pt idx="126">
                  <c:v>55.460057485917901</c:v>
                </c:pt>
                <c:pt idx="127">
                  <c:v>55.26065051119474</c:v>
                </c:pt>
                <c:pt idx="128">
                  <c:v>55.062156775800155</c:v>
                </c:pt>
                <c:pt idx="129">
                  <c:v>54.864570712937891</c:v>
                </c:pt>
                <c:pt idx="130">
                  <c:v>54.667886798526958</c:v>
                </c:pt>
                <c:pt idx="131">
                  <c:v>54.472099550807656</c:v>
                </c:pt>
                <c:pt idx="132">
                  <c:v>54.277203529951343</c:v>
                </c:pt>
                <c:pt idx="133">
                  <c:v>54.083193337675105</c:v>
                </c:pt>
                <c:pt idx="134">
                  <c:v>53.890063616859884</c:v>
                </c:pt>
                <c:pt idx="135">
                  <c:v>53.697809051173344</c:v>
                </c:pt>
                <c:pt idx="136">
                  <c:v>53.506424364696244</c:v>
                </c:pt>
                <c:pt idx="137">
                  <c:v>53.315904321553013</c:v>
                </c:pt>
                <c:pt idx="138">
                  <c:v>53.126243725546416</c:v>
                </c:pt>
                <c:pt idx="139">
                  <c:v>52.93743741979587</c:v>
                </c:pt>
                <c:pt idx="140">
                  <c:v>52.7494802863798</c:v>
                </c:pt>
                <c:pt idx="141">
                  <c:v>52.562367245981662</c:v>
                </c:pt>
                <c:pt idx="142">
                  <c:v>52.376093257539772</c:v>
                </c:pt>
                <c:pt idx="143">
                  <c:v>52.190653317900882</c:v>
                </c:pt>
                <c:pt idx="144">
                  <c:v>52.006042461477421</c:v>
                </c:pt>
                <c:pt idx="145">
                  <c:v>51.822255759908245</c:v>
                </c:pt>
                <c:pt idx="146">
                  <c:v>51.639288321723079</c:v>
                </c:pt>
                <c:pt idx="147">
                  <c:v>51.457135292010527</c:v>
                </c:pt>
                <c:pt idx="148">
                  <c:v>51.275791852089377</c:v>
                </c:pt>
                <c:pt idx="149">
                  <c:v>51.095253219183661</c:v>
                </c:pt>
                <c:pt idx="150">
                  <c:v>50.915514646100775</c:v>
                </c:pt>
                <c:pt idx="151">
                  <c:v>50.736571420913229</c:v>
                </c:pt>
                <c:pt idx="152">
                  <c:v>50.558418866643706</c:v>
                </c:pt>
                <c:pt idx="153">
                  <c:v>50.381052340953175</c:v>
                </c:pt>
                <c:pt idx="154">
                  <c:v>50.204467235832567</c:v>
                </c:pt>
                <c:pt idx="155">
                  <c:v>50.028658977297376</c:v>
                </c:pt>
                <c:pt idx="156">
                  <c:v>49.853623025085732</c:v>
                </c:pt>
                <c:pt idx="157">
                  <c:v>49.679354872359269</c:v>
                </c:pt>
                <c:pt idx="158">
                  <c:v>49.505850045407357</c:v>
                </c:pt>
                <c:pt idx="159">
                  <c:v>49.333104103354351</c:v>
                </c:pt>
                <c:pt idx="160">
                  <c:v>49.161112637869678</c:v>
                </c:pt>
                <c:pt idx="161">
                  <c:v>48.989871272881111</c:v>
                </c:pt>
                <c:pt idx="162">
                  <c:v>48.819375664290988</c:v>
                </c:pt>
                <c:pt idx="163">
                  <c:v>48.649621499695179</c:v>
                </c:pt>
                <c:pt idx="164">
                  <c:v>48.480604498105173</c:v>
                </c:pt>
                <c:pt idx="165">
                  <c:v>48.312320409672765</c:v>
                </c:pt>
                <c:pt idx="166">
                  <c:v>48.144765015417789</c:v>
                </c:pt>
                <c:pt idx="167">
                  <c:v>47.977934126958473</c:v>
                </c:pt>
                <c:pt idx="168">
                  <c:v>47.8118235862446</c:v>
                </c:pt>
                <c:pt idx="169">
                  <c:v>47.646429265293492</c:v>
                </c:pt>
                <c:pt idx="170">
                  <c:v>47.481747065928374</c:v>
                </c:pt>
                <c:pt idx="171">
                  <c:v>47.317772919519861</c:v>
                </c:pt>
                <c:pt idx="172">
                  <c:v>47.154502786729559</c:v>
                </c:pt>
                <c:pt idx="173">
                  <c:v>46.991932657256747</c:v>
                </c:pt>
                <c:pt idx="174">
                  <c:v>46.830058549587143</c:v>
                </c:pt>
                <c:pt idx="175">
                  <c:v>46.668876510744667</c:v>
                </c:pt>
                <c:pt idx="176">
                  <c:v>46.508382616045367</c:v>
                </c:pt>
                <c:pt idx="177">
                  <c:v>46.348572968853993</c:v>
                </c:pt>
                <c:pt idx="178">
                  <c:v>46.189443700342913</c:v>
                </c:pt>
                <c:pt idx="179">
                  <c:v>46.030990969253594</c:v>
                </c:pt>
                <c:pt idx="180">
                  <c:v>45.873210961660376</c:v>
                </c:pt>
                <c:pt idx="181">
                  <c:v>45.716099890736579</c:v>
                </c:pt>
                <c:pt idx="182">
                  <c:v>45.559653996522968</c:v>
                </c:pt>
                <c:pt idx="183">
                  <c:v>45.403869545698662</c:v>
                </c:pt>
                <c:pt idx="184">
                  <c:v>45.248742831354129</c:v>
                </c:pt>
                <c:pt idx="185">
                  <c:v>45.094270172766592</c:v>
                </c:pt>
                <c:pt idx="186">
                  <c:v>44.940447915177565</c:v>
                </c:pt>
                <c:pt idx="187">
                  <c:v>44.787272429572617</c:v>
                </c:pt>
                <c:pt idx="188">
                  <c:v>44.634740112463462</c:v>
                </c:pt>
                <c:pt idx="189">
                  <c:v>44.48284738567186</c:v>
                </c:pt>
                <c:pt idx="190">
                  <c:v>44.331590696116159</c:v>
                </c:pt>
                <c:pt idx="191">
                  <c:v>44.180966515599458</c:v>
                </c:pt>
                <c:pt idx="192">
                  <c:v>44.030971340600026</c:v>
                </c:pt>
                <c:pt idx="193">
                  <c:v>43.881601692064088</c:v>
                </c:pt>
                <c:pt idx="194">
                  <c:v>43.732854115200034</c:v>
                </c:pt>
                <c:pt idx="195">
                  <c:v>43.584725179275274</c:v>
                </c:pt>
                <c:pt idx="196">
                  <c:v>43.437211477414635</c:v>
                </c:pt>
                <c:pt idx="197">
                  <c:v>43.290309626400955</c:v>
                </c:pt>
                <c:pt idx="198">
                  <c:v>43.1440162664775</c:v>
                </c:pt>
                <c:pt idx="199">
                  <c:v>42.99832806115252</c:v>
                </c:pt>
                <c:pt idx="200">
                  <c:v>42.853241697005416</c:v>
                </c:pt>
                <c:pt idx="201">
                  <c:v>41.42109766895225</c:v>
                </c:pt>
                <c:pt idx="202">
                  <c:v>40.046972953951389</c:v>
                </c:pt>
                <c:pt idx="203">
                  <c:v>38.727788900360032</c:v>
                </c:pt>
                <c:pt idx="204">
                  <c:v>37.460670860572897</c:v>
                </c:pt>
                <c:pt idx="205">
                  <c:v>36.242932108297431</c:v>
                </c:pt>
                <c:pt idx="206">
                  <c:v>35.072059222014623</c:v>
                </c:pt>
                <c:pt idx="207">
                  <c:v>33.945698783365856</c:v>
                </c:pt>
                <c:pt idx="208">
                  <c:v>32.861645256582179</c:v>
                </c:pt>
                <c:pt idx="209">
                  <c:v>31.81782993025335</c:v>
                </c:pt>
                <c:pt idx="210">
                  <c:v>30.812310816022229</c:v>
                </c:pt>
                <c:pt idx="211">
                  <c:v>29.843263410443004</c:v>
                </c:pt>
                <c:pt idx="212">
                  <c:v>28.908972236476917</c:v>
                </c:pt>
                <c:pt idx="213">
                  <c:v>28.007823090106154</c:v>
                </c:pt>
                <c:pt idx="214">
                  <c:v>27.138295925484428</c:v>
                </c:pt>
                <c:pt idx="215">
                  <c:v>26.298958319050541</c:v>
                </c:pt>
                <c:pt idx="216">
                  <c:v>25.488459459227098</c:v>
                </c:pt>
                <c:pt idx="217">
                  <c:v>24.705524613813555</c:v>
                </c:pt>
                <c:pt idx="218">
                  <c:v>23.948950032048206</c:v>
                </c:pt>
                <c:pt idx="219">
                  <c:v>23.217598242636004</c:v>
                </c:pt>
                <c:pt idx="220">
                  <c:v>22.510393712882337</c:v>
                </c:pt>
                <c:pt idx="221">
                  <c:v>21.826318837496391</c:v>
                </c:pt>
                <c:pt idx="222">
                  <c:v>21.16441022868111</c:v>
                </c:pt>
                <c:pt idx="223">
                  <c:v>20.523755281852818</c:v>
                </c:pt>
                <c:pt idx="224">
                  <c:v>19.903488993772168</c:v>
                </c:pt>
                <c:pt idx="225">
                  <c:v>19.302791012050488</c:v>
                </c:pt>
                <c:pt idx="226">
                  <c:v>18.720882896952521</c:v>
                </c:pt>
                <c:pt idx="227">
                  <c:v>18.157025578172803</c:v>
                </c:pt>
                <c:pt idx="228">
                  <c:v>17.610516990840658</c:v>
                </c:pt>
                <c:pt idx="229">
                  <c:v>17.080689876428831</c:v>
                </c:pt>
                <c:pt idx="230">
                  <c:v>16.566909735519086</c:v>
                </c:pt>
                <c:pt idx="231">
                  <c:v>16.068572920530769</c:v>
                </c:pt>
                <c:pt idx="232">
                  <c:v>15.585104857559152</c:v>
                </c:pt>
                <c:pt idx="233">
                  <c:v>15.115958387410219</c:v>
                </c:pt>
                <c:pt idx="234">
                  <c:v>14.660612216768991</c:v>
                </c:pt>
                <c:pt idx="235">
                  <c:v>14.218569471208518</c:v>
                </c:pt>
                <c:pt idx="236">
                  <c:v>13.789356342444341</c:v>
                </c:pt>
                <c:pt idx="237">
                  <c:v>13.37252082287227</c:v>
                </c:pt>
                <c:pt idx="238">
                  <c:v>12.96763152100239</c:v>
                </c:pt>
                <c:pt idx="239">
                  <c:v>12.574276551924404</c:v>
                </c:pt>
                <c:pt idx="240">
                  <c:v>12.192062497415019</c:v>
                </c:pt>
                <c:pt idx="241">
                  <c:v>11.820613430730891</c:v>
                </c:pt>
                <c:pt idx="242">
                  <c:v>11.459570001525138</c:v>
                </c:pt>
                <c:pt idx="243">
                  <c:v>11.108588576685197</c:v>
                </c:pt>
                <c:pt idx="244">
                  <c:v>10.767340433218633</c:v>
                </c:pt>
                <c:pt idx="245">
                  <c:v>10.435510999613404</c:v>
                </c:pt>
                <c:pt idx="246">
                  <c:v>10.112799142373792</c:v>
                </c:pt>
                <c:pt idx="247">
                  <c:v>9.7989164946845708</c:v>
                </c:pt>
                <c:pt idx="248">
                  <c:v>9.4935868243858259</c:v>
                </c:pt>
                <c:pt idx="249">
                  <c:v>9.1965454386521657</c:v>
                </c:pt>
                <c:pt idx="250">
                  <c:v>8.9075386229633615</c:v>
                </c:pt>
                <c:pt idx="251">
                  <c:v>8.6263231121312689</c:v>
                </c:pt>
                <c:pt idx="252">
                  <c:v>8.3526655913110517</c:v>
                </c:pt>
                <c:pt idx="253">
                  <c:v>8.0863422250748425</c:v>
                </c:pt>
                <c:pt idx="254">
                  <c:v>7.827138212764118</c:v>
                </c:pt>
                <c:pt idx="255">
                  <c:v>7.5748473684641269</c:v>
                </c:pt>
                <c:pt idx="256">
                  <c:v>7.3292717240609351</c:v>
                </c:pt>
                <c:pt idx="257">
                  <c:v>7.0902211539495692</c:v>
                </c:pt>
                <c:pt idx="258">
                  <c:v>6.8575130200614964</c:v>
                </c:pt>
                <c:pt idx="259">
                  <c:v>6.6309718359715708</c:v>
                </c:pt>
                <c:pt idx="260">
                  <c:v>6.4104289489295905</c:v>
                </c:pt>
                <c:pt idx="261">
                  <c:v>6.1957222387402417</c:v>
                </c:pt>
                <c:pt idx="262">
                  <c:v>5.9866958324876913</c:v>
                </c:pt>
                <c:pt idx="263">
                  <c:v>5.7831998341685598</c:v>
                </c:pt>
                <c:pt idx="264">
                  <c:v>5.5850900683591007</c:v>
                </c:pt>
                <c:pt idx="265">
                  <c:v>5.3922278371002337</c:v>
                </c:pt>
                <c:pt idx="266">
                  <c:v>5.2044796892375169</c:v>
                </c:pt>
                <c:pt idx="267">
                  <c:v>5.0217172015028639</c:v>
                </c:pt>
                <c:pt idx="268">
                  <c:v>4.8438167706707906</c:v>
                </c:pt>
                <c:pt idx="269">
                  <c:v>4.6706594161648312</c:v>
                </c:pt>
                <c:pt idx="270">
                  <c:v>4.5021305925295181</c:v>
                </c:pt>
                <c:pt idx="271">
                  <c:v>4.3381200112202833</c:v>
                </c:pt>
                <c:pt idx="272">
                  <c:v>4.1785214711979783</c:v>
                </c:pt>
                <c:pt idx="273">
                  <c:v>4.0232326978467965</c:v>
                </c:pt>
                <c:pt idx="274">
                  <c:v>3.8721551897641104</c:v>
                </c:pt>
                <c:pt idx="275">
                  <c:v>3.7251940729984918</c:v>
                </c:pt>
                <c:pt idx="276">
                  <c:v>3.5822579623380806</c:v>
                </c:pt>
                <c:pt idx="277">
                  <c:v>3.4432588292755066</c:v>
                </c:pt>
                <c:pt idx="278">
                  <c:v>3.3081118762981414</c:v>
                </c:pt>
                <c:pt idx="279">
                  <c:v>3.1767354171733242</c:v>
                </c:pt>
                <c:pt idx="280">
                  <c:v>3.0490507629178363</c:v>
                </c:pt>
                <c:pt idx="281">
                  <c:v>2.9249821131591434</c:v>
                </c:pt>
                <c:pt idx="282">
                  <c:v>2.8044564526129432</c:v>
                </c:pt>
                <c:pt idx="283">
                  <c:v>2.6874034524174673</c:v>
                </c:pt>
                <c:pt idx="284">
                  <c:v>2.5737553760798186</c:v>
                </c:pt>
                <c:pt idx="285">
                  <c:v>2.4634469898034972</c:v>
                </c:pt>
                <c:pt idx="286">
                  <c:v>2.3564154769790844</c:v>
                </c:pt>
                <c:pt idx="287">
                  <c:v>2.2526003566322026</c:v>
                </c:pt>
                <c:pt idx="288">
                  <c:v>2.1519434056339031</c:v>
                </c:pt>
                <c:pt idx="289">
                  <c:v>2.0543885844891681</c:v>
                </c:pt>
                <c:pt idx="290">
                  <c:v>1.9598819665287213</c:v>
                </c:pt>
                <c:pt idx="291">
                  <c:v>1.8683716703383106</c:v>
                </c:pt>
                <c:pt idx="292">
                  <c:v>1.7798077952678171</c:v>
                </c:pt>
                <c:pt idx="293">
                  <c:v>1.6941423598699816</c:v>
                </c:pt>
                <c:pt idx="294">
                  <c:v>1.6113292431254354</c:v>
                </c:pt>
                <c:pt idx="295">
                  <c:v>1.531324128316792</c:v>
                </c:pt>
                <c:pt idx="296">
                  <c:v>1.4540844494199949</c:v>
                </c:pt>
                <c:pt idx="297">
                  <c:v>1.3795693398858619</c:v>
                </c:pt>
                <c:pt idx="298">
                  <c:v>1.3077395836887029</c:v>
                </c:pt>
                <c:pt idx="299">
                  <c:v>1.2385575685220671</c:v>
                </c:pt>
                <c:pt idx="300">
                  <c:v>1.1719872410240042</c:v>
                </c:pt>
                <c:pt idx="301">
                  <c:v>1.1079940639155799</c:v>
                </c:pt>
                <c:pt idx="302">
                  <c:v>1.046544974936733</c:v>
                </c:pt>
                <c:pt idx="303">
                  <c:v>0.98760834746271475</c:v>
                </c:pt>
                <c:pt idx="304">
                  <c:v>0.9311539526821796</c:v>
                </c:pt>
                <c:pt idx="305">
                  <c:v>0.8771529232143126</c:v>
                </c:pt>
                <c:pt idx="306">
                  <c:v>0.82557771803692881</c:v>
                </c:pt>
                <c:pt idx="307">
                  <c:v>0.77640208859000681</c:v>
                </c:pt>
                <c:pt idx="308">
                  <c:v>0.72960104590932984</c:v>
                </c:pt>
                <c:pt idx="309">
                  <c:v>0.68515082863241206</c:v>
                </c:pt>
                <c:pt idx="310">
                  <c:v>0.64302887170331646</c:v>
                </c:pt>
                <c:pt idx="311">
                  <c:v>0.60321377558396216</c:v>
                </c:pt>
                <c:pt idx="312">
                  <c:v>0.5656852757565819</c:v>
                </c:pt>
                <c:pt idx="313">
                  <c:v>0.53042421227494507</c:v>
                </c:pt>
                <c:pt idx="314">
                  <c:v>0.49741249909048191</c:v>
                </c:pt>
                <c:pt idx="315">
                  <c:v>0.46663309284376009</c:v>
                </c:pt>
                <c:pt idx="316">
                  <c:v>0.43806996077228111</c:v>
                </c:pt>
                <c:pt idx="317">
                  <c:v>0.41170804734358557</c:v>
                </c:pt>
                <c:pt idx="318">
                  <c:v>0.38753323918027244</c:v>
                </c:pt>
                <c:pt idx="319">
                  <c:v>0.36553232780425776</c:v>
                </c:pt>
                <c:pt idx="320">
                  <c:v>0.34569296969651964</c:v>
                </c:pt>
                <c:pt idx="321">
                  <c:v>0.32800364315268249</c:v>
                </c:pt>
                <c:pt idx="322">
                  <c:v>0.31245360142299256</c:v>
                </c:pt>
                <c:pt idx="323">
                  <c:v>0.29903282166781253</c:v>
                </c:pt>
                <c:pt idx="324">
                  <c:v>0.28773194934732926</c:v>
                </c:pt>
                <c:pt idx="325">
                  <c:v>0.27854223780554049</c:v>
                </c:pt>
                <c:pt idx="326">
                  <c:v>0.27145548300802236</c:v>
                </c:pt>
                <c:pt idx="327">
                  <c:v>0.26646395364681669</c:v>
                </c:pt>
                <c:pt idx="328">
                  <c:v>0.26356031711972333</c:v>
                </c:pt>
                <c:pt idx="329">
                  <c:v>0.26273756219948652</c:v>
                </c:pt>
                <c:pt idx="330">
                  <c:v>0.26398891949543923</c:v>
                </c:pt>
                <c:pt idx="331">
                  <c:v>0.26730778103702008</c:v>
                </c:pt>
                <c:pt idx="332">
                  <c:v>0.27268762044054673</c:v>
                </c:pt>
                <c:pt idx="333">
                  <c:v>0.28012191513621443</c:v>
                </c:pt>
                <c:pt idx="334">
                  <c:v>0.28960407202884103</c:v>
                </c:pt>
                <c:pt idx="335">
                  <c:v>0.30112735776038263</c:v>
                </c:pt>
                <c:pt idx="336">
                  <c:v>0.31468483446677498</c:v>
                </c:pt>
                <c:pt idx="337">
                  <c:v>0.33026930161514584</c:v>
                </c:pt>
                <c:pt idx="338">
                  <c:v>0.34787324420709903</c:v>
                </c:pt>
                <c:pt idx="339">
                  <c:v>0.36748878736841001</c:v>
                </c:pt>
                <c:pt idx="340">
                  <c:v>0.38910765713249007</c:v>
                </c:pt>
                <c:pt idx="341">
                  <c:v>0.4127211470705428</c:v>
                </c:pt>
                <c:pt idx="342">
                  <c:v>0.43832009032287195</c:v>
                </c:pt>
                <c:pt idx="343">
                  <c:v>0.46589483653521763</c:v>
                </c:pt>
                <c:pt idx="344">
                  <c:v>0.49543523319081162</c:v>
                </c:pt>
                <c:pt idx="345">
                  <c:v>0.52693061084236581</c:v>
                </c:pt>
                <c:pt idx="346">
                  <c:v>0.56036977177908254</c:v>
                </c:pt>
                <c:pt idx="347">
                  <c:v>0.59574098170440659</c:v>
                </c:pt>
                <c:pt idx="348">
                  <c:v>0.63303196404502415</c:v>
                </c:pt>
                <c:pt idx="349">
                  <c:v>0.67222989655673959</c:v>
                </c:pt>
                <c:pt idx="350">
                  <c:v>0.71332140993580295</c:v>
                </c:pt>
                <c:pt idx="351">
                  <c:v>0.7562925881836966</c:v>
                </c:pt>
                <c:pt idx="352">
                  <c:v>0.80112897050862564</c:v>
                </c:pt>
                <c:pt idx="353">
                  <c:v>0.84781555457787316</c:v>
                </c:pt>
                <c:pt idx="354">
                  <c:v>0.89633680096189927</c:v>
                </c:pt>
                <c:pt idx="355">
                  <c:v>0.94667663863393636</c:v>
                </c:pt>
                <c:pt idx="356">
                  <c:v>0.99881847140824576</c:v>
                </c:pt>
                <c:pt idx="357">
                  <c:v>1.0527451852165923</c:v>
                </c:pt>
                <c:pt idx="358">
                  <c:v>1.108439156136261</c:v>
                </c:pt>
                <c:pt idx="359">
                  <c:v>1.1658822590944864</c:v>
                </c:pt>
                <c:pt idx="360">
                  <c:v>1.2250558771838236</c:v>
                </c:pt>
                <c:pt idx="361">
                  <c:v>1.2859409115310674</c:v>
                </c:pt>
                <c:pt idx="362">
                  <c:v>1.3485177916690299</c:v>
                </c:pt>
                <c:pt idx="363">
                  <c:v>1.4127664863661833</c:v>
                </c:pt>
                <c:pt idx="364">
                  <c:v>1.4786665148738196</c:v>
                </c:pt>
                <c:pt idx="365">
                  <c:v>1.5461969585543558</c:v>
                </c:pt>
                <c:pt idx="366">
                  <c:v>1.6153364728577178</c:v>
                </c:pt>
                <c:pt idx="367">
                  <c:v>1.6860632996155143</c:v>
                </c:pt>
                <c:pt idx="368">
                  <c:v>1.7583552796250435</c:v>
                </c:pt>
                <c:pt idx="369">
                  <c:v>1.8321898654971716</c:v>
                </c:pt>
                <c:pt idx="370">
                  <c:v>1.9075441347438071</c:v>
                </c:pt>
                <c:pt idx="371">
                  <c:v>1.9843948030821112</c:v>
                </c:pt>
                <c:pt idx="372">
                  <c:v>2.0627182379338396</c:v>
                </c:pt>
                <c:pt idx="373">
                  <c:v>2.1424904720992517</c:v>
                </c:pt>
                <c:pt idx="374">
                  <c:v>2.223687217585959</c:v>
                </c:pt>
                <c:pt idx="375">
                  <c:v>2.3062838795738969</c:v>
                </c:pt>
                <c:pt idx="376">
                  <c:v>2.3902555704982951</c:v>
                </c:pt>
                <c:pt idx="377">
                  <c:v>2.4755771242331841</c:v>
                </c:pt>
                <c:pt idx="378">
                  <c:v>2.5622231103585493</c:v>
                </c:pt>
                <c:pt idx="379">
                  <c:v>2.6501678484947186</c:v>
                </c:pt>
                <c:pt idx="380">
                  <c:v>2.7393854226881422</c:v>
                </c:pt>
                <c:pt idx="381">
                  <c:v>2.8298496958330661</c:v>
                </c:pt>
                <c:pt idx="382">
                  <c:v>2.9215343241141105</c:v>
                </c:pt>
                <c:pt idx="383">
                  <c:v>3.0144127714551034</c:v>
                </c:pt>
                <c:pt idx="384">
                  <c:v>3.1084583239599404</c:v>
                </c:pt>
                <c:pt idx="385">
                  <c:v>3.2036441043316022</c:v>
                </c:pt>
                <c:pt idx="386">
                  <c:v>3.2999430862558148</c:v>
                </c:pt>
                <c:pt idx="387">
                  <c:v>3.3973281087362168</c:v>
                </c:pt>
                <c:pt idx="388">
                  <c:v>3.4957718903682222</c:v>
                </c:pt>
                <c:pt idx="389">
                  <c:v>3.5952470435391506</c:v>
                </c:pt>
                <c:pt idx="390">
                  <c:v>3.6957260885425112</c:v>
                </c:pt>
                <c:pt idx="391">
                  <c:v>3.7971814675946964</c:v>
                </c:pt>
                <c:pt idx="392">
                  <c:v>3.8995855587426962</c:v>
                </c:pt>
                <c:pt idx="393">
                  <c:v>4.0029106896517792</c:v>
                </c:pt>
                <c:pt idx="394">
                  <c:v>4.1071291512624253</c:v>
                </c:pt>
                <c:pt idx="395">
                  <c:v>4.2122132113062163</c:v>
                </c:pt>
                <c:pt idx="396">
                  <c:v>4.3181351276706543</c:v>
                </c:pt>
                <c:pt idx="397">
                  <c:v>4.4248671616033164</c:v>
                </c:pt>
                <c:pt idx="398">
                  <c:v>4.5323815907460663</c:v>
                </c:pt>
                <c:pt idx="399">
                  <c:v>4.6406507219904389</c:v>
                </c:pt>
                <c:pt idx="400">
                  <c:v>4.7496469041456635</c:v>
                </c:pt>
                <c:pt idx="401">
                  <c:v>4.8593425404111636</c:v>
                </c:pt>
                <c:pt idx="402">
                  <c:v>4.969710100645746</c:v>
                </c:pt>
                <c:pt idx="403">
                  <c:v>5.0807221334260309</c:v>
                </c:pt>
                <c:pt idx="404">
                  <c:v>5.1923512778871252</c:v>
                </c:pt>
                <c:pt idx="405">
                  <c:v>5.3045702753388122</c:v>
                </c:pt>
                <c:pt idx="406">
                  <c:v>5.4173519806509658</c:v>
                </c:pt>
                <c:pt idx="407">
                  <c:v>5.5306693734022767</c:v>
                </c:pt>
                <c:pt idx="408">
                  <c:v>5.6444955687866862</c:v>
                </c:pt>
                <c:pt idx="409">
                  <c:v>5.7588038282723808</c:v>
                </c:pt>
                <c:pt idx="410">
                  <c:v>5.8735675700084604</c:v>
                </c:pt>
                <c:pt idx="411">
                  <c:v>5.9887603789748978</c:v>
                </c:pt>
                <c:pt idx="412">
                  <c:v>6.1043560168716127</c:v>
                </c:pt>
                <c:pt idx="413">
                  <c:v>6.2203284317429697</c:v>
                </c:pt>
                <c:pt idx="414">
                  <c:v>6.3366517673343239</c:v>
                </c:pt>
                <c:pt idx="415">
                  <c:v>6.4533003721775311</c:v>
                </c:pt>
                <c:pt idx="416">
                  <c:v>6.5702488084028214</c:v>
                </c:pt>
                <c:pt idx="417">
                  <c:v>6.6874718602746261</c:v>
                </c:pt>
                <c:pt idx="418">
                  <c:v>6.8049445424494124</c:v>
                </c:pt>
                <c:pt idx="419">
                  <c:v>6.9226421079538492</c:v>
                </c:pt>
                <c:pt idx="420">
                  <c:v>7.0405400558819293</c:v>
                </c:pt>
                <c:pt idx="421">
                  <c:v>7.1586141388100923</c:v>
                </c:pt>
                <c:pt idx="422">
                  <c:v>7.2768403699296416</c:v>
                </c:pt>
                <c:pt idx="423">
                  <c:v>7.3951950298959916</c:v>
                </c:pt>
                <c:pt idx="424">
                  <c:v>7.5136546733947558</c:v>
                </c:pt>
                <c:pt idx="425">
                  <c:v>7.6321961354248389</c:v>
                </c:pt>
                <c:pt idx="426">
                  <c:v>7.750796537298986</c:v>
                </c:pt>
                <c:pt idx="427">
                  <c:v>7.8694332923626344</c:v>
                </c:pt>
                <c:pt idx="428">
                  <c:v>7.9880841114320704</c:v>
                </c:pt>
                <c:pt idx="429">
                  <c:v>8.1067270079531859</c:v>
                </c:pt>
                <c:pt idx="430">
                  <c:v>8.2253403028824295</c:v>
                </c:pt>
                <c:pt idx="431">
                  <c:v>8.3439026292917546</c:v>
                </c:pt>
                <c:pt idx="432">
                  <c:v>8.4623929366995689</c:v>
                </c:pt>
                <c:pt idx="433">
                  <c:v>8.5807904951300245</c:v>
                </c:pt>
                <c:pt idx="434">
                  <c:v>8.6990748989031026</c:v>
                </c:pt>
                <c:pt idx="435">
                  <c:v>8.8172260701582168</c:v>
                </c:pt>
                <c:pt idx="436">
                  <c:v>8.9352242621142359</c:v>
                </c:pt>
                <c:pt idx="437">
                  <c:v>9.0530500620690564</c:v>
                </c:pt>
                <c:pt idx="438">
                  <c:v>9.1706843941419738</c:v>
                </c:pt>
                <c:pt idx="439">
                  <c:v>9.2881085217623625</c:v>
                </c:pt>
                <c:pt idx="440">
                  <c:v>9.4053040499082634</c:v>
                </c:pt>
                <c:pt idx="441">
                  <c:v>9.5222529270986893</c:v>
                </c:pt>
                <c:pt idx="442">
                  <c:v>9.638937447143606</c:v>
                </c:pt>
                <c:pt idx="443">
                  <c:v>9.7553402506556157</c:v>
                </c:pt>
                <c:pt idx="444">
                  <c:v>9.8714443263275999</c:v>
                </c:pt>
                <c:pt idx="445">
                  <c:v>9.987233011980674</c:v>
                </c:pt>
                <c:pt idx="446">
                  <c:v>10.102689995386827</c:v>
                </c:pt>
                <c:pt idx="447">
                  <c:v>10.217799314870883</c:v>
                </c:pt>
                <c:pt idx="448">
                  <c:v>10.332545359696399</c:v>
                </c:pt>
                <c:pt idx="449">
                  <c:v>10.446912870240235</c:v>
                </c:pt>
                <c:pt idx="450">
                  <c:v>10.560886937960612</c:v>
                </c:pt>
                <c:pt idx="451">
                  <c:v>10.674453005163606</c:v>
                </c:pt>
                <c:pt idx="452">
                  <c:v>10.787596864572954</c:v>
                </c:pt>
                <c:pt idx="453">
                  <c:v>10.900304658708269</c:v>
                </c:pt>
                <c:pt idx="454">
                  <c:v>11.012562879076615</c:v>
                </c:pt>
                <c:pt idx="455">
                  <c:v>11.12435836518274</c:v>
                </c:pt>
                <c:pt idx="456">
                  <c:v>11.235678303362882</c:v>
                </c:pt>
                <c:pt idx="457">
                  <c:v>11.346510225447455</c:v>
                </c:pt>
                <c:pt idx="458">
                  <c:v>11.456842007257819</c:v>
                </c:pt>
                <c:pt idx="459">
                  <c:v>11.566661866942237</c:v>
                </c:pt>
                <c:pt idx="460">
                  <c:v>11.675958363156292</c:v>
                </c:pt>
                <c:pt idx="461">
                  <c:v>11.784720393093012</c:v>
                </c:pt>
                <c:pt idx="462">
                  <c:v>11.892937190367796</c:v>
                </c:pt>
                <c:pt idx="463">
                  <c:v>12.000598322763507</c:v>
                </c:pt>
                <c:pt idx="464">
                  <c:v>12.10769368984071</c:v>
                </c:pt>
                <c:pt idx="465">
                  <c:v>12.214213520418401</c:v>
                </c:pt>
                <c:pt idx="466">
                  <c:v>12.320148369930232</c:v>
                </c:pt>
                <c:pt idx="467">
                  <c:v>12.425489117661417</c:v>
                </c:pt>
                <c:pt idx="468">
                  <c:v>12.530226963871311</c:v>
                </c:pt>
                <c:pt idx="469">
                  <c:v>12.634353426806754</c:v>
                </c:pt>
                <c:pt idx="470">
                  <c:v>12.737860339611082</c:v>
                </c:pt>
                <c:pt idx="471">
                  <c:v>12.840739847133827</c:v>
                </c:pt>
                <c:pt idx="472">
                  <c:v>12.942984402645887</c:v>
                </c:pt>
                <c:pt idx="473">
                  <c:v>13.044586764465043</c:v>
                </c:pt>
                <c:pt idx="474">
                  <c:v>13.145539992496559</c:v>
                </c:pt>
                <c:pt idx="475">
                  <c:v>13.245837444693558</c:v>
                </c:pt>
                <c:pt idx="476">
                  <c:v>13.345472773441822</c:v>
                </c:pt>
                <c:pt idx="477">
                  <c:v>13.444439921873487</c:v>
                </c:pt>
                <c:pt idx="478">
                  <c:v>13.542733120114258</c:v>
                </c:pt>
                <c:pt idx="479">
                  <c:v>13.640346881468437</c:v>
                </c:pt>
                <c:pt idx="480">
                  <c:v>13.737275998546108</c:v>
                </c:pt>
                <c:pt idx="481">
                  <c:v>13.833515539336799</c:v>
                </c:pt>
                <c:pt idx="482">
                  <c:v>13.929060843233648</c:v>
                </c:pt>
                <c:pt idx="483">
                  <c:v>14.023907517012379</c:v>
                </c:pt>
                <c:pt idx="484">
                  <c:v>14.118051430768842</c:v>
                </c:pt>
                <c:pt idx="485">
                  <c:v>14.211488713819195</c:v>
                </c:pt>
                <c:pt idx="486">
                  <c:v>14.30421575056651</c:v>
                </c:pt>
                <c:pt idx="487">
                  <c:v>14.396229176337487</c:v>
                </c:pt>
                <c:pt idx="488">
                  <c:v>14.487525873193027</c:v>
                </c:pt>
                <c:pt idx="489">
                  <c:v>14.578102965716104</c:v>
                </c:pt>
                <c:pt idx="490">
                  <c:v>14.667957816780495</c:v>
                </c:pt>
                <c:pt idx="491">
                  <c:v>14.757088023303679</c:v>
                </c:pt>
                <c:pt idx="492">
                  <c:v>14.845491411987206</c:v>
                </c:pt>
                <c:pt idx="493">
                  <c:v>14.93316603504775</c:v>
                </c:pt>
                <c:pt idx="494">
                  <c:v>15.020110165941883</c:v>
                </c:pt>
                <c:pt idx="495">
                  <c:v>15.106322295087637</c:v>
                </c:pt>
                <c:pt idx="496">
                  <c:v>15.191801125585677</c:v>
                </c:pt>
                <c:pt idx="497">
                  <c:v>15.276545568943048</c:v>
                </c:pt>
                <c:pt idx="498">
                  <c:v>15.360554740802069</c:v>
                </c:pt>
                <c:pt idx="499">
                  <c:v>15.443827956677055</c:v>
                </c:pt>
                <c:pt idx="500">
                  <c:v>15.526364727701502</c:v>
                </c:pt>
                <c:pt idx="501">
                  <c:v>15.608164756388055</c:v>
                </c:pt>
                <c:pt idx="502">
                  <c:v>15.68922793240367</c:v>
                </c:pt>
                <c:pt idx="503">
                  <c:v>15.769554328362345</c:v>
                </c:pt>
                <c:pt idx="504">
                  <c:v>15.84914419563739</c:v>
                </c:pt>
                <c:pt idx="505">
                  <c:v>15.927997960195604</c:v>
                </c:pt>
                <c:pt idx="506">
                  <c:v>16.006116218455094</c:v>
                </c:pt>
                <c:pt idx="507">
                  <c:v>16.083499733168924</c:v>
                </c:pt>
                <c:pt idx="508">
                  <c:v>16.16014942933624</c:v>
                </c:pt>
                <c:pt idx="509">
                  <c:v>16.236066390142767</c:v>
                </c:pt>
                <c:pt idx="510">
                  <c:v>16.311251852932262</c:v>
                </c:pt>
                <c:pt idx="511">
                  <c:v>16.385707205210604</c:v>
                </c:pt>
                <c:pt idx="512">
                  <c:v>16.459433980683983</c:v>
                </c:pt>
                <c:pt idx="513">
                  <c:v>16.53243385533267</c:v>
                </c:pt>
                <c:pt idx="514">
                  <c:v>16.604708643521739</c:v>
                </c:pt>
                <c:pt idx="515">
                  <c:v>16.676260294149994</c:v>
                </c:pt>
                <c:pt idx="516">
                  <c:v>16.747090886838372</c:v>
                </c:pt>
                <c:pt idx="517">
                  <c:v>16.817202628158974</c:v>
                </c:pt>
                <c:pt idx="518">
                  <c:v>16.886597847905705</c:v>
                </c:pt>
                <c:pt idx="519">
                  <c:v>16.95527899540771</c:v>
                </c:pt>
                <c:pt idx="520">
                  <c:v>17.023248635886414</c:v>
                </c:pt>
                <c:pt idx="521">
                  <c:v>17.090509446857045</c:v>
                </c:pt>
                <c:pt idx="522">
                  <c:v>17.157064214575577</c:v>
                </c:pt>
                <c:pt idx="523">
                  <c:v>17.22291583053174</c:v>
                </c:pt>
                <c:pt idx="524">
                  <c:v>17.288067287988756</c:v>
                </c:pt>
                <c:pt idx="525">
                  <c:v>17.352521678570611</c:v>
                </c:pt>
                <c:pt idx="526">
                  <c:v>17.416282188897238</c:v>
                </c:pt>
                <c:pt idx="527">
                  <c:v>17.479352097268265</c:v>
                </c:pt>
                <c:pt idx="528">
                  <c:v>17.54173477039577</c:v>
                </c:pt>
                <c:pt idx="529">
                  <c:v>17.603433660186401</c:v>
                </c:pt>
                <c:pt idx="530">
                  <c:v>17.664452300573291</c:v>
                </c:pt>
                <c:pt idx="531">
                  <c:v>17.724794304398063</c:v>
                </c:pt>
                <c:pt idx="532">
                  <c:v>17.784463360343199</c:v>
                </c:pt>
                <c:pt idx="533">
                  <c:v>17.843463229914974</c:v>
                </c:pt>
                <c:pt idx="534">
                  <c:v>17.901797744477125</c:v>
                </c:pt>
                <c:pt idx="535">
                  <c:v>17.959470802335435</c:v>
                </c:pt>
                <c:pt idx="536">
                  <c:v>18.016486365873291</c:v>
                </c:pt>
                <c:pt idx="537">
                  <c:v>18.072848458738282</c:v>
                </c:pt>
                <c:pt idx="538">
                  <c:v>18.128561163079812</c:v>
                </c:pt>
                <c:pt idx="539">
                  <c:v>18.183628616837765</c:v>
                </c:pt>
                <c:pt idx="540">
                  <c:v>18.238055011082118</c:v>
                </c:pt>
                <c:pt idx="541">
                  <c:v>18.291844587403428</c:v>
                </c:pt>
                <c:pt idx="542">
                  <c:v>18.345001635354034</c:v>
                </c:pt>
                <c:pt idx="543">
                  <c:v>18.397530489939903</c:v>
                </c:pt>
                <c:pt idx="544">
                  <c:v>18.44943552916283</c:v>
                </c:pt>
                <c:pt idx="545">
                  <c:v>18.500721171612774</c:v>
                </c:pt>
                <c:pt idx="546">
                  <c:v>18.551391874110248</c:v>
                </c:pt>
                <c:pt idx="547">
                  <c:v>18.601452129398261</c:v>
                </c:pt>
                <c:pt idx="548">
                  <c:v>18.65090646388364</c:v>
                </c:pt>
                <c:pt idx="549">
                  <c:v>18.699759435427492</c:v>
                </c:pt>
                <c:pt idx="550">
                  <c:v>18.748015631184252</c:v>
                </c:pt>
                <c:pt idx="551">
                  <c:v>18.795679665489132</c:v>
                </c:pt>
                <c:pt idx="552">
                  <c:v>18.842756177793532</c:v>
                </c:pt>
                <c:pt idx="553">
                  <c:v>18.889249830647973</c:v>
                </c:pt>
                <c:pt idx="554">
                  <c:v>18.935165307732198</c:v>
                </c:pt>
                <c:pt idx="555">
                  <c:v>18.980507311931948</c:v>
                </c:pt>
                <c:pt idx="556">
                  <c:v>19.025280563461941</c:v>
                </c:pt>
                <c:pt idx="557">
                  <c:v>19.069489798034695</c:v>
                </c:pt>
                <c:pt idx="558">
                  <c:v>19.113139765074589</c:v>
                </c:pt>
                <c:pt idx="559">
                  <c:v>19.156235225976669</c:v>
                </c:pt>
                <c:pt idx="560">
                  <c:v>19.198780952409866</c:v>
                </c:pt>
                <c:pt idx="561">
                  <c:v>19.240781724663815</c:v>
                </c:pt>
                <c:pt idx="562">
                  <c:v>19.282242330038997</c:v>
                </c:pt>
                <c:pt idx="563">
                  <c:v>19.323167561279561</c:v>
                </c:pt>
                <c:pt idx="564">
                  <c:v>19.363562215048248</c:v>
                </c:pt>
                <c:pt idx="565">
                  <c:v>19.403431090442897</c:v>
                </c:pt>
                <c:pt idx="566">
                  <c:v>19.442778987554068</c:v>
                </c:pt>
                <c:pt idx="567">
                  <c:v>19.481610706062895</c:v>
                </c:pt>
                <c:pt idx="568">
                  <c:v>19.519931043879055</c:v>
                </c:pt>
                <c:pt idx="569">
                  <c:v>19.55774479581784</c:v>
                </c:pt>
                <c:pt idx="570">
                  <c:v>19.595056752315994</c:v>
                </c:pt>
                <c:pt idx="571">
                  <c:v>19.631871698185712</c:v>
                </c:pt>
                <c:pt idx="572">
                  <c:v>19.668194411406038</c:v>
                </c:pt>
                <c:pt idx="573">
                  <c:v>19.704029661951306</c:v>
                </c:pt>
                <c:pt idx="574">
                  <c:v>19.739382210655751</c:v>
                </c:pt>
                <c:pt idx="575">
                  <c:v>19.774256808114057</c:v>
                </c:pt>
                <c:pt idx="576">
                  <c:v>19.808658193616804</c:v>
                </c:pt>
                <c:pt idx="577">
                  <c:v>19.842591094120557</c:v>
                </c:pt>
                <c:pt idx="578">
                  <c:v>19.876060223251915</c:v>
                </c:pt>
                <c:pt idx="579">
                  <c:v>19.909070280344714</c:v>
                </c:pt>
                <c:pt idx="580">
                  <c:v>19.941625949510115</c:v>
                </c:pt>
                <c:pt idx="581">
                  <c:v>19.973731898738748</c:v>
                </c:pt>
                <c:pt idx="582">
                  <c:v>20.005392779034338</c:v>
                </c:pt>
                <c:pt idx="583">
                  <c:v>20.036613223578367</c:v>
                </c:pt>
                <c:pt idx="584">
                  <c:v>20.067397846924951</c:v>
                </c:pt>
                <c:pt idx="585">
                  <c:v>20.097751244225549</c:v>
                </c:pt>
                <c:pt idx="586">
                  <c:v>20.127677990482798</c:v>
                </c:pt>
                <c:pt idx="587">
                  <c:v>20.157182639832989</c:v>
                </c:pt>
                <c:pt idx="588">
                  <c:v>20.186269724856398</c:v>
                </c:pt>
                <c:pt idx="589">
                  <c:v>20.214943755915236</c:v>
                </c:pt>
                <c:pt idx="590">
                  <c:v>20.243209220518303</c:v>
                </c:pt>
                <c:pt idx="591">
                  <c:v>20.271070582712003</c:v>
                </c:pt>
                <c:pt idx="592">
                  <c:v>20.298532282497071</c:v>
                </c:pt>
                <c:pt idx="593">
                  <c:v>20.325598735270475</c:v>
                </c:pt>
                <c:pt idx="594">
                  <c:v>20.352274331291913</c:v>
                </c:pt>
                <c:pt idx="595">
                  <c:v>20.352300601529709</c:v>
                </c:pt>
                <c:pt idx="596">
                  <c:v>20.35232687138679</c:v>
                </c:pt>
                <c:pt idx="597">
                  <c:v>20.352353140863158</c:v>
                </c:pt>
                <c:pt idx="598">
                  <c:v>20.352379409958825</c:v>
                </c:pt>
                <c:pt idx="599">
                  <c:v>20.35240567867379</c:v>
                </c:pt>
                <c:pt idx="600">
                  <c:v>20.352431947008046</c:v>
                </c:pt>
                <c:pt idx="601">
                  <c:v>20.352458214961619</c:v>
                </c:pt>
                <c:pt idx="602">
                  <c:v>20.3524844825345</c:v>
                </c:pt>
                <c:pt idx="603">
                  <c:v>20.352510749726694</c:v>
                </c:pt>
                <c:pt idx="604">
                  <c:v>20.352537016538204</c:v>
                </c:pt>
                <c:pt idx="605">
                  <c:v>20.352563282969047</c:v>
                </c:pt>
                <c:pt idx="606">
                  <c:v>20.352589549019214</c:v>
                </c:pt>
                <c:pt idx="607">
                  <c:v>20.352615814688704</c:v>
                </c:pt>
                <c:pt idx="608">
                  <c:v>20.352642079977546</c:v>
                </c:pt>
                <c:pt idx="609">
                  <c:v>20.352668344885711</c:v>
                </c:pt>
                <c:pt idx="610">
                  <c:v>20.352694609413238</c:v>
                </c:pt>
                <c:pt idx="611">
                  <c:v>20.352720873560099</c:v>
                </c:pt>
                <c:pt idx="612">
                  <c:v>20.352747137326325</c:v>
                </c:pt>
                <c:pt idx="613">
                  <c:v>20.352773400711897</c:v>
                </c:pt>
                <c:pt idx="614">
                  <c:v>20.35279966371683</c:v>
                </c:pt>
                <c:pt idx="615">
                  <c:v>20.35282592634114</c:v>
                </c:pt>
                <c:pt idx="616">
                  <c:v>20.352852188584819</c:v>
                </c:pt>
                <c:pt idx="617">
                  <c:v>20.352878450447864</c:v>
                </c:pt>
                <c:pt idx="618">
                  <c:v>20.352904711930293</c:v>
                </c:pt>
                <c:pt idx="619">
                  <c:v>20.352930973032102</c:v>
                </c:pt>
                <c:pt idx="620">
                  <c:v>20.352957233753305</c:v>
                </c:pt>
                <c:pt idx="621">
                  <c:v>20.352983494093895</c:v>
                </c:pt>
                <c:pt idx="622">
                  <c:v>20.353009754053872</c:v>
                </c:pt>
                <c:pt idx="623">
                  <c:v>20.353036013633258</c:v>
                </c:pt>
                <c:pt idx="624">
                  <c:v>20.353062272832048</c:v>
                </c:pt>
                <c:pt idx="625">
                  <c:v>20.353088531650251</c:v>
                </c:pt>
                <c:pt idx="626">
                  <c:v>20.353114790087862</c:v>
                </c:pt>
                <c:pt idx="627">
                  <c:v>20.353141048144892</c:v>
                </c:pt>
                <c:pt idx="628">
                  <c:v>20.353167305821334</c:v>
                </c:pt>
                <c:pt idx="629">
                  <c:v>20.353193563117205</c:v>
                </c:pt>
                <c:pt idx="630">
                  <c:v>20.353219820032514</c:v>
                </c:pt>
                <c:pt idx="631">
                  <c:v>20.353246076567242</c:v>
                </c:pt>
                <c:pt idx="632">
                  <c:v>20.353272332721428</c:v>
                </c:pt>
                <c:pt idx="633">
                  <c:v>20.353298588495047</c:v>
                </c:pt>
                <c:pt idx="634">
                  <c:v>20.353324843888114</c:v>
                </c:pt>
                <c:pt idx="635">
                  <c:v>20.353351098900635</c:v>
                </c:pt>
                <c:pt idx="636">
                  <c:v>20.353377353532597</c:v>
                </c:pt>
                <c:pt idx="637">
                  <c:v>20.353403607784028</c:v>
                </c:pt>
                <c:pt idx="638">
                  <c:v>20.353429861654927</c:v>
                </c:pt>
                <c:pt idx="639">
                  <c:v>20.353456115145299</c:v>
                </c:pt>
                <c:pt idx="640">
                  <c:v>20.353482368255129</c:v>
                </c:pt>
                <c:pt idx="641">
                  <c:v>20.353508620984439</c:v>
                </c:pt>
                <c:pt idx="642">
                  <c:v>20.353534873333231</c:v>
                </c:pt>
                <c:pt idx="643">
                  <c:v>20.353561125301518</c:v>
                </c:pt>
                <c:pt idx="644">
                  <c:v>20.353587376889283</c:v>
                </c:pt>
                <c:pt idx="645">
                  <c:v>20.353613628096547</c:v>
                </c:pt>
                <c:pt idx="646">
                  <c:v>20.353639878923314</c:v>
                </c:pt>
                <c:pt idx="647">
                  <c:v>20.353666129369572</c:v>
                </c:pt>
                <c:pt idx="648">
                  <c:v>20.353692379435341</c:v>
                </c:pt>
                <c:pt idx="649">
                  <c:v>20.353718629120618</c:v>
                </c:pt>
                <c:pt idx="650">
                  <c:v>20.353744878425406</c:v>
                </c:pt>
                <c:pt idx="651">
                  <c:v>20.353771127349727</c:v>
                </c:pt>
                <c:pt idx="652">
                  <c:v>20.353797375893556</c:v>
                </c:pt>
                <c:pt idx="653">
                  <c:v>20.353823624056929</c:v>
                </c:pt>
                <c:pt idx="654">
                  <c:v>20.353849871839824</c:v>
                </c:pt>
                <c:pt idx="655">
                  <c:v>20.353876119242255</c:v>
                </c:pt>
                <c:pt idx="656">
                  <c:v>20.353902366264229</c:v>
                </c:pt>
                <c:pt idx="657">
                  <c:v>20.353928612905747</c:v>
                </c:pt>
                <c:pt idx="658">
                  <c:v>20.353954859166816</c:v>
                </c:pt>
                <c:pt idx="659">
                  <c:v>20.353981105047438</c:v>
                </c:pt>
                <c:pt idx="660">
                  <c:v>20.354007350547615</c:v>
                </c:pt>
                <c:pt idx="661">
                  <c:v>20.354033595667357</c:v>
                </c:pt>
                <c:pt idx="662">
                  <c:v>20.354059840406666</c:v>
                </c:pt>
                <c:pt idx="663">
                  <c:v>20.354086084765534</c:v>
                </c:pt>
                <c:pt idx="664">
                  <c:v>20.354112328743987</c:v>
                </c:pt>
                <c:pt idx="665">
                  <c:v>20.354138572342016</c:v>
                </c:pt>
                <c:pt idx="666">
                  <c:v>20.354164815559631</c:v>
                </c:pt>
                <c:pt idx="667">
                  <c:v>20.354191058396832</c:v>
                </c:pt>
                <c:pt idx="668">
                  <c:v>20.354217300853623</c:v>
                </c:pt>
                <c:pt idx="669">
                  <c:v>20.354243542930003</c:v>
                </c:pt>
                <c:pt idx="670">
                  <c:v>20.354269784625995</c:v>
                </c:pt>
                <c:pt idx="671">
                  <c:v>20.354296025941583</c:v>
                </c:pt>
                <c:pt idx="672">
                  <c:v>20.354322266876785</c:v>
                </c:pt>
                <c:pt idx="673">
                  <c:v>20.354348507431599</c:v>
                </c:pt>
                <c:pt idx="674">
                  <c:v>20.354374747606023</c:v>
                </c:pt>
                <c:pt idx="675">
                  <c:v>20.354400987400084</c:v>
                </c:pt>
                <c:pt idx="676">
                  <c:v>20.354427226813748</c:v>
                </c:pt>
                <c:pt idx="677">
                  <c:v>20.354453465847055</c:v>
                </c:pt>
                <c:pt idx="678">
                  <c:v>20.354479704500001</c:v>
                </c:pt>
                <c:pt idx="679">
                  <c:v>20.354505942772583</c:v>
                </c:pt>
                <c:pt idx="680">
                  <c:v>20.354532180664801</c:v>
                </c:pt>
                <c:pt idx="681">
                  <c:v>20.354558418176673</c:v>
                </c:pt>
                <c:pt idx="682">
                  <c:v>20.354584655308187</c:v>
                </c:pt>
                <c:pt idx="683">
                  <c:v>20.354610892059366</c:v>
                </c:pt>
                <c:pt idx="684">
                  <c:v>20.354637128430202</c:v>
                </c:pt>
                <c:pt idx="685">
                  <c:v>20.354663364420698</c:v>
                </c:pt>
                <c:pt idx="686">
                  <c:v>20.354689600030866</c:v>
                </c:pt>
                <c:pt idx="687">
                  <c:v>20.354715835260702</c:v>
                </c:pt>
                <c:pt idx="688">
                  <c:v>20.35474207011022</c:v>
                </c:pt>
                <c:pt idx="689">
                  <c:v>20.354768304579412</c:v>
                </c:pt>
                <c:pt idx="690">
                  <c:v>20.354794538668298</c:v>
                </c:pt>
                <c:pt idx="691">
                  <c:v>20.354820772376868</c:v>
                </c:pt>
                <c:pt idx="692">
                  <c:v>20.354847005705139</c:v>
                </c:pt>
                <c:pt idx="693">
                  <c:v>20.354873238653095</c:v>
                </c:pt>
                <c:pt idx="694">
                  <c:v>20.354899471220765</c:v>
                </c:pt>
                <c:pt idx="695">
                  <c:v>20.354925703408139</c:v>
                </c:pt>
                <c:pt idx="696">
                  <c:v>20.354951935215222</c:v>
                </c:pt>
                <c:pt idx="697">
                  <c:v>20.35497816664202</c:v>
                </c:pt>
                <c:pt idx="698">
                  <c:v>20.355004397688536</c:v>
                </c:pt>
                <c:pt idx="699">
                  <c:v>20.355030628354779</c:v>
                </c:pt>
                <c:pt idx="700">
                  <c:v>20.355056858640747</c:v>
                </c:pt>
                <c:pt idx="701">
                  <c:v>20.355083088546447</c:v>
                </c:pt>
                <c:pt idx="702">
                  <c:v>20.355109318071889</c:v>
                </c:pt>
                <c:pt idx="703">
                  <c:v>20.35513554721706</c:v>
                </c:pt>
                <c:pt idx="704">
                  <c:v>20.355161775981998</c:v>
                </c:pt>
                <c:pt idx="705">
                  <c:v>20.35518800436666</c:v>
                </c:pt>
                <c:pt idx="706">
                  <c:v>20.35521423237109</c:v>
                </c:pt>
                <c:pt idx="707">
                  <c:v>20.355240459995265</c:v>
                </c:pt>
                <c:pt idx="708">
                  <c:v>20.355266687239215</c:v>
                </c:pt>
                <c:pt idx="709">
                  <c:v>20.355292914102925</c:v>
                </c:pt>
                <c:pt idx="710">
                  <c:v>20.355319140586403</c:v>
                </c:pt>
                <c:pt idx="711">
                  <c:v>20.355345366689662</c:v>
                </c:pt>
                <c:pt idx="712">
                  <c:v>20.355371592412695</c:v>
                </c:pt>
                <c:pt idx="713">
                  <c:v>20.355397817755509</c:v>
                </c:pt>
                <c:pt idx="714">
                  <c:v>20.355424042718116</c:v>
                </c:pt>
                <c:pt idx="715">
                  <c:v>20.355450267300505</c:v>
                </c:pt>
                <c:pt idx="716">
                  <c:v>20.355476491502696</c:v>
                </c:pt>
                <c:pt idx="717">
                  <c:v>20.355502715324693</c:v>
                </c:pt>
                <c:pt idx="718">
                  <c:v>20.355528938766486</c:v>
                </c:pt>
                <c:pt idx="719">
                  <c:v>20.355555161828093</c:v>
                </c:pt>
                <c:pt idx="720">
                  <c:v>20.355581384509506</c:v>
                </c:pt>
                <c:pt idx="721">
                  <c:v>20.355607606810739</c:v>
                </c:pt>
                <c:pt idx="722">
                  <c:v>20.355633828731797</c:v>
                </c:pt>
                <c:pt idx="723">
                  <c:v>20.355660050272682</c:v>
                </c:pt>
                <c:pt idx="724">
                  <c:v>20.355686271433395</c:v>
                </c:pt>
                <c:pt idx="725">
                  <c:v>20.355712492213943</c:v>
                </c:pt>
                <c:pt idx="726">
                  <c:v>20.355738712614325</c:v>
                </c:pt>
                <c:pt idx="727">
                  <c:v>20.35576493263455</c:v>
                </c:pt>
                <c:pt idx="728">
                  <c:v>20.355791152274634</c:v>
                </c:pt>
                <c:pt idx="729">
                  <c:v>20.355817371534556</c:v>
                </c:pt>
                <c:pt idx="730">
                  <c:v>20.355843590414331</c:v>
                </c:pt>
                <c:pt idx="731">
                  <c:v>20.35586980891398</c:v>
                </c:pt>
                <c:pt idx="732">
                  <c:v>20.355896027033477</c:v>
                </c:pt>
                <c:pt idx="733">
                  <c:v>20.355922244772849</c:v>
                </c:pt>
                <c:pt idx="734">
                  <c:v>20.355948462132098</c:v>
                </c:pt>
                <c:pt idx="735">
                  <c:v>20.355974679111217</c:v>
                </c:pt>
                <c:pt idx="736">
                  <c:v>20.356000895710221</c:v>
                </c:pt>
                <c:pt idx="737">
                  <c:v>20.356027111929105</c:v>
                </c:pt>
                <c:pt idx="738">
                  <c:v>20.356053327767889</c:v>
                </c:pt>
                <c:pt idx="739">
                  <c:v>20.356079543226556</c:v>
                </c:pt>
                <c:pt idx="740">
                  <c:v>20.356105758305127</c:v>
                </c:pt>
                <c:pt idx="741">
                  <c:v>20.356131973003599</c:v>
                </c:pt>
                <c:pt idx="742">
                  <c:v>20.356158187321977</c:v>
                </c:pt>
                <c:pt idx="743">
                  <c:v>20.356184401260268</c:v>
                </c:pt>
                <c:pt idx="744">
                  <c:v>20.356210614818472</c:v>
                </c:pt>
                <c:pt idx="745">
                  <c:v>20.356236827996593</c:v>
                </c:pt>
                <c:pt idx="746">
                  <c:v>20.356263040794644</c:v>
                </c:pt>
                <c:pt idx="747">
                  <c:v>20.356289253212616</c:v>
                </c:pt>
                <c:pt idx="748">
                  <c:v>20.356315465250521</c:v>
                </c:pt>
                <c:pt idx="749">
                  <c:v>20.356341676908368</c:v>
                </c:pt>
                <c:pt idx="750">
                  <c:v>20.356367888186153</c:v>
                </c:pt>
                <c:pt idx="751">
                  <c:v>20.356394099083872</c:v>
                </c:pt>
                <c:pt idx="752">
                  <c:v>20.356420309601564</c:v>
                </c:pt>
                <c:pt idx="753">
                  <c:v>20.356446519739183</c:v>
                </c:pt>
                <c:pt idx="754">
                  <c:v>20.356472729496765</c:v>
                </c:pt>
                <c:pt idx="755">
                  <c:v>20.356498938874324</c:v>
                </c:pt>
                <c:pt idx="756">
                  <c:v>20.356525147871839</c:v>
                </c:pt>
                <c:pt idx="757">
                  <c:v>20.356551356489327</c:v>
                </c:pt>
                <c:pt idx="758">
                  <c:v>20.356577564726791</c:v>
                </c:pt>
                <c:pt idx="759">
                  <c:v>20.356603772584226</c:v>
                </c:pt>
                <c:pt idx="760">
                  <c:v>20.356629980061651</c:v>
                </c:pt>
                <c:pt idx="761">
                  <c:v>20.356656187159057</c:v>
                </c:pt>
                <c:pt idx="762">
                  <c:v>20.356682393876465</c:v>
                </c:pt>
                <c:pt idx="763">
                  <c:v>20.356708600213857</c:v>
                </c:pt>
                <c:pt idx="764">
                  <c:v>20.356734806171261</c:v>
                </c:pt>
                <c:pt idx="765">
                  <c:v>20.356761011748667</c:v>
                </c:pt>
                <c:pt idx="766">
                  <c:v>20.356787216946074</c:v>
                </c:pt>
                <c:pt idx="767">
                  <c:v>20.356813421763491</c:v>
                </c:pt>
                <c:pt idx="768">
                  <c:v>20.356839626200934</c:v>
                </c:pt>
                <c:pt idx="769">
                  <c:v>20.3568658302584</c:v>
                </c:pt>
                <c:pt idx="770">
                  <c:v>20.356892033935893</c:v>
                </c:pt>
                <c:pt idx="771">
                  <c:v>20.356918237233408</c:v>
                </c:pt>
                <c:pt idx="772">
                  <c:v>20.356944440150958</c:v>
                </c:pt>
                <c:pt idx="773">
                  <c:v>20.356970642688548</c:v>
                </c:pt>
                <c:pt idx="774">
                  <c:v>20.356996844846186</c:v>
                </c:pt>
                <c:pt idx="775">
                  <c:v>20.357023046623866</c:v>
                </c:pt>
                <c:pt idx="776">
                  <c:v>20.357049248021589</c:v>
                </c:pt>
                <c:pt idx="777">
                  <c:v>20.357075449039375</c:v>
                </c:pt>
                <c:pt idx="778">
                  <c:v>20.357101649677226</c:v>
                </c:pt>
                <c:pt idx="779">
                  <c:v>20.357127849935136</c:v>
                </c:pt>
                <c:pt idx="780">
                  <c:v>20.357154049813111</c:v>
                </c:pt>
                <c:pt idx="781">
                  <c:v>20.357180249311163</c:v>
                </c:pt>
                <c:pt idx="782">
                  <c:v>20.357206448429285</c:v>
                </c:pt>
                <c:pt idx="783">
                  <c:v>20.357232647167496</c:v>
                </c:pt>
                <c:pt idx="784">
                  <c:v>20.357258845525788</c:v>
                </c:pt>
                <c:pt idx="785">
                  <c:v>20.357285043504167</c:v>
                </c:pt>
                <c:pt idx="786">
                  <c:v>20.35731124110265</c:v>
                </c:pt>
                <c:pt idx="787">
                  <c:v>20.357337438321217</c:v>
                </c:pt>
                <c:pt idx="788">
                  <c:v>20.357363635159892</c:v>
                </c:pt>
                <c:pt idx="789">
                  <c:v>20.357389831618679</c:v>
                </c:pt>
                <c:pt idx="790">
                  <c:v>20.357416027697571</c:v>
                </c:pt>
                <c:pt idx="791">
                  <c:v>20.357442223396582</c:v>
                </c:pt>
                <c:pt idx="792">
                  <c:v>20.357468418715708</c:v>
                </c:pt>
                <c:pt idx="793">
                  <c:v>20.357494613654957</c:v>
                </c:pt>
                <c:pt idx="794">
                  <c:v>20.357520808214336</c:v>
                </c:pt>
                <c:pt idx="795">
                  <c:v>20.357547002393847</c:v>
                </c:pt>
                <c:pt idx="796">
                  <c:v>20.357573196193496</c:v>
                </c:pt>
                <c:pt idx="797">
                  <c:v>20.357599389613277</c:v>
                </c:pt>
                <c:pt idx="798">
                  <c:v>20.35762558265322</c:v>
                </c:pt>
                <c:pt idx="799">
                  <c:v>20.357651775313293</c:v>
                </c:pt>
                <c:pt idx="800">
                  <c:v>20.357677967593524</c:v>
                </c:pt>
                <c:pt idx="801">
                  <c:v>20.35770415949392</c:v>
                </c:pt>
                <c:pt idx="802">
                  <c:v>20.357730351014467</c:v>
                </c:pt>
                <c:pt idx="803">
                  <c:v>20.35775654215519</c:v>
                </c:pt>
                <c:pt idx="804">
                  <c:v>20.357782732916089</c:v>
                </c:pt>
                <c:pt idx="805">
                  <c:v>20.357808923297146</c:v>
                </c:pt>
                <c:pt idx="806">
                  <c:v>20.357835113298382</c:v>
                </c:pt>
                <c:pt idx="807">
                  <c:v>20.357861302919808</c:v>
                </c:pt>
                <c:pt idx="808">
                  <c:v>20.357887492161431</c:v>
                </c:pt>
                <c:pt idx="809">
                  <c:v>20.357913681023238</c:v>
                </c:pt>
                <c:pt idx="810">
                  <c:v>20.357939869505248</c:v>
                </c:pt>
                <c:pt idx="811">
                  <c:v>20.357966057607438</c:v>
                </c:pt>
                <c:pt idx="812">
                  <c:v>20.35799224532985</c:v>
                </c:pt>
                <c:pt idx="813">
                  <c:v>20.358018432672463</c:v>
                </c:pt>
                <c:pt idx="814">
                  <c:v>20.35804461963529</c:v>
                </c:pt>
                <c:pt idx="815">
                  <c:v>20.358070806218333</c:v>
                </c:pt>
                <c:pt idx="816">
                  <c:v>20.358096992421601</c:v>
                </c:pt>
                <c:pt idx="817">
                  <c:v>20.358123178245098</c:v>
                </c:pt>
                <c:pt idx="818">
                  <c:v>20.358149363688813</c:v>
                </c:pt>
                <c:pt idx="819">
                  <c:v>20.358175548752765</c:v>
                </c:pt>
                <c:pt idx="820">
                  <c:v>20.358201733436953</c:v>
                </c:pt>
                <c:pt idx="821">
                  <c:v>20.358227917741392</c:v>
                </c:pt>
                <c:pt idx="822">
                  <c:v>20.35825410166607</c:v>
                </c:pt>
                <c:pt idx="823">
                  <c:v>20.358280285211002</c:v>
                </c:pt>
                <c:pt idx="824">
                  <c:v>20.358306468376195</c:v>
                </c:pt>
                <c:pt idx="825">
                  <c:v>20.358332651161639</c:v>
                </c:pt>
                <c:pt idx="826">
                  <c:v>20.358358833567351</c:v>
                </c:pt>
                <c:pt idx="827">
                  <c:v>20.358385015593331</c:v>
                </c:pt>
                <c:pt idx="828">
                  <c:v>20.358411197239583</c:v>
                </c:pt>
                <c:pt idx="829">
                  <c:v>20.358437378506114</c:v>
                </c:pt>
                <c:pt idx="830">
                  <c:v>20.358463559392931</c:v>
                </c:pt>
                <c:pt idx="831">
                  <c:v>20.358489739900019</c:v>
                </c:pt>
                <c:pt idx="832">
                  <c:v>20.358515920027397</c:v>
                </c:pt>
                <c:pt idx="833">
                  <c:v>20.358542099775072</c:v>
                </c:pt>
                <c:pt idx="834">
                  <c:v>20.358568279143046</c:v>
                </c:pt>
                <c:pt idx="835">
                  <c:v>20.358594458131329</c:v>
                </c:pt>
                <c:pt idx="836">
                  <c:v>20.358620636739911</c:v>
                </c:pt>
                <c:pt idx="837">
                  <c:v>20.358646814968807</c:v>
                </c:pt>
                <c:pt idx="838">
                  <c:v>20.358672992818022</c:v>
                </c:pt>
                <c:pt idx="839">
                  <c:v>20.358699170287554</c:v>
                </c:pt>
                <c:pt idx="840">
                  <c:v>20.358725347377398</c:v>
                </c:pt>
                <c:pt idx="841">
                  <c:v>20.358751524087584</c:v>
                </c:pt>
                <c:pt idx="842">
                  <c:v>20.358777700418091</c:v>
                </c:pt>
                <c:pt idx="843">
                  <c:v>20.358803876368942</c:v>
                </c:pt>
                <c:pt idx="844">
                  <c:v>20.358830051940117</c:v>
                </c:pt>
                <c:pt idx="845">
                  <c:v>20.35885622713166</c:v>
                </c:pt>
                <c:pt idx="846">
                  <c:v>20.358882401943546</c:v>
                </c:pt>
                <c:pt idx="847">
                  <c:v>20.358908576375779</c:v>
                </c:pt>
                <c:pt idx="848">
                  <c:v>20.358934750428375</c:v>
                </c:pt>
                <c:pt idx="849">
                  <c:v>20.358960924101325</c:v>
                </c:pt>
                <c:pt idx="850">
                  <c:v>20.358987097394646</c:v>
                </c:pt>
                <c:pt idx="851">
                  <c:v>20.359013270308338</c:v>
                </c:pt>
                <c:pt idx="852">
                  <c:v>20.359039442842398</c:v>
                </c:pt>
                <c:pt idx="853">
                  <c:v>20.35906561499684</c:v>
                </c:pt>
                <c:pt idx="854">
                  <c:v>20.359091786771671</c:v>
                </c:pt>
                <c:pt idx="855">
                  <c:v>20.359117958166884</c:v>
                </c:pt>
                <c:pt idx="856">
                  <c:v>20.359144129182486</c:v>
                </c:pt>
                <c:pt idx="857">
                  <c:v>20.359170299818491</c:v>
                </c:pt>
                <c:pt idx="858">
                  <c:v>20.359196470074888</c:v>
                </c:pt>
                <c:pt idx="859">
                  <c:v>20.359222639951692</c:v>
                </c:pt>
                <c:pt idx="860">
                  <c:v>20.359248809448911</c:v>
                </c:pt>
                <c:pt idx="861">
                  <c:v>20.359274978566525</c:v>
                </c:pt>
                <c:pt idx="862">
                  <c:v>20.359301147304571</c:v>
                </c:pt>
                <c:pt idx="863">
                  <c:v>20.359327315663037</c:v>
                </c:pt>
                <c:pt idx="864">
                  <c:v>20.359353483641918</c:v>
                </c:pt>
                <c:pt idx="865">
                  <c:v>20.359379651241241</c:v>
                </c:pt>
                <c:pt idx="866">
                  <c:v>20.359405818460992</c:v>
                </c:pt>
                <c:pt idx="867">
                  <c:v>20.359431985301178</c:v>
                </c:pt>
                <c:pt idx="868">
                  <c:v>20.359458151761821</c:v>
                </c:pt>
                <c:pt idx="869">
                  <c:v>20.359484317842892</c:v>
                </c:pt>
                <c:pt idx="870">
                  <c:v>20.359510483544433</c:v>
                </c:pt>
                <c:pt idx="871">
                  <c:v>20.359536648866417</c:v>
                </c:pt>
                <c:pt idx="872">
                  <c:v>20.359562813808868</c:v>
                </c:pt>
                <c:pt idx="873">
                  <c:v>20.359588978371779</c:v>
                </c:pt>
                <c:pt idx="874">
                  <c:v>20.359615142555153</c:v>
                </c:pt>
                <c:pt idx="875">
                  <c:v>20.359641306359002</c:v>
                </c:pt>
                <c:pt idx="876">
                  <c:v>20.359667469783318</c:v>
                </c:pt>
                <c:pt idx="877">
                  <c:v>20.359693632828133</c:v>
                </c:pt>
                <c:pt idx="878">
                  <c:v>20.359719795493429</c:v>
                </c:pt>
                <c:pt idx="879">
                  <c:v>20.3597459577792</c:v>
                </c:pt>
                <c:pt idx="880">
                  <c:v>20.359772119685477</c:v>
                </c:pt>
                <c:pt idx="881">
                  <c:v>20.35979828121225</c:v>
                </c:pt>
                <c:pt idx="882">
                  <c:v>20.359824442359525</c:v>
                </c:pt>
                <c:pt idx="883">
                  <c:v>20.359850603127303</c:v>
                </c:pt>
                <c:pt idx="884">
                  <c:v>20.35987676351559</c:v>
                </c:pt>
                <c:pt idx="885">
                  <c:v>20.359902923524398</c:v>
                </c:pt>
                <c:pt idx="886">
                  <c:v>20.359929083153716</c:v>
                </c:pt>
                <c:pt idx="887">
                  <c:v>20.359955242403565</c:v>
                </c:pt>
                <c:pt idx="888">
                  <c:v>20.359981401273949</c:v>
                </c:pt>
                <c:pt idx="889">
                  <c:v>20.360007559764842</c:v>
                </c:pt>
                <c:pt idx="890">
                  <c:v>20.360033717876291</c:v>
                </c:pt>
                <c:pt idx="891">
                  <c:v>20.360059875608268</c:v>
                </c:pt>
                <c:pt idx="892">
                  <c:v>20.360086032960801</c:v>
                </c:pt>
                <c:pt idx="893">
                  <c:v>20.360112189933872</c:v>
                </c:pt>
                <c:pt idx="894">
                  <c:v>20.36013834652751</c:v>
                </c:pt>
                <c:pt idx="895">
                  <c:v>20.360164502741686</c:v>
                </c:pt>
                <c:pt idx="896">
                  <c:v>20.360190658576432</c:v>
                </c:pt>
                <c:pt idx="897">
                  <c:v>20.360216814031737</c:v>
                </c:pt>
                <c:pt idx="898">
                  <c:v>20.360242969107627</c:v>
                </c:pt>
                <c:pt idx="899">
                  <c:v>20.36026912380408</c:v>
                </c:pt>
                <c:pt idx="900">
                  <c:v>20.360295278121118</c:v>
                </c:pt>
                <c:pt idx="901">
                  <c:v>20.36032143205874</c:v>
                </c:pt>
                <c:pt idx="902">
                  <c:v>20.360347585616939</c:v>
                </c:pt>
                <c:pt idx="903">
                  <c:v>20.360373738795737</c:v>
                </c:pt>
                <c:pt idx="904">
                  <c:v>20.36039989159514</c:v>
                </c:pt>
                <c:pt idx="905">
                  <c:v>20.360426044015124</c:v>
                </c:pt>
                <c:pt idx="906">
                  <c:v>20.360452196055721</c:v>
                </c:pt>
                <c:pt idx="907">
                  <c:v>20.360478347716921</c:v>
                </c:pt>
                <c:pt idx="908">
                  <c:v>20.360504498998733</c:v>
                </c:pt>
                <c:pt idx="909">
                  <c:v>20.360530649901161</c:v>
                </c:pt>
                <c:pt idx="910">
                  <c:v>20.360556800424217</c:v>
                </c:pt>
                <c:pt idx="911">
                  <c:v>20.360582950567895</c:v>
                </c:pt>
                <c:pt idx="912">
                  <c:v>20.360609100332208</c:v>
                </c:pt>
                <c:pt idx="913">
                  <c:v>20.360635249717152</c:v>
                </c:pt>
                <c:pt idx="914">
                  <c:v>20.36066139872273</c:v>
                </c:pt>
                <c:pt idx="915">
                  <c:v>20.360687547348956</c:v>
                </c:pt>
                <c:pt idx="916">
                  <c:v>20.360713695595816</c:v>
                </c:pt>
                <c:pt idx="917">
                  <c:v>20.360739843463335</c:v>
                </c:pt>
                <c:pt idx="918">
                  <c:v>20.360765990951506</c:v>
                </c:pt>
                <c:pt idx="919">
                  <c:v>20.360792138060347</c:v>
                </c:pt>
                <c:pt idx="920">
                  <c:v>20.360818284789843</c:v>
                </c:pt>
                <c:pt idx="921">
                  <c:v>20.360844431140002</c:v>
                </c:pt>
                <c:pt idx="922">
                  <c:v>20.360870577110848</c:v>
                </c:pt>
                <c:pt idx="923">
                  <c:v>20.360896722702357</c:v>
                </c:pt>
                <c:pt idx="924">
                  <c:v>20.360922867914542</c:v>
                </c:pt>
                <c:pt idx="925">
                  <c:v>20.360949012747426</c:v>
                </c:pt>
                <c:pt idx="926">
                  <c:v>20.360975157200993</c:v>
                </c:pt>
                <c:pt idx="927">
                  <c:v>20.361001301275255</c:v>
                </c:pt>
                <c:pt idx="928">
                  <c:v>20.361027444970208</c:v>
                </c:pt>
                <c:pt idx="929">
                  <c:v>20.361053588285873</c:v>
                </c:pt>
                <c:pt idx="930">
                  <c:v>20.36107973122224</c:v>
                </c:pt>
                <c:pt idx="931">
                  <c:v>20.361105873779316</c:v>
                </c:pt>
                <c:pt idx="932">
                  <c:v>20.361132015957107</c:v>
                </c:pt>
                <c:pt idx="933">
                  <c:v>20.361158157755622</c:v>
                </c:pt>
                <c:pt idx="934">
                  <c:v>20.361184299174848</c:v>
                </c:pt>
                <c:pt idx="935">
                  <c:v>20.361210440214808</c:v>
                </c:pt>
                <c:pt idx="936">
                  <c:v>20.361236580875499</c:v>
                </c:pt>
                <c:pt idx="937">
                  <c:v>20.361262721156923</c:v>
                </c:pt>
                <c:pt idx="938">
                  <c:v>20.361288861059091</c:v>
                </c:pt>
                <c:pt idx="939">
                  <c:v>20.361315000582</c:v>
                </c:pt>
                <c:pt idx="940">
                  <c:v>20.361341139725667</c:v>
                </c:pt>
                <c:pt idx="941">
                  <c:v>20.361367278490071</c:v>
                </c:pt>
                <c:pt idx="942">
                  <c:v>20.361393416875245</c:v>
                </c:pt>
                <c:pt idx="943">
                  <c:v>20.361419554881174</c:v>
                </c:pt>
                <c:pt idx="944">
                  <c:v>20.361445692507868</c:v>
                </c:pt>
                <c:pt idx="945">
                  <c:v>20.361471829755331</c:v>
                </c:pt>
                <c:pt idx="946">
                  <c:v>20.36149796662357</c:v>
                </c:pt>
                <c:pt idx="947">
                  <c:v>20.361524103112586</c:v>
                </c:pt>
                <c:pt idx="948">
                  <c:v>20.361550239222392</c:v>
                </c:pt>
                <c:pt idx="949">
                  <c:v>20.361576374952971</c:v>
                </c:pt>
                <c:pt idx="950">
                  <c:v>20.361602510304355</c:v>
                </c:pt>
                <c:pt idx="951">
                  <c:v>20.361628645276525</c:v>
                </c:pt>
                <c:pt idx="952">
                  <c:v>20.3616547798695</c:v>
                </c:pt>
                <c:pt idx="953">
                  <c:v>20.361680914083284</c:v>
                </c:pt>
                <c:pt idx="954">
                  <c:v>20.361707047917868</c:v>
                </c:pt>
                <c:pt idx="955">
                  <c:v>20.361733181373264</c:v>
                </c:pt>
                <c:pt idx="956">
                  <c:v>20.361759314449472</c:v>
                </c:pt>
                <c:pt idx="957">
                  <c:v>20.361785447146513</c:v>
                </c:pt>
                <c:pt idx="958">
                  <c:v>20.361811579464369</c:v>
                </c:pt>
                <c:pt idx="959">
                  <c:v>20.361837711403052</c:v>
                </c:pt>
                <c:pt idx="960">
                  <c:v>20.361863842962574</c:v>
                </c:pt>
                <c:pt idx="961">
                  <c:v>20.361889974142937</c:v>
                </c:pt>
                <c:pt idx="962">
                  <c:v>20.361916104944136</c:v>
                </c:pt>
                <c:pt idx="963">
                  <c:v>20.36194223536619</c:v>
                </c:pt>
                <c:pt idx="964">
                  <c:v>20.361968365409084</c:v>
                </c:pt>
                <c:pt idx="965">
                  <c:v>20.361994495072835</c:v>
                </c:pt>
                <c:pt idx="966">
                  <c:v>20.362020624357445</c:v>
                </c:pt>
                <c:pt idx="967">
                  <c:v>20.362046753262916</c:v>
                </c:pt>
                <c:pt idx="968">
                  <c:v>20.362072881789267</c:v>
                </c:pt>
                <c:pt idx="969">
                  <c:v>20.362099009936472</c:v>
                </c:pt>
                <c:pt idx="970">
                  <c:v>20.36212513770456</c:v>
                </c:pt>
                <c:pt idx="971">
                  <c:v>20.362151265093541</c:v>
                </c:pt>
                <c:pt idx="972">
                  <c:v>20.362177392103391</c:v>
                </c:pt>
                <c:pt idx="973">
                  <c:v>20.362203518734134</c:v>
                </c:pt>
                <c:pt idx="974">
                  <c:v>20.362229644985764</c:v>
                </c:pt>
                <c:pt idx="975">
                  <c:v>20.362255770858297</c:v>
                </c:pt>
                <c:pt idx="976">
                  <c:v>20.362281896351739</c:v>
                </c:pt>
                <c:pt idx="977">
                  <c:v>20.362308021466081</c:v>
                </c:pt>
                <c:pt idx="978">
                  <c:v>20.362334146201331</c:v>
                </c:pt>
                <c:pt idx="979">
                  <c:v>20.362360270557499</c:v>
                </c:pt>
                <c:pt idx="980">
                  <c:v>20.362386394534578</c:v>
                </c:pt>
                <c:pt idx="981">
                  <c:v>20.362412518132583</c:v>
                </c:pt>
                <c:pt idx="982">
                  <c:v>20.362438641351527</c:v>
                </c:pt>
                <c:pt idx="983">
                  <c:v>20.362464764191387</c:v>
                </c:pt>
                <c:pt idx="984">
                  <c:v>20.362490886652186</c:v>
                </c:pt>
                <c:pt idx="985">
                  <c:v>20.362517008733928</c:v>
                </c:pt>
                <c:pt idx="986">
                  <c:v>20.362543130436602</c:v>
                </c:pt>
                <c:pt idx="987">
                  <c:v>20.362569251760245</c:v>
                </c:pt>
                <c:pt idx="988">
                  <c:v>20.362595372704831</c:v>
                </c:pt>
                <c:pt idx="989">
                  <c:v>20.362621493270364</c:v>
                </c:pt>
                <c:pt idx="990">
                  <c:v>20.362647613456868</c:v>
                </c:pt>
                <c:pt idx="991">
                  <c:v>20.362673733264334</c:v>
                </c:pt>
                <c:pt idx="992">
                  <c:v>20.362699852692771</c:v>
                </c:pt>
                <c:pt idx="993">
                  <c:v>20.362725971742183</c:v>
                </c:pt>
                <c:pt idx="994">
                  <c:v>20.362752090412567</c:v>
                </c:pt>
                <c:pt idx="995">
                  <c:v>20.362778208703933</c:v>
                </c:pt>
                <c:pt idx="996">
                  <c:v>20.362804326616292</c:v>
                </c:pt>
                <c:pt idx="997">
                  <c:v>20.362830444149644</c:v>
                </c:pt>
                <c:pt idx="998">
                  <c:v>20.362856561303982</c:v>
                </c:pt>
                <c:pt idx="999">
                  <c:v>20.362882678079327</c:v>
                </c:pt>
                <c:pt idx="1000">
                  <c:v>20.362908794475665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4-48D6-934B-5D8E0316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0672"/>
        <c:axId val="149502592"/>
      </c:scatterChart>
      <c:valAx>
        <c:axId val="149500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02592"/>
        <c:crosses val="autoZero"/>
        <c:crossBetween val="midCat"/>
      </c:valAx>
      <c:valAx>
        <c:axId val="14950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Forces [N]</a:t>
                </a:r>
              </a:p>
            </c:rich>
          </c:tx>
          <c:layout>
            <c:manualLayout>
              <c:xMode val="edge"/>
              <c:yMode val="edge"/>
              <c:x val="2.0047169811320761E-2"/>
              <c:y val="0.3333343832020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00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18929827167842"/>
          <c:y val="0.34444479440069992"/>
          <c:w val="0.13050326845936713"/>
          <c:h val="0.22888888888888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Courbes!$B$140</c:f>
          <c:strCache>
            <c:ptCount val="1"/>
            <c:pt idx="0">
              <c:v>Vitesse</c:v>
            </c:pt>
          </c:strCache>
        </c:strRef>
      </c:tx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95283018867926"/>
          <c:y val="9.4771544282144501E-2"/>
          <c:w val="0.87617924528302116"/>
          <c:h val="0.74183243282920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Courbes!$B$140</c:f>
              <c:strCache>
                <c:ptCount val="1"/>
                <c:pt idx="0">
                  <c:v>Vitesse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5.7</c:v>
                </c:pt>
                <c:pt idx="1">
                  <c:v>5.71</c:v>
                </c:pt>
                <c:pt idx="2">
                  <c:v>5.72</c:v>
                </c:pt>
                <c:pt idx="3">
                  <c:v>5.7299999999999995</c:v>
                </c:pt>
                <c:pt idx="4">
                  <c:v>5.7399999999999993</c:v>
                </c:pt>
                <c:pt idx="5">
                  <c:v>5.7499999999999991</c:v>
                </c:pt>
                <c:pt idx="6">
                  <c:v>5.7599999999999989</c:v>
                </c:pt>
                <c:pt idx="7">
                  <c:v>5.7699999999999987</c:v>
                </c:pt>
                <c:pt idx="8">
                  <c:v>5.7799999999999985</c:v>
                </c:pt>
                <c:pt idx="9">
                  <c:v>5.7899999999999983</c:v>
                </c:pt>
                <c:pt idx="10">
                  <c:v>5.799999999999998</c:v>
                </c:pt>
                <c:pt idx="11">
                  <c:v>5.8099999999999978</c:v>
                </c:pt>
                <c:pt idx="12">
                  <c:v>5.8199999999999976</c:v>
                </c:pt>
                <c:pt idx="13">
                  <c:v>5.8299999999999974</c:v>
                </c:pt>
                <c:pt idx="14">
                  <c:v>5.8399999999999972</c:v>
                </c:pt>
                <c:pt idx="15">
                  <c:v>5.849999999999997</c:v>
                </c:pt>
                <c:pt idx="16">
                  <c:v>5.8599999999999968</c:v>
                </c:pt>
                <c:pt idx="17">
                  <c:v>5.8699999999999966</c:v>
                </c:pt>
                <c:pt idx="18">
                  <c:v>5.8799999999999963</c:v>
                </c:pt>
                <c:pt idx="19">
                  <c:v>5.8899999999999961</c:v>
                </c:pt>
                <c:pt idx="20">
                  <c:v>5.8999999999999959</c:v>
                </c:pt>
                <c:pt idx="21">
                  <c:v>5.9099999999999957</c:v>
                </c:pt>
                <c:pt idx="22">
                  <c:v>5.9199999999999955</c:v>
                </c:pt>
                <c:pt idx="23">
                  <c:v>5.9299999999999953</c:v>
                </c:pt>
                <c:pt idx="24">
                  <c:v>5.9399999999999951</c:v>
                </c:pt>
                <c:pt idx="25">
                  <c:v>5.9499999999999948</c:v>
                </c:pt>
                <c:pt idx="26">
                  <c:v>5.9599999999999946</c:v>
                </c:pt>
                <c:pt idx="27">
                  <c:v>5.9699999999999944</c:v>
                </c:pt>
                <c:pt idx="28">
                  <c:v>5.9799999999999942</c:v>
                </c:pt>
                <c:pt idx="29">
                  <c:v>5.989999999999994</c:v>
                </c:pt>
                <c:pt idx="30">
                  <c:v>5.9999999999999938</c:v>
                </c:pt>
                <c:pt idx="31">
                  <c:v>6.0099999999999936</c:v>
                </c:pt>
                <c:pt idx="32">
                  <c:v>6.0199999999999934</c:v>
                </c:pt>
                <c:pt idx="33">
                  <c:v>6.0299999999999931</c:v>
                </c:pt>
                <c:pt idx="34">
                  <c:v>6.0399999999999929</c:v>
                </c:pt>
                <c:pt idx="35">
                  <c:v>6.0499999999999927</c:v>
                </c:pt>
                <c:pt idx="36">
                  <c:v>6.0599999999999925</c:v>
                </c:pt>
                <c:pt idx="37">
                  <c:v>6.0699999999999923</c:v>
                </c:pt>
                <c:pt idx="38">
                  <c:v>6.0799999999999921</c:v>
                </c:pt>
                <c:pt idx="39">
                  <c:v>6.0899999999999919</c:v>
                </c:pt>
                <c:pt idx="40">
                  <c:v>6.0999999999999917</c:v>
                </c:pt>
                <c:pt idx="41">
                  <c:v>6.1099999999999914</c:v>
                </c:pt>
                <c:pt idx="42">
                  <c:v>6.1199999999999912</c:v>
                </c:pt>
                <c:pt idx="43">
                  <c:v>6.129999999999991</c:v>
                </c:pt>
                <c:pt idx="44">
                  <c:v>6.1399999999999908</c:v>
                </c:pt>
                <c:pt idx="45">
                  <c:v>6.1499999999999906</c:v>
                </c:pt>
                <c:pt idx="46">
                  <c:v>6.1599999999999904</c:v>
                </c:pt>
                <c:pt idx="47">
                  <c:v>6.1699999999999902</c:v>
                </c:pt>
                <c:pt idx="48">
                  <c:v>6.1799999999999899</c:v>
                </c:pt>
                <c:pt idx="49">
                  <c:v>6.1899999999999897</c:v>
                </c:pt>
                <c:pt idx="50">
                  <c:v>6.1999999999999895</c:v>
                </c:pt>
                <c:pt idx="51">
                  <c:v>6.2099999999999893</c:v>
                </c:pt>
                <c:pt idx="52">
                  <c:v>6.2199999999999891</c:v>
                </c:pt>
                <c:pt idx="53">
                  <c:v>6.2299999999999889</c:v>
                </c:pt>
                <c:pt idx="54">
                  <c:v>6.2399999999999887</c:v>
                </c:pt>
                <c:pt idx="55">
                  <c:v>6.2499999999999885</c:v>
                </c:pt>
                <c:pt idx="56">
                  <c:v>6.2599999999999882</c:v>
                </c:pt>
                <c:pt idx="57">
                  <c:v>6.269999999999988</c:v>
                </c:pt>
                <c:pt idx="58">
                  <c:v>6.2799999999999878</c:v>
                </c:pt>
                <c:pt idx="59">
                  <c:v>6.2899999999999876</c:v>
                </c:pt>
                <c:pt idx="60">
                  <c:v>6.2999999999999874</c:v>
                </c:pt>
                <c:pt idx="61">
                  <c:v>6.3099999999999872</c:v>
                </c:pt>
                <c:pt idx="62">
                  <c:v>6.319999999999987</c:v>
                </c:pt>
                <c:pt idx="63">
                  <c:v>6.3299999999999867</c:v>
                </c:pt>
                <c:pt idx="64">
                  <c:v>6.3399999999999865</c:v>
                </c:pt>
                <c:pt idx="65">
                  <c:v>6.3499999999999863</c:v>
                </c:pt>
                <c:pt idx="66">
                  <c:v>6.3599999999999861</c:v>
                </c:pt>
                <c:pt idx="67">
                  <c:v>6.3699999999999859</c:v>
                </c:pt>
                <c:pt idx="68">
                  <c:v>6.3799999999999857</c:v>
                </c:pt>
                <c:pt idx="69">
                  <c:v>6.3899999999999855</c:v>
                </c:pt>
                <c:pt idx="70">
                  <c:v>6.3999999999999853</c:v>
                </c:pt>
                <c:pt idx="71">
                  <c:v>6.409999999999985</c:v>
                </c:pt>
                <c:pt idx="72">
                  <c:v>6.4199999999999848</c:v>
                </c:pt>
                <c:pt idx="73">
                  <c:v>6.4299999999999846</c:v>
                </c:pt>
                <c:pt idx="74">
                  <c:v>6.4399999999999844</c:v>
                </c:pt>
                <c:pt idx="75">
                  <c:v>6.4499999999999842</c:v>
                </c:pt>
                <c:pt idx="76">
                  <c:v>6.459999999999984</c:v>
                </c:pt>
                <c:pt idx="77">
                  <c:v>6.4699999999999838</c:v>
                </c:pt>
                <c:pt idx="78">
                  <c:v>6.4799999999999836</c:v>
                </c:pt>
                <c:pt idx="79">
                  <c:v>6.4899999999999833</c:v>
                </c:pt>
                <c:pt idx="80">
                  <c:v>6.4999999999999831</c:v>
                </c:pt>
                <c:pt idx="81">
                  <c:v>6.5099999999999829</c:v>
                </c:pt>
                <c:pt idx="82">
                  <c:v>6.5199999999999827</c:v>
                </c:pt>
                <c:pt idx="83">
                  <c:v>6.5299999999999825</c:v>
                </c:pt>
                <c:pt idx="84">
                  <c:v>6.5399999999999823</c:v>
                </c:pt>
                <c:pt idx="85">
                  <c:v>6.5499999999999821</c:v>
                </c:pt>
                <c:pt idx="86">
                  <c:v>6.5599999999999818</c:v>
                </c:pt>
                <c:pt idx="87">
                  <c:v>6.5699999999999816</c:v>
                </c:pt>
                <c:pt idx="88">
                  <c:v>6.5799999999999814</c:v>
                </c:pt>
                <c:pt idx="89">
                  <c:v>6.5899999999999812</c:v>
                </c:pt>
                <c:pt idx="90">
                  <c:v>6.599999999999981</c:v>
                </c:pt>
                <c:pt idx="91">
                  <c:v>6.6099999999999808</c:v>
                </c:pt>
                <c:pt idx="92">
                  <c:v>6.6199999999999806</c:v>
                </c:pt>
                <c:pt idx="93">
                  <c:v>6.6299999999999804</c:v>
                </c:pt>
                <c:pt idx="94">
                  <c:v>6.6399999999999801</c:v>
                </c:pt>
                <c:pt idx="95">
                  <c:v>6.6499999999999799</c:v>
                </c:pt>
                <c:pt idx="96">
                  <c:v>6.6599999999999797</c:v>
                </c:pt>
                <c:pt idx="97">
                  <c:v>6.6699999999999795</c:v>
                </c:pt>
                <c:pt idx="98">
                  <c:v>6.6799999999999793</c:v>
                </c:pt>
                <c:pt idx="99">
                  <c:v>6.6899999999999791</c:v>
                </c:pt>
                <c:pt idx="100">
                  <c:v>6.6999999999999789</c:v>
                </c:pt>
                <c:pt idx="101">
                  <c:v>6.7099999999999786</c:v>
                </c:pt>
                <c:pt idx="102">
                  <c:v>6.7199999999999784</c:v>
                </c:pt>
                <c:pt idx="103">
                  <c:v>6.7299999999999782</c:v>
                </c:pt>
                <c:pt idx="104">
                  <c:v>6.739999999999978</c:v>
                </c:pt>
                <c:pt idx="105">
                  <c:v>6.7499999999999778</c:v>
                </c:pt>
                <c:pt idx="106">
                  <c:v>6.7599999999999776</c:v>
                </c:pt>
                <c:pt idx="107">
                  <c:v>6.7699999999999774</c:v>
                </c:pt>
                <c:pt idx="108">
                  <c:v>6.7799999999999772</c:v>
                </c:pt>
                <c:pt idx="109">
                  <c:v>6.7899999999999769</c:v>
                </c:pt>
                <c:pt idx="110">
                  <c:v>6.7999999999999767</c:v>
                </c:pt>
                <c:pt idx="111">
                  <c:v>6.8099999999999765</c:v>
                </c:pt>
                <c:pt idx="112">
                  <c:v>6.8199999999999763</c:v>
                </c:pt>
                <c:pt idx="113">
                  <c:v>6.8299999999999761</c:v>
                </c:pt>
                <c:pt idx="114">
                  <c:v>6.8399999999999759</c:v>
                </c:pt>
                <c:pt idx="115">
                  <c:v>6.8499999999999757</c:v>
                </c:pt>
                <c:pt idx="116">
                  <c:v>6.8599999999999755</c:v>
                </c:pt>
                <c:pt idx="117">
                  <c:v>6.8699999999999752</c:v>
                </c:pt>
                <c:pt idx="118">
                  <c:v>6.879999999999975</c:v>
                </c:pt>
                <c:pt idx="119">
                  <c:v>6.8899999999999748</c:v>
                </c:pt>
                <c:pt idx="120">
                  <c:v>6.8999999999999746</c:v>
                </c:pt>
                <c:pt idx="121">
                  <c:v>6.9099999999999744</c:v>
                </c:pt>
                <c:pt idx="122">
                  <c:v>6.9199999999999742</c:v>
                </c:pt>
                <c:pt idx="123">
                  <c:v>6.929999999999974</c:v>
                </c:pt>
                <c:pt idx="124">
                  <c:v>6.9399999999999737</c:v>
                </c:pt>
                <c:pt idx="125">
                  <c:v>6.9499999999999735</c:v>
                </c:pt>
                <c:pt idx="126">
                  <c:v>6.9599999999999733</c:v>
                </c:pt>
                <c:pt idx="127">
                  <c:v>6.9699999999999731</c:v>
                </c:pt>
                <c:pt idx="128">
                  <c:v>6.9799999999999729</c:v>
                </c:pt>
                <c:pt idx="129">
                  <c:v>6.9899999999999727</c:v>
                </c:pt>
                <c:pt idx="130">
                  <c:v>6.9999999999999725</c:v>
                </c:pt>
                <c:pt idx="131">
                  <c:v>7.0099999999999723</c:v>
                </c:pt>
                <c:pt idx="132">
                  <c:v>7.019999999999972</c:v>
                </c:pt>
                <c:pt idx="133">
                  <c:v>7.0299999999999718</c:v>
                </c:pt>
                <c:pt idx="134">
                  <c:v>7.0399999999999716</c:v>
                </c:pt>
                <c:pt idx="135">
                  <c:v>7.0499999999999714</c:v>
                </c:pt>
                <c:pt idx="136">
                  <c:v>7.0599999999999712</c:v>
                </c:pt>
                <c:pt idx="137">
                  <c:v>7.069999999999971</c:v>
                </c:pt>
                <c:pt idx="138">
                  <c:v>7.0799999999999708</c:v>
                </c:pt>
                <c:pt idx="139">
                  <c:v>7.0899999999999705</c:v>
                </c:pt>
                <c:pt idx="140">
                  <c:v>7.0999999999999703</c:v>
                </c:pt>
                <c:pt idx="141">
                  <c:v>7.1099999999999701</c:v>
                </c:pt>
                <c:pt idx="142">
                  <c:v>7.1199999999999699</c:v>
                </c:pt>
                <c:pt idx="143">
                  <c:v>7.1299999999999697</c:v>
                </c:pt>
                <c:pt idx="144">
                  <c:v>7.1399999999999695</c:v>
                </c:pt>
                <c:pt idx="145">
                  <c:v>7.1499999999999693</c:v>
                </c:pt>
                <c:pt idx="146">
                  <c:v>7.1599999999999691</c:v>
                </c:pt>
                <c:pt idx="147">
                  <c:v>7.1699999999999688</c:v>
                </c:pt>
                <c:pt idx="148">
                  <c:v>7.1799999999999686</c:v>
                </c:pt>
                <c:pt idx="149">
                  <c:v>7.1899999999999684</c:v>
                </c:pt>
                <c:pt idx="150">
                  <c:v>7.1999999999999682</c:v>
                </c:pt>
                <c:pt idx="151">
                  <c:v>7.209999999999968</c:v>
                </c:pt>
                <c:pt idx="152">
                  <c:v>7.2199999999999678</c:v>
                </c:pt>
                <c:pt idx="153">
                  <c:v>7.2299999999999676</c:v>
                </c:pt>
                <c:pt idx="154">
                  <c:v>7.2399999999999674</c:v>
                </c:pt>
                <c:pt idx="155">
                  <c:v>7.2499999999999671</c:v>
                </c:pt>
                <c:pt idx="156">
                  <c:v>7.2599999999999669</c:v>
                </c:pt>
                <c:pt idx="157">
                  <c:v>7.2699999999999667</c:v>
                </c:pt>
                <c:pt idx="158">
                  <c:v>7.2799999999999665</c:v>
                </c:pt>
                <c:pt idx="159">
                  <c:v>7.2899999999999663</c:v>
                </c:pt>
                <c:pt idx="160">
                  <c:v>7.2999999999999661</c:v>
                </c:pt>
                <c:pt idx="161">
                  <c:v>7.3099999999999659</c:v>
                </c:pt>
                <c:pt idx="162">
                  <c:v>7.3199999999999656</c:v>
                </c:pt>
                <c:pt idx="163">
                  <c:v>7.3299999999999654</c:v>
                </c:pt>
                <c:pt idx="164">
                  <c:v>7.3399999999999652</c:v>
                </c:pt>
                <c:pt idx="165">
                  <c:v>7.349999999999965</c:v>
                </c:pt>
                <c:pt idx="166">
                  <c:v>7.3599999999999648</c:v>
                </c:pt>
                <c:pt idx="167">
                  <c:v>7.3699999999999646</c:v>
                </c:pt>
                <c:pt idx="168">
                  <c:v>7.3799999999999644</c:v>
                </c:pt>
                <c:pt idx="169">
                  <c:v>7.3899999999999642</c:v>
                </c:pt>
                <c:pt idx="170">
                  <c:v>7.3999999999999639</c:v>
                </c:pt>
                <c:pt idx="171">
                  <c:v>7.4099999999999637</c:v>
                </c:pt>
                <c:pt idx="172">
                  <c:v>7.4199999999999635</c:v>
                </c:pt>
                <c:pt idx="173">
                  <c:v>7.4299999999999633</c:v>
                </c:pt>
                <c:pt idx="174">
                  <c:v>7.4399999999999631</c:v>
                </c:pt>
                <c:pt idx="175">
                  <c:v>7.4499999999999629</c:v>
                </c:pt>
                <c:pt idx="176">
                  <c:v>7.4599999999999627</c:v>
                </c:pt>
                <c:pt idx="177">
                  <c:v>7.4699999999999624</c:v>
                </c:pt>
                <c:pt idx="178">
                  <c:v>7.4799999999999622</c:v>
                </c:pt>
                <c:pt idx="179">
                  <c:v>7.489999999999962</c:v>
                </c:pt>
                <c:pt idx="180">
                  <c:v>7.4999999999999618</c:v>
                </c:pt>
                <c:pt idx="181">
                  <c:v>7.5099999999999616</c:v>
                </c:pt>
                <c:pt idx="182">
                  <c:v>7.5199999999999614</c:v>
                </c:pt>
                <c:pt idx="183">
                  <c:v>7.5299999999999612</c:v>
                </c:pt>
                <c:pt idx="184">
                  <c:v>7.539999999999961</c:v>
                </c:pt>
                <c:pt idx="185">
                  <c:v>7.5499999999999607</c:v>
                </c:pt>
                <c:pt idx="186">
                  <c:v>7.5599999999999605</c:v>
                </c:pt>
                <c:pt idx="187">
                  <c:v>7.5699999999999603</c:v>
                </c:pt>
                <c:pt idx="188">
                  <c:v>7.5799999999999601</c:v>
                </c:pt>
                <c:pt idx="189">
                  <c:v>7.5899999999999599</c:v>
                </c:pt>
                <c:pt idx="190">
                  <c:v>7.5999999999999597</c:v>
                </c:pt>
                <c:pt idx="191">
                  <c:v>7.6099999999999595</c:v>
                </c:pt>
                <c:pt idx="192">
                  <c:v>7.6199999999999593</c:v>
                </c:pt>
                <c:pt idx="193">
                  <c:v>7.629999999999959</c:v>
                </c:pt>
                <c:pt idx="194">
                  <c:v>7.6399999999999588</c:v>
                </c:pt>
                <c:pt idx="195">
                  <c:v>7.6499999999999586</c:v>
                </c:pt>
                <c:pt idx="196">
                  <c:v>7.6599999999999584</c:v>
                </c:pt>
                <c:pt idx="197">
                  <c:v>7.6699999999999582</c:v>
                </c:pt>
                <c:pt idx="198">
                  <c:v>7.679999999999958</c:v>
                </c:pt>
                <c:pt idx="199">
                  <c:v>7.6899999999999578</c:v>
                </c:pt>
                <c:pt idx="200">
                  <c:v>7.6999999999999575</c:v>
                </c:pt>
                <c:pt idx="201">
                  <c:v>7.7999999999999572</c:v>
                </c:pt>
                <c:pt idx="202">
                  <c:v>7.8999999999999568</c:v>
                </c:pt>
                <c:pt idx="203">
                  <c:v>7.9999999999999565</c:v>
                </c:pt>
                <c:pt idx="204">
                  <c:v>8.099999999999957</c:v>
                </c:pt>
                <c:pt idx="205">
                  <c:v>8.1999999999999567</c:v>
                </c:pt>
                <c:pt idx="206">
                  <c:v>8.2999999999999563</c:v>
                </c:pt>
                <c:pt idx="207">
                  <c:v>8.3999999999999559</c:v>
                </c:pt>
                <c:pt idx="208">
                  <c:v>8.4999999999999556</c:v>
                </c:pt>
                <c:pt idx="209">
                  <c:v>8.5999999999999552</c:v>
                </c:pt>
                <c:pt idx="210">
                  <c:v>8.6999999999999549</c:v>
                </c:pt>
                <c:pt idx="211">
                  <c:v>8.7999999999999545</c:v>
                </c:pt>
                <c:pt idx="212">
                  <c:v>8.8999999999999542</c:v>
                </c:pt>
                <c:pt idx="213">
                  <c:v>8.9999999999999538</c:v>
                </c:pt>
                <c:pt idx="214">
                  <c:v>9.0999999999999535</c:v>
                </c:pt>
                <c:pt idx="215">
                  <c:v>9.1999999999999531</c:v>
                </c:pt>
                <c:pt idx="216">
                  <c:v>9.2999999999999527</c:v>
                </c:pt>
                <c:pt idx="217">
                  <c:v>9.3999999999999524</c:v>
                </c:pt>
                <c:pt idx="218">
                  <c:v>9.499999999999952</c:v>
                </c:pt>
                <c:pt idx="219">
                  <c:v>9.5999999999999517</c:v>
                </c:pt>
                <c:pt idx="220">
                  <c:v>9.6999999999999513</c:v>
                </c:pt>
                <c:pt idx="221">
                  <c:v>9.799999999999951</c:v>
                </c:pt>
                <c:pt idx="222">
                  <c:v>9.8999999999999506</c:v>
                </c:pt>
                <c:pt idx="223">
                  <c:v>9.9999999999999503</c:v>
                </c:pt>
                <c:pt idx="224">
                  <c:v>10.09999999999995</c:v>
                </c:pt>
                <c:pt idx="225">
                  <c:v>10.19999999999995</c:v>
                </c:pt>
                <c:pt idx="226">
                  <c:v>10.299999999999949</c:v>
                </c:pt>
                <c:pt idx="227">
                  <c:v>10.399999999999949</c:v>
                </c:pt>
                <c:pt idx="228">
                  <c:v>10.499999999999948</c:v>
                </c:pt>
                <c:pt idx="229">
                  <c:v>10.599999999999948</c:v>
                </c:pt>
                <c:pt idx="230">
                  <c:v>10.699999999999948</c:v>
                </c:pt>
                <c:pt idx="231">
                  <c:v>10.799999999999947</c:v>
                </c:pt>
                <c:pt idx="232">
                  <c:v>10.899999999999947</c:v>
                </c:pt>
                <c:pt idx="233">
                  <c:v>10.999999999999947</c:v>
                </c:pt>
                <c:pt idx="234">
                  <c:v>11.099999999999946</c:v>
                </c:pt>
                <c:pt idx="235">
                  <c:v>11.199999999999946</c:v>
                </c:pt>
                <c:pt idx="236">
                  <c:v>11.299999999999946</c:v>
                </c:pt>
                <c:pt idx="237">
                  <c:v>11.399999999999945</c:v>
                </c:pt>
                <c:pt idx="238">
                  <c:v>11.499999999999945</c:v>
                </c:pt>
                <c:pt idx="239">
                  <c:v>11.599999999999945</c:v>
                </c:pt>
                <c:pt idx="240">
                  <c:v>11.699999999999944</c:v>
                </c:pt>
                <c:pt idx="241">
                  <c:v>11.799999999999944</c:v>
                </c:pt>
                <c:pt idx="242">
                  <c:v>11.899999999999944</c:v>
                </c:pt>
                <c:pt idx="243">
                  <c:v>11.999999999999943</c:v>
                </c:pt>
                <c:pt idx="244">
                  <c:v>12.099999999999943</c:v>
                </c:pt>
                <c:pt idx="245">
                  <c:v>12.199999999999942</c:v>
                </c:pt>
                <c:pt idx="246">
                  <c:v>12.299999999999942</c:v>
                </c:pt>
                <c:pt idx="247">
                  <c:v>12.399999999999942</c:v>
                </c:pt>
                <c:pt idx="248">
                  <c:v>12.499999999999941</c:v>
                </c:pt>
                <c:pt idx="249">
                  <c:v>12.599999999999941</c:v>
                </c:pt>
                <c:pt idx="250">
                  <c:v>12.699999999999941</c:v>
                </c:pt>
                <c:pt idx="251">
                  <c:v>12.79999999999994</c:v>
                </c:pt>
                <c:pt idx="252">
                  <c:v>12.89999999999994</c:v>
                </c:pt>
                <c:pt idx="253">
                  <c:v>12.99999999999994</c:v>
                </c:pt>
                <c:pt idx="254">
                  <c:v>13.099999999999939</c:v>
                </c:pt>
                <c:pt idx="255">
                  <c:v>13.199999999999939</c:v>
                </c:pt>
                <c:pt idx="256">
                  <c:v>13.299999999999939</c:v>
                </c:pt>
                <c:pt idx="257">
                  <c:v>13.399999999999938</c:v>
                </c:pt>
                <c:pt idx="258">
                  <c:v>13.499999999999938</c:v>
                </c:pt>
                <c:pt idx="259">
                  <c:v>13.599999999999937</c:v>
                </c:pt>
                <c:pt idx="260">
                  <c:v>13.699999999999937</c:v>
                </c:pt>
                <c:pt idx="261">
                  <c:v>13.799999999999937</c:v>
                </c:pt>
                <c:pt idx="262">
                  <c:v>13.899999999999936</c:v>
                </c:pt>
                <c:pt idx="263">
                  <c:v>13.999999999999936</c:v>
                </c:pt>
                <c:pt idx="264">
                  <c:v>14.099999999999936</c:v>
                </c:pt>
                <c:pt idx="265">
                  <c:v>14.199999999999935</c:v>
                </c:pt>
                <c:pt idx="266">
                  <c:v>14.299999999999935</c:v>
                </c:pt>
                <c:pt idx="267">
                  <c:v>14.399999999999935</c:v>
                </c:pt>
                <c:pt idx="268">
                  <c:v>14.499999999999934</c:v>
                </c:pt>
                <c:pt idx="269">
                  <c:v>14.599999999999934</c:v>
                </c:pt>
                <c:pt idx="270">
                  <c:v>14.699999999999934</c:v>
                </c:pt>
                <c:pt idx="271">
                  <c:v>14.799999999999933</c:v>
                </c:pt>
                <c:pt idx="272">
                  <c:v>14.899999999999933</c:v>
                </c:pt>
                <c:pt idx="273">
                  <c:v>14.999999999999932</c:v>
                </c:pt>
                <c:pt idx="274">
                  <c:v>15.099999999999932</c:v>
                </c:pt>
                <c:pt idx="275">
                  <c:v>15.199999999999932</c:v>
                </c:pt>
                <c:pt idx="276">
                  <c:v>15.299999999999931</c:v>
                </c:pt>
                <c:pt idx="277">
                  <c:v>15.399999999999931</c:v>
                </c:pt>
                <c:pt idx="278">
                  <c:v>15.499999999999931</c:v>
                </c:pt>
                <c:pt idx="279">
                  <c:v>15.59999999999993</c:v>
                </c:pt>
                <c:pt idx="280">
                  <c:v>15.69999999999993</c:v>
                </c:pt>
                <c:pt idx="281">
                  <c:v>15.79999999999993</c:v>
                </c:pt>
                <c:pt idx="282">
                  <c:v>15.899999999999929</c:v>
                </c:pt>
                <c:pt idx="283">
                  <c:v>15.999999999999929</c:v>
                </c:pt>
                <c:pt idx="284">
                  <c:v>16.09999999999993</c:v>
                </c:pt>
                <c:pt idx="285">
                  <c:v>16.199999999999932</c:v>
                </c:pt>
                <c:pt idx="286">
                  <c:v>16.299999999999933</c:v>
                </c:pt>
                <c:pt idx="287">
                  <c:v>16.399999999999935</c:v>
                </c:pt>
                <c:pt idx="288">
                  <c:v>16.499999999999936</c:v>
                </c:pt>
                <c:pt idx="289">
                  <c:v>16.599999999999937</c:v>
                </c:pt>
                <c:pt idx="290">
                  <c:v>16.699999999999939</c:v>
                </c:pt>
                <c:pt idx="291">
                  <c:v>16.79999999999994</c:v>
                </c:pt>
                <c:pt idx="292">
                  <c:v>16.899999999999942</c:v>
                </c:pt>
                <c:pt idx="293">
                  <c:v>16.999999999999943</c:v>
                </c:pt>
                <c:pt idx="294">
                  <c:v>17.099999999999945</c:v>
                </c:pt>
                <c:pt idx="295">
                  <c:v>17.199999999999946</c:v>
                </c:pt>
                <c:pt idx="296">
                  <c:v>17.299999999999947</c:v>
                </c:pt>
                <c:pt idx="297">
                  <c:v>17.399999999999949</c:v>
                </c:pt>
                <c:pt idx="298">
                  <c:v>17.49999999999995</c:v>
                </c:pt>
                <c:pt idx="299">
                  <c:v>17.599999999999952</c:v>
                </c:pt>
                <c:pt idx="300">
                  <c:v>17.699999999999953</c:v>
                </c:pt>
                <c:pt idx="301">
                  <c:v>17.799999999999955</c:v>
                </c:pt>
                <c:pt idx="302">
                  <c:v>17.899999999999956</c:v>
                </c:pt>
                <c:pt idx="303">
                  <c:v>17.999999999999957</c:v>
                </c:pt>
                <c:pt idx="304">
                  <c:v>18.099999999999959</c:v>
                </c:pt>
                <c:pt idx="305">
                  <c:v>18.19999999999996</c:v>
                </c:pt>
                <c:pt idx="306">
                  <c:v>18.299999999999962</c:v>
                </c:pt>
                <c:pt idx="307">
                  <c:v>18.399999999999963</c:v>
                </c:pt>
                <c:pt idx="308">
                  <c:v>18.499999999999964</c:v>
                </c:pt>
                <c:pt idx="309">
                  <c:v>18.599999999999966</c:v>
                </c:pt>
                <c:pt idx="310">
                  <c:v>18.699999999999967</c:v>
                </c:pt>
                <c:pt idx="311">
                  <c:v>18.799999999999969</c:v>
                </c:pt>
                <c:pt idx="312">
                  <c:v>18.89999999999997</c:v>
                </c:pt>
                <c:pt idx="313">
                  <c:v>18.999999999999972</c:v>
                </c:pt>
                <c:pt idx="314">
                  <c:v>19.099999999999973</c:v>
                </c:pt>
                <c:pt idx="315">
                  <c:v>19.199999999999974</c:v>
                </c:pt>
                <c:pt idx="316">
                  <c:v>19.299999999999976</c:v>
                </c:pt>
                <c:pt idx="317">
                  <c:v>19.399999999999977</c:v>
                </c:pt>
                <c:pt idx="318">
                  <c:v>19.499999999999979</c:v>
                </c:pt>
                <c:pt idx="319">
                  <c:v>19.59999999999998</c:v>
                </c:pt>
                <c:pt idx="320">
                  <c:v>19.699999999999982</c:v>
                </c:pt>
                <c:pt idx="321">
                  <c:v>19.799999999999983</c:v>
                </c:pt>
                <c:pt idx="322">
                  <c:v>19.899999999999984</c:v>
                </c:pt>
                <c:pt idx="323">
                  <c:v>19.999999999999986</c:v>
                </c:pt>
                <c:pt idx="324">
                  <c:v>20.099999999999987</c:v>
                </c:pt>
                <c:pt idx="325">
                  <c:v>20.199999999999989</c:v>
                </c:pt>
                <c:pt idx="326">
                  <c:v>20.29999999999999</c:v>
                </c:pt>
                <c:pt idx="327">
                  <c:v>20.399999999999991</c:v>
                </c:pt>
                <c:pt idx="328">
                  <c:v>20.499999999999993</c:v>
                </c:pt>
                <c:pt idx="329">
                  <c:v>20.599999999999994</c:v>
                </c:pt>
                <c:pt idx="330">
                  <c:v>20.699999999999996</c:v>
                </c:pt>
                <c:pt idx="331">
                  <c:v>20.799999999999997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21.200000000000003</c:v>
                </c:pt>
                <c:pt idx="336">
                  <c:v>21.300000000000004</c:v>
                </c:pt>
                <c:pt idx="337">
                  <c:v>21.400000000000006</c:v>
                </c:pt>
                <c:pt idx="338">
                  <c:v>21.500000000000007</c:v>
                </c:pt>
                <c:pt idx="339">
                  <c:v>21.600000000000009</c:v>
                </c:pt>
                <c:pt idx="340">
                  <c:v>21.70000000000001</c:v>
                </c:pt>
                <c:pt idx="341">
                  <c:v>21.800000000000011</c:v>
                </c:pt>
                <c:pt idx="342">
                  <c:v>21.900000000000013</c:v>
                </c:pt>
                <c:pt idx="343">
                  <c:v>22.000000000000014</c:v>
                </c:pt>
                <c:pt idx="344">
                  <c:v>22.100000000000016</c:v>
                </c:pt>
                <c:pt idx="345">
                  <c:v>22.200000000000017</c:v>
                </c:pt>
                <c:pt idx="346">
                  <c:v>22.300000000000018</c:v>
                </c:pt>
                <c:pt idx="347">
                  <c:v>22.40000000000002</c:v>
                </c:pt>
                <c:pt idx="348">
                  <c:v>22.500000000000021</c:v>
                </c:pt>
                <c:pt idx="349">
                  <c:v>22.600000000000023</c:v>
                </c:pt>
                <c:pt idx="350">
                  <c:v>22.700000000000024</c:v>
                </c:pt>
                <c:pt idx="351">
                  <c:v>22.800000000000026</c:v>
                </c:pt>
                <c:pt idx="352">
                  <c:v>22.900000000000027</c:v>
                </c:pt>
                <c:pt idx="353">
                  <c:v>23.000000000000028</c:v>
                </c:pt>
                <c:pt idx="354">
                  <c:v>23.10000000000003</c:v>
                </c:pt>
                <c:pt idx="355">
                  <c:v>23.200000000000031</c:v>
                </c:pt>
                <c:pt idx="356">
                  <c:v>23.300000000000033</c:v>
                </c:pt>
                <c:pt idx="357">
                  <c:v>23.400000000000034</c:v>
                </c:pt>
                <c:pt idx="358">
                  <c:v>23.500000000000036</c:v>
                </c:pt>
                <c:pt idx="359">
                  <c:v>23.600000000000037</c:v>
                </c:pt>
                <c:pt idx="360">
                  <c:v>23.700000000000038</c:v>
                </c:pt>
                <c:pt idx="361">
                  <c:v>23.80000000000004</c:v>
                </c:pt>
                <c:pt idx="362">
                  <c:v>23.900000000000041</c:v>
                </c:pt>
                <c:pt idx="363">
                  <c:v>24.000000000000043</c:v>
                </c:pt>
                <c:pt idx="364">
                  <c:v>24.100000000000044</c:v>
                </c:pt>
                <c:pt idx="365">
                  <c:v>24.200000000000045</c:v>
                </c:pt>
                <c:pt idx="366">
                  <c:v>24.300000000000047</c:v>
                </c:pt>
                <c:pt idx="367">
                  <c:v>24.400000000000048</c:v>
                </c:pt>
                <c:pt idx="368">
                  <c:v>24.50000000000005</c:v>
                </c:pt>
                <c:pt idx="369">
                  <c:v>24.600000000000051</c:v>
                </c:pt>
                <c:pt idx="370">
                  <c:v>24.700000000000053</c:v>
                </c:pt>
                <c:pt idx="371">
                  <c:v>24.800000000000054</c:v>
                </c:pt>
                <c:pt idx="372">
                  <c:v>24.900000000000055</c:v>
                </c:pt>
                <c:pt idx="373">
                  <c:v>25.000000000000057</c:v>
                </c:pt>
                <c:pt idx="374">
                  <c:v>25.100000000000058</c:v>
                </c:pt>
                <c:pt idx="375">
                  <c:v>25.20000000000006</c:v>
                </c:pt>
                <c:pt idx="376">
                  <c:v>25.300000000000061</c:v>
                </c:pt>
                <c:pt idx="377">
                  <c:v>25.400000000000063</c:v>
                </c:pt>
                <c:pt idx="378">
                  <c:v>25.500000000000064</c:v>
                </c:pt>
                <c:pt idx="379">
                  <c:v>25.600000000000065</c:v>
                </c:pt>
                <c:pt idx="380">
                  <c:v>25.700000000000067</c:v>
                </c:pt>
                <c:pt idx="381">
                  <c:v>25.800000000000068</c:v>
                </c:pt>
                <c:pt idx="382">
                  <c:v>25.90000000000007</c:v>
                </c:pt>
                <c:pt idx="383">
                  <c:v>26.000000000000071</c:v>
                </c:pt>
                <c:pt idx="384">
                  <c:v>26.100000000000072</c:v>
                </c:pt>
                <c:pt idx="385">
                  <c:v>26.200000000000074</c:v>
                </c:pt>
                <c:pt idx="386">
                  <c:v>26.300000000000075</c:v>
                </c:pt>
                <c:pt idx="387">
                  <c:v>26.400000000000077</c:v>
                </c:pt>
                <c:pt idx="388">
                  <c:v>26.500000000000078</c:v>
                </c:pt>
                <c:pt idx="389">
                  <c:v>26.60000000000008</c:v>
                </c:pt>
                <c:pt idx="390">
                  <c:v>26.700000000000081</c:v>
                </c:pt>
                <c:pt idx="391">
                  <c:v>26.800000000000082</c:v>
                </c:pt>
                <c:pt idx="392">
                  <c:v>26.900000000000084</c:v>
                </c:pt>
                <c:pt idx="393">
                  <c:v>27.000000000000085</c:v>
                </c:pt>
                <c:pt idx="394">
                  <c:v>27.100000000000087</c:v>
                </c:pt>
                <c:pt idx="395">
                  <c:v>27.200000000000088</c:v>
                </c:pt>
                <c:pt idx="396">
                  <c:v>27.30000000000009</c:v>
                </c:pt>
                <c:pt idx="397">
                  <c:v>27.400000000000091</c:v>
                </c:pt>
                <c:pt idx="398">
                  <c:v>27.500000000000092</c:v>
                </c:pt>
                <c:pt idx="399">
                  <c:v>27.600000000000094</c:v>
                </c:pt>
                <c:pt idx="400">
                  <c:v>27.700000000000095</c:v>
                </c:pt>
                <c:pt idx="401">
                  <c:v>27.800000000000097</c:v>
                </c:pt>
                <c:pt idx="402">
                  <c:v>27.900000000000098</c:v>
                </c:pt>
                <c:pt idx="403">
                  <c:v>28.000000000000099</c:v>
                </c:pt>
                <c:pt idx="404">
                  <c:v>28.100000000000101</c:v>
                </c:pt>
                <c:pt idx="405">
                  <c:v>28.200000000000102</c:v>
                </c:pt>
                <c:pt idx="406">
                  <c:v>28.300000000000104</c:v>
                </c:pt>
                <c:pt idx="407">
                  <c:v>28.400000000000105</c:v>
                </c:pt>
                <c:pt idx="408">
                  <c:v>28.500000000000107</c:v>
                </c:pt>
                <c:pt idx="409">
                  <c:v>28.600000000000108</c:v>
                </c:pt>
                <c:pt idx="410">
                  <c:v>28.700000000000109</c:v>
                </c:pt>
                <c:pt idx="411">
                  <c:v>28.800000000000111</c:v>
                </c:pt>
                <c:pt idx="412">
                  <c:v>28.900000000000112</c:v>
                </c:pt>
                <c:pt idx="413">
                  <c:v>29.000000000000114</c:v>
                </c:pt>
                <c:pt idx="414">
                  <c:v>29.100000000000115</c:v>
                </c:pt>
                <c:pt idx="415">
                  <c:v>29.200000000000117</c:v>
                </c:pt>
                <c:pt idx="416">
                  <c:v>29.300000000000118</c:v>
                </c:pt>
                <c:pt idx="417">
                  <c:v>29.400000000000119</c:v>
                </c:pt>
                <c:pt idx="418">
                  <c:v>29.500000000000121</c:v>
                </c:pt>
                <c:pt idx="419">
                  <c:v>29.600000000000122</c:v>
                </c:pt>
                <c:pt idx="420">
                  <c:v>29.700000000000124</c:v>
                </c:pt>
                <c:pt idx="421">
                  <c:v>29.800000000000125</c:v>
                </c:pt>
                <c:pt idx="422">
                  <c:v>29.900000000000126</c:v>
                </c:pt>
                <c:pt idx="423">
                  <c:v>30.000000000000128</c:v>
                </c:pt>
                <c:pt idx="424">
                  <c:v>30.100000000000129</c:v>
                </c:pt>
                <c:pt idx="425">
                  <c:v>30.200000000000131</c:v>
                </c:pt>
                <c:pt idx="426">
                  <c:v>30.300000000000132</c:v>
                </c:pt>
                <c:pt idx="427">
                  <c:v>30.400000000000134</c:v>
                </c:pt>
                <c:pt idx="428">
                  <c:v>30.500000000000135</c:v>
                </c:pt>
                <c:pt idx="429">
                  <c:v>30.600000000000136</c:v>
                </c:pt>
                <c:pt idx="430">
                  <c:v>30.700000000000138</c:v>
                </c:pt>
                <c:pt idx="431">
                  <c:v>30.800000000000139</c:v>
                </c:pt>
                <c:pt idx="432">
                  <c:v>30.900000000000141</c:v>
                </c:pt>
                <c:pt idx="433">
                  <c:v>31.000000000000142</c:v>
                </c:pt>
                <c:pt idx="434">
                  <c:v>31.100000000000144</c:v>
                </c:pt>
                <c:pt idx="435">
                  <c:v>31.200000000000145</c:v>
                </c:pt>
                <c:pt idx="436">
                  <c:v>31.300000000000146</c:v>
                </c:pt>
                <c:pt idx="437">
                  <c:v>31.400000000000148</c:v>
                </c:pt>
                <c:pt idx="438">
                  <c:v>31.500000000000149</c:v>
                </c:pt>
                <c:pt idx="439">
                  <c:v>31.600000000000151</c:v>
                </c:pt>
                <c:pt idx="440">
                  <c:v>31.700000000000152</c:v>
                </c:pt>
                <c:pt idx="441">
                  <c:v>31.800000000000153</c:v>
                </c:pt>
                <c:pt idx="442">
                  <c:v>31.900000000000155</c:v>
                </c:pt>
                <c:pt idx="443">
                  <c:v>32.000000000000156</c:v>
                </c:pt>
                <c:pt idx="444">
                  <c:v>32.100000000000158</c:v>
                </c:pt>
                <c:pt idx="445">
                  <c:v>32.200000000000159</c:v>
                </c:pt>
                <c:pt idx="446">
                  <c:v>32.300000000000161</c:v>
                </c:pt>
                <c:pt idx="447">
                  <c:v>32.400000000000162</c:v>
                </c:pt>
                <c:pt idx="448">
                  <c:v>32.500000000000163</c:v>
                </c:pt>
                <c:pt idx="449">
                  <c:v>32.600000000000165</c:v>
                </c:pt>
                <c:pt idx="450">
                  <c:v>32.700000000000166</c:v>
                </c:pt>
                <c:pt idx="451">
                  <c:v>32.800000000000168</c:v>
                </c:pt>
                <c:pt idx="452">
                  <c:v>32.900000000000169</c:v>
                </c:pt>
                <c:pt idx="453">
                  <c:v>33.000000000000171</c:v>
                </c:pt>
                <c:pt idx="454">
                  <c:v>33.100000000000172</c:v>
                </c:pt>
                <c:pt idx="455">
                  <c:v>33.200000000000173</c:v>
                </c:pt>
                <c:pt idx="456">
                  <c:v>33.300000000000175</c:v>
                </c:pt>
                <c:pt idx="457">
                  <c:v>33.400000000000176</c:v>
                </c:pt>
                <c:pt idx="458">
                  <c:v>33.500000000000178</c:v>
                </c:pt>
                <c:pt idx="459">
                  <c:v>33.600000000000179</c:v>
                </c:pt>
                <c:pt idx="460">
                  <c:v>33.70000000000018</c:v>
                </c:pt>
                <c:pt idx="461">
                  <c:v>33.800000000000182</c:v>
                </c:pt>
                <c:pt idx="462">
                  <c:v>33.900000000000183</c:v>
                </c:pt>
                <c:pt idx="463">
                  <c:v>34.000000000000185</c:v>
                </c:pt>
                <c:pt idx="464">
                  <c:v>34.100000000000186</c:v>
                </c:pt>
                <c:pt idx="465">
                  <c:v>34.200000000000188</c:v>
                </c:pt>
                <c:pt idx="466">
                  <c:v>34.300000000000189</c:v>
                </c:pt>
                <c:pt idx="467">
                  <c:v>34.40000000000019</c:v>
                </c:pt>
                <c:pt idx="468">
                  <c:v>34.500000000000192</c:v>
                </c:pt>
                <c:pt idx="469">
                  <c:v>34.600000000000193</c:v>
                </c:pt>
                <c:pt idx="470">
                  <c:v>34.700000000000195</c:v>
                </c:pt>
                <c:pt idx="471">
                  <c:v>34.800000000000196</c:v>
                </c:pt>
                <c:pt idx="472">
                  <c:v>34.900000000000198</c:v>
                </c:pt>
                <c:pt idx="473">
                  <c:v>35.000000000000199</c:v>
                </c:pt>
                <c:pt idx="474">
                  <c:v>35.1000000000002</c:v>
                </c:pt>
                <c:pt idx="475">
                  <c:v>35.200000000000202</c:v>
                </c:pt>
                <c:pt idx="476">
                  <c:v>35.300000000000203</c:v>
                </c:pt>
                <c:pt idx="477">
                  <c:v>35.400000000000205</c:v>
                </c:pt>
                <c:pt idx="478">
                  <c:v>35.500000000000206</c:v>
                </c:pt>
                <c:pt idx="479">
                  <c:v>35.600000000000207</c:v>
                </c:pt>
                <c:pt idx="480">
                  <c:v>35.700000000000209</c:v>
                </c:pt>
                <c:pt idx="481">
                  <c:v>35.80000000000021</c:v>
                </c:pt>
                <c:pt idx="482">
                  <c:v>35.900000000000212</c:v>
                </c:pt>
                <c:pt idx="483">
                  <c:v>36.000000000000213</c:v>
                </c:pt>
                <c:pt idx="484">
                  <c:v>36.100000000000215</c:v>
                </c:pt>
                <c:pt idx="485">
                  <c:v>36.200000000000216</c:v>
                </c:pt>
                <c:pt idx="486">
                  <c:v>36.300000000000217</c:v>
                </c:pt>
                <c:pt idx="487">
                  <c:v>36.400000000000219</c:v>
                </c:pt>
                <c:pt idx="488">
                  <c:v>36.50000000000022</c:v>
                </c:pt>
                <c:pt idx="489">
                  <c:v>36.600000000000222</c:v>
                </c:pt>
                <c:pt idx="490">
                  <c:v>36.700000000000223</c:v>
                </c:pt>
                <c:pt idx="491">
                  <c:v>36.800000000000225</c:v>
                </c:pt>
                <c:pt idx="492">
                  <c:v>36.900000000000226</c:v>
                </c:pt>
                <c:pt idx="493">
                  <c:v>37.000000000000227</c:v>
                </c:pt>
                <c:pt idx="494">
                  <c:v>37.100000000000229</c:v>
                </c:pt>
                <c:pt idx="495">
                  <c:v>37.20000000000023</c:v>
                </c:pt>
                <c:pt idx="496">
                  <c:v>37.300000000000232</c:v>
                </c:pt>
                <c:pt idx="497">
                  <c:v>37.400000000000233</c:v>
                </c:pt>
                <c:pt idx="498">
                  <c:v>37.500000000000234</c:v>
                </c:pt>
                <c:pt idx="499">
                  <c:v>37.600000000000236</c:v>
                </c:pt>
                <c:pt idx="500">
                  <c:v>37.700000000000237</c:v>
                </c:pt>
                <c:pt idx="501">
                  <c:v>37.800000000000239</c:v>
                </c:pt>
                <c:pt idx="502">
                  <c:v>37.90000000000024</c:v>
                </c:pt>
                <c:pt idx="503">
                  <c:v>38.000000000000242</c:v>
                </c:pt>
                <c:pt idx="504">
                  <c:v>38.100000000000243</c:v>
                </c:pt>
                <c:pt idx="505">
                  <c:v>38.200000000000244</c:v>
                </c:pt>
                <c:pt idx="506">
                  <c:v>38.300000000000246</c:v>
                </c:pt>
                <c:pt idx="507">
                  <c:v>38.400000000000247</c:v>
                </c:pt>
                <c:pt idx="508">
                  <c:v>38.500000000000249</c:v>
                </c:pt>
                <c:pt idx="509">
                  <c:v>38.60000000000025</c:v>
                </c:pt>
                <c:pt idx="510">
                  <c:v>38.700000000000252</c:v>
                </c:pt>
                <c:pt idx="511">
                  <c:v>38.800000000000253</c:v>
                </c:pt>
                <c:pt idx="512">
                  <c:v>38.900000000000254</c:v>
                </c:pt>
                <c:pt idx="513">
                  <c:v>39.000000000000256</c:v>
                </c:pt>
                <c:pt idx="514">
                  <c:v>39.100000000000257</c:v>
                </c:pt>
                <c:pt idx="515">
                  <c:v>39.200000000000259</c:v>
                </c:pt>
                <c:pt idx="516">
                  <c:v>39.30000000000026</c:v>
                </c:pt>
                <c:pt idx="517">
                  <c:v>39.400000000000261</c:v>
                </c:pt>
                <c:pt idx="518">
                  <c:v>39.500000000000263</c:v>
                </c:pt>
                <c:pt idx="519">
                  <c:v>39.600000000000264</c:v>
                </c:pt>
                <c:pt idx="520">
                  <c:v>39.700000000000266</c:v>
                </c:pt>
                <c:pt idx="521">
                  <c:v>39.800000000000267</c:v>
                </c:pt>
                <c:pt idx="522">
                  <c:v>39.900000000000269</c:v>
                </c:pt>
                <c:pt idx="523">
                  <c:v>40.00000000000027</c:v>
                </c:pt>
                <c:pt idx="524">
                  <c:v>40.100000000000271</c:v>
                </c:pt>
                <c:pt idx="525">
                  <c:v>40.200000000000273</c:v>
                </c:pt>
                <c:pt idx="526">
                  <c:v>40.300000000000274</c:v>
                </c:pt>
                <c:pt idx="527">
                  <c:v>40.400000000000276</c:v>
                </c:pt>
                <c:pt idx="528">
                  <c:v>40.500000000000277</c:v>
                </c:pt>
                <c:pt idx="529">
                  <c:v>40.600000000000279</c:v>
                </c:pt>
                <c:pt idx="530">
                  <c:v>40.70000000000028</c:v>
                </c:pt>
                <c:pt idx="531">
                  <c:v>40.800000000000281</c:v>
                </c:pt>
                <c:pt idx="532">
                  <c:v>40.900000000000283</c:v>
                </c:pt>
                <c:pt idx="533">
                  <c:v>41.000000000000284</c:v>
                </c:pt>
                <c:pt idx="534">
                  <c:v>41.100000000000286</c:v>
                </c:pt>
                <c:pt idx="535">
                  <c:v>41.200000000000287</c:v>
                </c:pt>
                <c:pt idx="536">
                  <c:v>41.300000000000288</c:v>
                </c:pt>
                <c:pt idx="537">
                  <c:v>41.40000000000029</c:v>
                </c:pt>
                <c:pt idx="538">
                  <c:v>41.500000000000291</c:v>
                </c:pt>
                <c:pt idx="539">
                  <c:v>41.600000000000293</c:v>
                </c:pt>
                <c:pt idx="540">
                  <c:v>41.700000000000294</c:v>
                </c:pt>
                <c:pt idx="541">
                  <c:v>41.800000000000296</c:v>
                </c:pt>
                <c:pt idx="542">
                  <c:v>41.900000000000297</c:v>
                </c:pt>
                <c:pt idx="543">
                  <c:v>42.000000000000298</c:v>
                </c:pt>
                <c:pt idx="544">
                  <c:v>42.1000000000003</c:v>
                </c:pt>
                <c:pt idx="545">
                  <c:v>42.200000000000301</c:v>
                </c:pt>
                <c:pt idx="546">
                  <c:v>42.300000000000303</c:v>
                </c:pt>
                <c:pt idx="547">
                  <c:v>42.400000000000304</c:v>
                </c:pt>
                <c:pt idx="548">
                  <c:v>42.500000000000306</c:v>
                </c:pt>
                <c:pt idx="549">
                  <c:v>42.600000000000307</c:v>
                </c:pt>
                <c:pt idx="550">
                  <c:v>42.700000000000308</c:v>
                </c:pt>
                <c:pt idx="551">
                  <c:v>42.80000000000031</c:v>
                </c:pt>
                <c:pt idx="552">
                  <c:v>42.900000000000311</c:v>
                </c:pt>
                <c:pt idx="553">
                  <c:v>43.000000000000313</c:v>
                </c:pt>
                <c:pt idx="554">
                  <c:v>43.100000000000314</c:v>
                </c:pt>
                <c:pt idx="555">
                  <c:v>43.200000000000315</c:v>
                </c:pt>
                <c:pt idx="556">
                  <c:v>43.300000000000317</c:v>
                </c:pt>
                <c:pt idx="557">
                  <c:v>43.400000000000318</c:v>
                </c:pt>
                <c:pt idx="558">
                  <c:v>43.50000000000032</c:v>
                </c:pt>
                <c:pt idx="559">
                  <c:v>43.600000000000321</c:v>
                </c:pt>
                <c:pt idx="560">
                  <c:v>43.700000000000323</c:v>
                </c:pt>
                <c:pt idx="561">
                  <c:v>43.800000000000324</c:v>
                </c:pt>
                <c:pt idx="562">
                  <c:v>43.900000000000325</c:v>
                </c:pt>
                <c:pt idx="563">
                  <c:v>44.000000000000327</c:v>
                </c:pt>
                <c:pt idx="564">
                  <c:v>44.100000000000328</c:v>
                </c:pt>
                <c:pt idx="565">
                  <c:v>44.20000000000033</c:v>
                </c:pt>
                <c:pt idx="566">
                  <c:v>44.300000000000331</c:v>
                </c:pt>
                <c:pt idx="567">
                  <c:v>44.400000000000333</c:v>
                </c:pt>
                <c:pt idx="568">
                  <c:v>44.500000000000334</c:v>
                </c:pt>
                <c:pt idx="569">
                  <c:v>44.600000000000335</c:v>
                </c:pt>
                <c:pt idx="570">
                  <c:v>44.700000000000337</c:v>
                </c:pt>
                <c:pt idx="571">
                  <c:v>44.800000000000338</c:v>
                </c:pt>
                <c:pt idx="572">
                  <c:v>44.90000000000034</c:v>
                </c:pt>
                <c:pt idx="573">
                  <c:v>45.000000000000341</c:v>
                </c:pt>
                <c:pt idx="574">
                  <c:v>45.100000000000342</c:v>
                </c:pt>
                <c:pt idx="575">
                  <c:v>45.200000000000344</c:v>
                </c:pt>
                <c:pt idx="576">
                  <c:v>45.300000000000345</c:v>
                </c:pt>
                <c:pt idx="577">
                  <c:v>45.400000000000347</c:v>
                </c:pt>
                <c:pt idx="578">
                  <c:v>45.500000000000348</c:v>
                </c:pt>
                <c:pt idx="579">
                  <c:v>45.60000000000035</c:v>
                </c:pt>
                <c:pt idx="580">
                  <c:v>45.700000000000351</c:v>
                </c:pt>
                <c:pt idx="581">
                  <c:v>45.800000000000352</c:v>
                </c:pt>
                <c:pt idx="582">
                  <c:v>45.900000000000354</c:v>
                </c:pt>
                <c:pt idx="583">
                  <c:v>46.000000000000355</c:v>
                </c:pt>
                <c:pt idx="584">
                  <c:v>46.100000000000357</c:v>
                </c:pt>
                <c:pt idx="585">
                  <c:v>46.200000000000358</c:v>
                </c:pt>
                <c:pt idx="586">
                  <c:v>46.30000000000036</c:v>
                </c:pt>
                <c:pt idx="587">
                  <c:v>46.400000000000361</c:v>
                </c:pt>
                <c:pt idx="588">
                  <c:v>46.500000000000362</c:v>
                </c:pt>
                <c:pt idx="589">
                  <c:v>46.600000000000364</c:v>
                </c:pt>
                <c:pt idx="590">
                  <c:v>46.700000000000365</c:v>
                </c:pt>
                <c:pt idx="591">
                  <c:v>46.800000000000367</c:v>
                </c:pt>
                <c:pt idx="592">
                  <c:v>46.900000000000368</c:v>
                </c:pt>
                <c:pt idx="593">
                  <c:v>47.000000000000369</c:v>
                </c:pt>
                <c:pt idx="594">
                  <c:v>47.100000000000371</c:v>
                </c:pt>
                <c:pt idx="595">
                  <c:v>47.100100000000374</c:v>
                </c:pt>
                <c:pt idx="596">
                  <c:v>47.100200000000378</c:v>
                </c:pt>
                <c:pt idx="597">
                  <c:v>47.100300000000381</c:v>
                </c:pt>
                <c:pt idx="598">
                  <c:v>47.100400000000384</c:v>
                </c:pt>
                <c:pt idx="599">
                  <c:v>47.100500000000388</c:v>
                </c:pt>
                <c:pt idx="600">
                  <c:v>47.100600000000391</c:v>
                </c:pt>
                <c:pt idx="601">
                  <c:v>47.100700000000394</c:v>
                </c:pt>
                <c:pt idx="602">
                  <c:v>47.100800000000397</c:v>
                </c:pt>
                <c:pt idx="603">
                  <c:v>47.100900000000401</c:v>
                </c:pt>
                <c:pt idx="604">
                  <c:v>47.101000000000404</c:v>
                </c:pt>
                <c:pt idx="605">
                  <c:v>47.101100000000407</c:v>
                </c:pt>
                <c:pt idx="606">
                  <c:v>47.101200000000411</c:v>
                </c:pt>
                <c:pt idx="607">
                  <c:v>47.101300000000414</c:v>
                </c:pt>
                <c:pt idx="608">
                  <c:v>47.101400000000417</c:v>
                </c:pt>
                <c:pt idx="609">
                  <c:v>47.101500000000421</c:v>
                </c:pt>
                <c:pt idx="610">
                  <c:v>47.101600000000424</c:v>
                </c:pt>
                <c:pt idx="611">
                  <c:v>47.101700000000427</c:v>
                </c:pt>
                <c:pt idx="612">
                  <c:v>47.101800000000431</c:v>
                </c:pt>
                <c:pt idx="613">
                  <c:v>47.101900000000434</c:v>
                </c:pt>
                <c:pt idx="614">
                  <c:v>47.102000000000437</c:v>
                </c:pt>
                <c:pt idx="615">
                  <c:v>47.102100000000441</c:v>
                </c:pt>
                <c:pt idx="616">
                  <c:v>47.102200000000444</c:v>
                </c:pt>
                <c:pt idx="617">
                  <c:v>47.102300000000447</c:v>
                </c:pt>
                <c:pt idx="618">
                  <c:v>47.102400000000451</c:v>
                </c:pt>
                <c:pt idx="619">
                  <c:v>47.102500000000454</c:v>
                </c:pt>
                <c:pt idx="620">
                  <c:v>47.102600000000457</c:v>
                </c:pt>
                <c:pt idx="621">
                  <c:v>47.102700000000461</c:v>
                </c:pt>
                <c:pt idx="622">
                  <c:v>47.102800000000464</c:v>
                </c:pt>
                <c:pt idx="623">
                  <c:v>47.102900000000467</c:v>
                </c:pt>
                <c:pt idx="624">
                  <c:v>47.10300000000047</c:v>
                </c:pt>
                <c:pt idx="625">
                  <c:v>47.103100000000474</c:v>
                </c:pt>
                <c:pt idx="626">
                  <c:v>47.103200000000477</c:v>
                </c:pt>
                <c:pt idx="627">
                  <c:v>47.10330000000048</c:v>
                </c:pt>
                <c:pt idx="628">
                  <c:v>47.103400000000484</c:v>
                </c:pt>
                <c:pt idx="629">
                  <c:v>47.103500000000487</c:v>
                </c:pt>
                <c:pt idx="630">
                  <c:v>47.10360000000049</c:v>
                </c:pt>
                <c:pt idx="631">
                  <c:v>47.103700000000494</c:v>
                </c:pt>
                <c:pt idx="632">
                  <c:v>47.103800000000497</c:v>
                </c:pt>
                <c:pt idx="633">
                  <c:v>47.1039000000005</c:v>
                </c:pt>
                <c:pt idx="634">
                  <c:v>47.104000000000504</c:v>
                </c:pt>
                <c:pt idx="635">
                  <c:v>47.104100000000507</c:v>
                </c:pt>
                <c:pt idx="636">
                  <c:v>47.10420000000051</c:v>
                </c:pt>
                <c:pt idx="637">
                  <c:v>47.104300000000514</c:v>
                </c:pt>
                <c:pt idx="638">
                  <c:v>47.104400000000517</c:v>
                </c:pt>
                <c:pt idx="639">
                  <c:v>47.10450000000052</c:v>
                </c:pt>
                <c:pt idx="640">
                  <c:v>47.104600000000524</c:v>
                </c:pt>
                <c:pt idx="641">
                  <c:v>47.104700000000527</c:v>
                </c:pt>
                <c:pt idx="642">
                  <c:v>47.10480000000053</c:v>
                </c:pt>
                <c:pt idx="643">
                  <c:v>47.104900000000534</c:v>
                </c:pt>
                <c:pt idx="644">
                  <c:v>47.105000000000537</c:v>
                </c:pt>
                <c:pt idx="645">
                  <c:v>47.10510000000054</c:v>
                </c:pt>
                <c:pt idx="646">
                  <c:v>47.105200000000544</c:v>
                </c:pt>
                <c:pt idx="647">
                  <c:v>47.105300000000547</c:v>
                </c:pt>
                <c:pt idx="648">
                  <c:v>47.10540000000055</c:v>
                </c:pt>
                <c:pt idx="649">
                  <c:v>47.105500000000553</c:v>
                </c:pt>
                <c:pt idx="650">
                  <c:v>47.105600000000557</c:v>
                </c:pt>
                <c:pt idx="651">
                  <c:v>47.10570000000056</c:v>
                </c:pt>
                <c:pt idx="652">
                  <c:v>47.105800000000563</c:v>
                </c:pt>
                <c:pt idx="653">
                  <c:v>47.105900000000567</c:v>
                </c:pt>
                <c:pt idx="654">
                  <c:v>47.10600000000057</c:v>
                </c:pt>
                <c:pt idx="655">
                  <c:v>47.106100000000573</c:v>
                </c:pt>
                <c:pt idx="656">
                  <c:v>47.106200000000577</c:v>
                </c:pt>
                <c:pt idx="657">
                  <c:v>47.10630000000058</c:v>
                </c:pt>
                <c:pt idx="658">
                  <c:v>47.106400000000583</c:v>
                </c:pt>
                <c:pt idx="659">
                  <c:v>47.106500000000587</c:v>
                </c:pt>
                <c:pt idx="660">
                  <c:v>47.10660000000059</c:v>
                </c:pt>
                <c:pt idx="661">
                  <c:v>47.106700000000593</c:v>
                </c:pt>
                <c:pt idx="662">
                  <c:v>47.106800000000597</c:v>
                </c:pt>
                <c:pt idx="663">
                  <c:v>47.1069000000006</c:v>
                </c:pt>
                <c:pt idx="664">
                  <c:v>47.107000000000603</c:v>
                </c:pt>
                <c:pt idx="665">
                  <c:v>47.107100000000607</c:v>
                </c:pt>
                <c:pt idx="666">
                  <c:v>47.10720000000061</c:v>
                </c:pt>
                <c:pt idx="667">
                  <c:v>47.107300000000613</c:v>
                </c:pt>
                <c:pt idx="668">
                  <c:v>47.107400000000617</c:v>
                </c:pt>
                <c:pt idx="669">
                  <c:v>47.10750000000062</c:v>
                </c:pt>
                <c:pt idx="670">
                  <c:v>47.107600000000623</c:v>
                </c:pt>
                <c:pt idx="671">
                  <c:v>47.107700000000627</c:v>
                </c:pt>
                <c:pt idx="672">
                  <c:v>47.10780000000063</c:v>
                </c:pt>
                <c:pt idx="673">
                  <c:v>47.107900000000633</c:v>
                </c:pt>
                <c:pt idx="674">
                  <c:v>47.108000000000636</c:v>
                </c:pt>
                <c:pt idx="675">
                  <c:v>47.10810000000064</c:v>
                </c:pt>
                <c:pt idx="676">
                  <c:v>47.108200000000643</c:v>
                </c:pt>
                <c:pt idx="677">
                  <c:v>47.108300000000646</c:v>
                </c:pt>
                <c:pt idx="678">
                  <c:v>47.10840000000065</c:v>
                </c:pt>
                <c:pt idx="679">
                  <c:v>47.108500000000653</c:v>
                </c:pt>
                <c:pt idx="680">
                  <c:v>47.108600000000656</c:v>
                </c:pt>
                <c:pt idx="681">
                  <c:v>47.10870000000066</c:v>
                </c:pt>
                <c:pt idx="682">
                  <c:v>47.108800000000663</c:v>
                </c:pt>
                <c:pt idx="683">
                  <c:v>47.108900000000666</c:v>
                </c:pt>
                <c:pt idx="684">
                  <c:v>47.10900000000067</c:v>
                </c:pt>
                <c:pt idx="685">
                  <c:v>47.109100000000673</c:v>
                </c:pt>
                <c:pt idx="686">
                  <c:v>47.109200000000676</c:v>
                </c:pt>
                <c:pt idx="687">
                  <c:v>47.10930000000068</c:v>
                </c:pt>
                <c:pt idx="688">
                  <c:v>47.109400000000683</c:v>
                </c:pt>
                <c:pt idx="689">
                  <c:v>47.109500000000686</c:v>
                </c:pt>
                <c:pt idx="690">
                  <c:v>47.10960000000069</c:v>
                </c:pt>
                <c:pt idx="691">
                  <c:v>47.109700000000693</c:v>
                </c:pt>
                <c:pt idx="692">
                  <c:v>47.109800000000696</c:v>
                </c:pt>
                <c:pt idx="693">
                  <c:v>47.1099000000007</c:v>
                </c:pt>
                <c:pt idx="694">
                  <c:v>47.110000000000703</c:v>
                </c:pt>
                <c:pt idx="695">
                  <c:v>47.110100000000706</c:v>
                </c:pt>
                <c:pt idx="696">
                  <c:v>47.11020000000071</c:v>
                </c:pt>
                <c:pt idx="697">
                  <c:v>47.110300000000713</c:v>
                </c:pt>
                <c:pt idx="698">
                  <c:v>47.110400000000716</c:v>
                </c:pt>
                <c:pt idx="699">
                  <c:v>47.110500000000719</c:v>
                </c:pt>
                <c:pt idx="700">
                  <c:v>47.110600000000723</c:v>
                </c:pt>
                <c:pt idx="701">
                  <c:v>47.110700000000726</c:v>
                </c:pt>
                <c:pt idx="702">
                  <c:v>47.110800000000729</c:v>
                </c:pt>
                <c:pt idx="703">
                  <c:v>47.110900000000733</c:v>
                </c:pt>
                <c:pt idx="704">
                  <c:v>47.111000000000736</c:v>
                </c:pt>
                <c:pt idx="705">
                  <c:v>47.111100000000739</c:v>
                </c:pt>
                <c:pt idx="706">
                  <c:v>47.111200000000743</c:v>
                </c:pt>
                <c:pt idx="707">
                  <c:v>47.111300000000746</c:v>
                </c:pt>
                <c:pt idx="708">
                  <c:v>47.111400000000749</c:v>
                </c:pt>
                <c:pt idx="709">
                  <c:v>47.111500000000753</c:v>
                </c:pt>
                <c:pt idx="710">
                  <c:v>47.111600000000756</c:v>
                </c:pt>
                <c:pt idx="711">
                  <c:v>47.111700000000759</c:v>
                </c:pt>
                <c:pt idx="712">
                  <c:v>47.111800000000763</c:v>
                </c:pt>
                <c:pt idx="713">
                  <c:v>47.111900000000766</c:v>
                </c:pt>
                <c:pt idx="714">
                  <c:v>47.112000000000769</c:v>
                </c:pt>
                <c:pt idx="715">
                  <c:v>47.112100000000773</c:v>
                </c:pt>
                <c:pt idx="716">
                  <c:v>47.112200000000776</c:v>
                </c:pt>
                <c:pt idx="717">
                  <c:v>47.112300000000779</c:v>
                </c:pt>
                <c:pt idx="718">
                  <c:v>47.112400000000783</c:v>
                </c:pt>
                <c:pt idx="719">
                  <c:v>47.112500000000786</c:v>
                </c:pt>
                <c:pt idx="720">
                  <c:v>47.112600000000789</c:v>
                </c:pt>
                <c:pt idx="721">
                  <c:v>47.112700000000792</c:v>
                </c:pt>
                <c:pt idx="722">
                  <c:v>47.112800000000796</c:v>
                </c:pt>
                <c:pt idx="723">
                  <c:v>47.112900000000799</c:v>
                </c:pt>
                <c:pt idx="724">
                  <c:v>47.113000000000802</c:v>
                </c:pt>
                <c:pt idx="725">
                  <c:v>47.113100000000806</c:v>
                </c:pt>
                <c:pt idx="726">
                  <c:v>47.113200000000809</c:v>
                </c:pt>
                <c:pt idx="727">
                  <c:v>47.113300000000812</c:v>
                </c:pt>
                <c:pt idx="728">
                  <c:v>47.113400000000816</c:v>
                </c:pt>
                <c:pt idx="729">
                  <c:v>47.113500000000819</c:v>
                </c:pt>
                <c:pt idx="730">
                  <c:v>47.113600000000822</c:v>
                </c:pt>
                <c:pt idx="731">
                  <c:v>47.113700000000826</c:v>
                </c:pt>
                <c:pt idx="732">
                  <c:v>47.113800000000829</c:v>
                </c:pt>
                <c:pt idx="733">
                  <c:v>47.113900000000832</c:v>
                </c:pt>
                <c:pt idx="734">
                  <c:v>47.114000000000836</c:v>
                </c:pt>
                <c:pt idx="735">
                  <c:v>47.114100000000839</c:v>
                </c:pt>
                <c:pt idx="736">
                  <c:v>47.114200000000842</c:v>
                </c:pt>
                <c:pt idx="737">
                  <c:v>47.114300000000846</c:v>
                </c:pt>
                <c:pt idx="738">
                  <c:v>47.114400000000849</c:v>
                </c:pt>
                <c:pt idx="739">
                  <c:v>47.114500000000852</c:v>
                </c:pt>
                <c:pt idx="740">
                  <c:v>47.114600000000856</c:v>
                </c:pt>
                <c:pt idx="741">
                  <c:v>47.114700000000859</c:v>
                </c:pt>
                <c:pt idx="742">
                  <c:v>47.114800000000862</c:v>
                </c:pt>
                <c:pt idx="743">
                  <c:v>47.114900000000866</c:v>
                </c:pt>
                <c:pt idx="744">
                  <c:v>47.115000000000869</c:v>
                </c:pt>
                <c:pt idx="745">
                  <c:v>47.115100000000872</c:v>
                </c:pt>
                <c:pt idx="746">
                  <c:v>47.115200000000875</c:v>
                </c:pt>
                <c:pt idx="747">
                  <c:v>47.115300000000879</c:v>
                </c:pt>
                <c:pt idx="748">
                  <c:v>47.115400000000882</c:v>
                </c:pt>
                <c:pt idx="749">
                  <c:v>47.115500000000885</c:v>
                </c:pt>
                <c:pt idx="750">
                  <c:v>47.115600000000889</c:v>
                </c:pt>
                <c:pt idx="751">
                  <c:v>47.115700000000892</c:v>
                </c:pt>
                <c:pt idx="752">
                  <c:v>47.115800000000895</c:v>
                </c:pt>
                <c:pt idx="753">
                  <c:v>47.115900000000899</c:v>
                </c:pt>
                <c:pt idx="754">
                  <c:v>47.116000000000902</c:v>
                </c:pt>
                <c:pt idx="755">
                  <c:v>47.116100000000905</c:v>
                </c:pt>
                <c:pt idx="756">
                  <c:v>47.116200000000909</c:v>
                </c:pt>
                <c:pt idx="757">
                  <c:v>47.116300000000912</c:v>
                </c:pt>
                <c:pt idx="758">
                  <c:v>47.116400000000915</c:v>
                </c:pt>
                <c:pt idx="759">
                  <c:v>47.116500000000919</c:v>
                </c:pt>
                <c:pt idx="760">
                  <c:v>47.116600000000922</c:v>
                </c:pt>
                <c:pt idx="761">
                  <c:v>47.116700000000925</c:v>
                </c:pt>
                <c:pt idx="762">
                  <c:v>47.116800000000929</c:v>
                </c:pt>
                <c:pt idx="763">
                  <c:v>47.116900000000932</c:v>
                </c:pt>
                <c:pt idx="764">
                  <c:v>47.117000000000935</c:v>
                </c:pt>
                <c:pt idx="765">
                  <c:v>47.117100000000939</c:v>
                </c:pt>
                <c:pt idx="766">
                  <c:v>47.117200000000942</c:v>
                </c:pt>
                <c:pt idx="767">
                  <c:v>47.117300000000945</c:v>
                </c:pt>
                <c:pt idx="768">
                  <c:v>47.117400000000949</c:v>
                </c:pt>
                <c:pt idx="769">
                  <c:v>47.117500000000952</c:v>
                </c:pt>
                <c:pt idx="770">
                  <c:v>47.117600000000955</c:v>
                </c:pt>
                <c:pt idx="771">
                  <c:v>47.117700000000958</c:v>
                </c:pt>
                <c:pt idx="772">
                  <c:v>47.117800000000962</c:v>
                </c:pt>
                <c:pt idx="773">
                  <c:v>47.117900000000965</c:v>
                </c:pt>
                <c:pt idx="774">
                  <c:v>47.118000000000968</c:v>
                </c:pt>
                <c:pt idx="775">
                  <c:v>47.118100000000972</c:v>
                </c:pt>
                <c:pt idx="776">
                  <c:v>47.118200000000975</c:v>
                </c:pt>
                <c:pt idx="777">
                  <c:v>47.118300000000978</c:v>
                </c:pt>
                <c:pt idx="778">
                  <c:v>47.118400000000982</c:v>
                </c:pt>
                <c:pt idx="779">
                  <c:v>47.118500000000985</c:v>
                </c:pt>
                <c:pt idx="780">
                  <c:v>47.118600000000988</c:v>
                </c:pt>
                <c:pt idx="781">
                  <c:v>47.118700000000992</c:v>
                </c:pt>
                <c:pt idx="782">
                  <c:v>47.118800000000995</c:v>
                </c:pt>
                <c:pt idx="783">
                  <c:v>47.118900000000998</c:v>
                </c:pt>
                <c:pt idx="784">
                  <c:v>47.119000000001002</c:v>
                </c:pt>
                <c:pt idx="785">
                  <c:v>47.119100000001005</c:v>
                </c:pt>
                <c:pt idx="786">
                  <c:v>47.119200000001008</c:v>
                </c:pt>
                <c:pt idx="787">
                  <c:v>47.119300000001012</c:v>
                </c:pt>
                <c:pt idx="788">
                  <c:v>47.119400000001015</c:v>
                </c:pt>
                <c:pt idx="789">
                  <c:v>47.119500000001018</c:v>
                </c:pt>
                <c:pt idx="790">
                  <c:v>47.119600000001022</c:v>
                </c:pt>
                <c:pt idx="791">
                  <c:v>47.119700000001025</c:v>
                </c:pt>
                <c:pt idx="792">
                  <c:v>47.119800000001028</c:v>
                </c:pt>
                <c:pt idx="793">
                  <c:v>47.119900000001032</c:v>
                </c:pt>
                <c:pt idx="794">
                  <c:v>47.120000000001035</c:v>
                </c:pt>
                <c:pt idx="795">
                  <c:v>47.120100000001038</c:v>
                </c:pt>
                <c:pt idx="796">
                  <c:v>47.120200000001041</c:v>
                </c:pt>
                <c:pt idx="797">
                  <c:v>47.120300000001045</c:v>
                </c:pt>
                <c:pt idx="798">
                  <c:v>47.120400000001048</c:v>
                </c:pt>
                <c:pt idx="799">
                  <c:v>47.120500000001051</c:v>
                </c:pt>
                <c:pt idx="800">
                  <c:v>47.120600000001055</c:v>
                </c:pt>
                <c:pt idx="801">
                  <c:v>47.120700000001058</c:v>
                </c:pt>
                <c:pt idx="802">
                  <c:v>47.120800000001061</c:v>
                </c:pt>
                <c:pt idx="803">
                  <c:v>47.120900000001065</c:v>
                </c:pt>
                <c:pt idx="804">
                  <c:v>47.121000000001068</c:v>
                </c:pt>
                <c:pt idx="805">
                  <c:v>47.121100000001071</c:v>
                </c:pt>
                <c:pt idx="806">
                  <c:v>47.121200000001075</c:v>
                </c:pt>
                <c:pt idx="807">
                  <c:v>47.121300000001078</c:v>
                </c:pt>
                <c:pt idx="808">
                  <c:v>47.121400000001081</c:v>
                </c:pt>
                <c:pt idx="809">
                  <c:v>47.121500000001085</c:v>
                </c:pt>
                <c:pt idx="810">
                  <c:v>47.121600000001088</c:v>
                </c:pt>
                <c:pt idx="811">
                  <c:v>47.121700000001091</c:v>
                </c:pt>
                <c:pt idx="812">
                  <c:v>47.121800000001095</c:v>
                </c:pt>
                <c:pt idx="813">
                  <c:v>47.121900000001098</c:v>
                </c:pt>
                <c:pt idx="814">
                  <c:v>47.122000000001101</c:v>
                </c:pt>
                <c:pt idx="815">
                  <c:v>47.122100000001105</c:v>
                </c:pt>
                <c:pt idx="816">
                  <c:v>47.122200000001108</c:v>
                </c:pt>
                <c:pt idx="817">
                  <c:v>47.122300000001111</c:v>
                </c:pt>
                <c:pt idx="818">
                  <c:v>47.122400000001115</c:v>
                </c:pt>
                <c:pt idx="819">
                  <c:v>47.122500000001118</c:v>
                </c:pt>
                <c:pt idx="820">
                  <c:v>47.122600000001121</c:v>
                </c:pt>
                <c:pt idx="821">
                  <c:v>47.122700000001124</c:v>
                </c:pt>
                <c:pt idx="822">
                  <c:v>47.122800000001128</c:v>
                </c:pt>
                <c:pt idx="823">
                  <c:v>47.122900000001131</c:v>
                </c:pt>
                <c:pt idx="824">
                  <c:v>47.123000000001134</c:v>
                </c:pt>
                <c:pt idx="825">
                  <c:v>47.123100000001138</c:v>
                </c:pt>
                <c:pt idx="826">
                  <c:v>47.123200000001141</c:v>
                </c:pt>
                <c:pt idx="827">
                  <c:v>47.123300000001144</c:v>
                </c:pt>
                <c:pt idx="828">
                  <c:v>47.123400000001148</c:v>
                </c:pt>
                <c:pt idx="829">
                  <c:v>47.123500000001151</c:v>
                </c:pt>
                <c:pt idx="830">
                  <c:v>47.123600000001154</c:v>
                </c:pt>
                <c:pt idx="831">
                  <c:v>47.123700000001158</c:v>
                </c:pt>
                <c:pt idx="832">
                  <c:v>47.123800000001161</c:v>
                </c:pt>
                <c:pt idx="833">
                  <c:v>47.123900000001164</c:v>
                </c:pt>
                <c:pt idx="834">
                  <c:v>47.124000000001168</c:v>
                </c:pt>
                <c:pt idx="835">
                  <c:v>47.124100000001171</c:v>
                </c:pt>
                <c:pt idx="836">
                  <c:v>47.124200000001174</c:v>
                </c:pt>
                <c:pt idx="837">
                  <c:v>47.124300000001178</c:v>
                </c:pt>
                <c:pt idx="838">
                  <c:v>47.124400000001181</c:v>
                </c:pt>
                <c:pt idx="839">
                  <c:v>47.124500000001184</c:v>
                </c:pt>
                <c:pt idx="840">
                  <c:v>47.124600000001188</c:v>
                </c:pt>
                <c:pt idx="841">
                  <c:v>47.124700000001191</c:v>
                </c:pt>
                <c:pt idx="842">
                  <c:v>47.124800000001194</c:v>
                </c:pt>
                <c:pt idx="843">
                  <c:v>47.124900000001197</c:v>
                </c:pt>
                <c:pt idx="844">
                  <c:v>47.125000000001201</c:v>
                </c:pt>
                <c:pt idx="845">
                  <c:v>47.125100000001204</c:v>
                </c:pt>
                <c:pt idx="846">
                  <c:v>47.125200000001207</c:v>
                </c:pt>
                <c:pt idx="847">
                  <c:v>47.125300000001211</c:v>
                </c:pt>
                <c:pt idx="848">
                  <c:v>47.125400000001214</c:v>
                </c:pt>
                <c:pt idx="849">
                  <c:v>47.125500000001217</c:v>
                </c:pt>
                <c:pt idx="850">
                  <c:v>47.125600000001221</c:v>
                </c:pt>
                <c:pt idx="851">
                  <c:v>47.125700000001224</c:v>
                </c:pt>
                <c:pt idx="852">
                  <c:v>47.125800000001227</c:v>
                </c:pt>
                <c:pt idx="853">
                  <c:v>47.125900000001231</c:v>
                </c:pt>
                <c:pt idx="854">
                  <c:v>47.126000000001234</c:v>
                </c:pt>
                <c:pt idx="855">
                  <c:v>47.126100000001237</c:v>
                </c:pt>
                <c:pt idx="856">
                  <c:v>47.126200000001241</c:v>
                </c:pt>
                <c:pt idx="857">
                  <c:v>47.126300000001244</c:v>
                </c:pt>
                <c:pt idx="858">
                  <c:v>47.126400000001247</c:v>
                </c:pt>
                <c:pt idx="859">
                  <c:v>47.126500000001251</c:v>
                </c:pt>
                <c:pt idx="860">
                  <c:v>47.126600000001254</c:v>
                </c:pt>
                <c:pt idx="861">
                  <c:v>47.126700000001257</c:v>
                </c:pt>
                <c:pt idx="862">
                  <c:v>47.126800000001261</c:v>
                </c:pt>
                <c:pt idx="863">
                  <c:v>47.126900000001264</c:v>
                </c:pt>
                <c:pt idx="864">
                  <c:v>47.127000000001267</c:v>
                </c:pt>
                <c:pt idx="865">
                  <c:v>47.127100000001271</c:v>
                </c:pt>
                <c:pt idx="866">
                  <c:v>47.127200000001274</c:v>
                </c:pt>
                <c:pt idx="867">
                  <c:v>47.127300000001277</c:v>
                </c:pt>
                <c:pt idx="868">
                  <c:v>47.12740000000128</c:v>
                </c:pt>
                <c:pt idx="869">
                  <c:v>47.127500000001284</c:v>
                </c:pt>
                <c:pt idx="870">
                  <c:v>47.127600000001287</c:v>
                </c:pt>
                <c:pt idx="871">
                  <c:v>47.12770000000129</c:v>
                </c:pt>
                <c:pt idx="872">
                  <c:v>47.127800000001294</c:v>
                </c:pt>
                <c:pt idx="873">
                  <c:v>47.127900000001297</c:v>
                </c:pt>
                <c:pt idx="874">
                  <c:v>47.1280000000013</c:v>
                </c:pt>
                <c:pt idx="875">
                  <c:v>47.128100000001304</c:v>
                </c:pt>
                <c:pt idx="876">
                  <c:v>47.128200000001307</c:v>
                </c:pt>
                <c:pt idx="877">
                  <c:v>47.12830000000131</c:v>
                </c:pt>
                <c:pt idx="878">
                  <c:v>47.128400000001314</c:v>
                </c:pt>
                <c:pt idx="879">
                  <c:v>47.128500000001317</c:v>
                </c:pt>
                <c:pt idx="880">
                  <c:v>47.12860000000132</c:v>
                </c:pt>
                <c:pt idx="881">
                  <c:v>47.128700000001324</c:v>
                </c:pt>
                <c:pt idx="882">
                  <c:v>47.128800000001327</c:v>
                </c:pt>
                <c:pt idx="883">
                  <c:v>47.12890000000133</c:v>
                </c:pt>
                <c:pt idx="884">
                  <c:v>47.129000000001334</c:v>
                </c:pt>
                <c:pt idx="885">
                  <c:v>47.129100000001337</c:v>
                </c:pt>
                <c:pt idx="886">
                  <c:v>47.12920000000134</c:v>
                </c:pt>
                <c:pt idx="887">
                  <c:v>47.129300000001344</c:v>
                </c:pt>
                <c:pt idx="888">
                  <c:v>47.129400000001347</c:v>
                </c:pt>
                <c:pt idx="889">
                  <c:v>47.12950000000135</c:v>
                </c:pt>
                <c:pt idx="890">
                  <c:v>47.129600000001354</c:v>
                </c:pt>
                <c:pt idx="891">
                  <c:v>47.129700000001357</c:v>
                </c:pt>
                <c:pt idx="892">
                  <c:v>47.12980000000136</c:v>
                </c:pt>
                <c:pt idx="893">
                  <c:v>47.129900000001363</c:v>
                </c:pt>
                <c:pt idx="894">
                  <c:v>47.130000000001367</c:v>
                </c:pt>
                <c:pt idx="895">
                  <c:v>47.13010000000137</c:v>
                </c:pt>
                <c:pt idx="896">
                  <c:v>47.130200000001373</c:v>
                </c:pt>
                <c:pt idx="897">
                  <c:v>47.130300000001377</c:v>
                </c:pt>
                <c:pt idx="898">
                  <c:v>47.13040000000138</c:v>
                </c:pt>
                <c:pt idx="899">
                  <c:v>47.130500000001383</c:v>
                </c:pt>
                <c:pt idx="900">
                  <c:v>47.130600000001387</c:v>
                </c:pt>
                <c:pt idx="901">
                  <c:v>47.13070000000139</c:v>
                </c:pt>
                <c:pt idx="902">
                  <c:v>47.130800000001393</c:v>
                </c:pt>
                <c:pt idx="903">
                  <c:v>47.130900000001397</c:v>
                </c:pt>
                <c:pt idx="904">
                  <c:v>47.1310000000014</c:v>
                </c:pt>
                <c:pt idx="905">
                  <c:v>47.131100000001403</c:v>
                </c:pt>
                <c:pt idx="906">
                  <c:v>47.131200000001407</c:v>
                </c:pt>
                <c:pt idx="907">
                  <c:v>47.13130000000141</c:v>
                </c:pt>
                <c:pt idx="908">
                  <c:v>47.131400000001413</c:v>
                </c:pt>
                <c:pt idx="909">
                  <c:v>47.131500000001417</c:v>
                </c:pt>
                <c:pt idx="910">
                  <c:v>47.13160000000142</c:v>
                </c:pt>
                <c:pt idx="911">
                  <c:v>47.131700000001423</c:v>
                </c:pt>
                <c:pt idx="912">
                  <c:v>47.131800000001427</c:v>
                </c:pt>
                <c:pt idx="913">
                  <c:v>47.13190000000143</c:v>
                </c:pt>
                <c:pt idx="914">
                  <c:v>47.132000000001433</c:v>
                </c:pt>
                <c:pt idx="915">
                  <c:v>47.132100000001437</c:v>
                </c:pt>
                <c:pt idx="916">
                  <c:v>47.13220000000144</c:v>
                </c:pt>
                <c:pt idx="917">
                  <c:v>47.132300000001443</c:v>
                </c:pt>
                <c:pt idx="918">
                  <c:v>47.132400000001446</c:v>
                </c:pt>
                <c:pt idx="919">
                  <c:v>47.13250000000145</c:v>
                </c:pt>
                <c:pt idx="920">
                  <c:v>47.132600000001453</c:v>
                </c:pt>
                <c:pt idx="921">
                  <c:v>47.132700000001456</c:v>
                </c:pt>
                <c:pt idx="922">
                  <c:v>47.13280000000146</c:v>
                </c:pt>
                <c:pt idx="923">
                  <c:v>47.132900000001463</c:v>
                </c:pt>
                <c:pt idx="924">
                  <c:v>47.133000000001466</c:v>
                </c:pt>
                <c:pt idx="925">
                  <c:v>47.13310000000147</c:v>
                </c:pt>
                <c:pt idx="926">
                  <c:v>47.133200000001473</c:v>
                </c:pt>
                <c:pt idx="927">
                  <c:v>47.133300000001476</c:v>
                </c:pt>
                <c:pt idx="928">
                  <c:v>47.13340000000148</c:v>
                </c:pt>
                <c:pt idx="929">
                  <c:v>47.133500000001483</c:v>
                </c:pt>
                <c:pt idx="930">
                  <c:v>47.133600000001486</c:v>
                </c:pt>
                <c:pt idx="931">
                  <c:v>47.13370000000149</c:v>
                </c:pt>
                <c:pt idx="932">
                  <c:v>47.133800000001493</c:v>
                </c:pt>
                <c:pt idx="933">
                  <c:v>47.133900000001496</c:v>
                </c:pt>
                <c:pt idx="934">
                  <c:v>47.1340000000015</c:v>
                </c:pt>
                <c:pt idx="935">
                  <c:v>47.134100000001503</c:v>
                </c:pt>
                <c:pt idx="936">
                  <c:v>47.134200000001506</c:v>
                </c:pt>
                <c:pt idx="937">
                  <c:v>47.13430000000151</c:v>
                </c:pt>
                <c:pt idx="938">
                  <c:v>47.134400000001513</c:v>
                </c:pt>
                <c:pt idx="939">
                  <c:v>47.134500000001516</c:v>
                </c:pt>
                <c:pt idx="940">
                  <c:v>47.13460000000152</c:v>
                </c:pt>
                <c:pt idx="941">
                  <c:v>47.134700000001523</c:v>
                </c:pt>
                <c:pt idx="942">
                  <c:v>47.134800000001526</c:v>
                </c:pt>
                <c:pt idx="943">
                  <c:v>47.134900000001529</c:v>
                </c:pt>
                <c:pt idx="944">
                  <c:v>47.135000000001533</c:v>
                </c:pt>
                <c:pt idx="945">
                  <c:v>47.135100000001536</c:v>
                </c:pt>
                <c:pt idx="946">
                  <c:v>47.135200000001539</c:v>
                </c:pt>
                <c:pt idx="947">
                  <c:v>47.135300000001543</c:v>
                </c:pt>
                <c:pt idx="948">
                  <c:v>47.135400000001546</c:v>
                </c:pt>
                <c:pt idx="949">
                  <c:v>47.135500000001549</c:v>
                </c:pt>
                <c:pt idx="950">
                  <c:v>47.135600000001553</c:v>
                </c:pt>
                <c:pt idx="951">
                  <c:v>47.135700000001556</c:v>
                </c:pt>
                <c:pt idx="952">
                  <c:v>47.135800000001559</c:v>
                </c:pt>
                <c:pt idx="953">
                  <c:v>47.135900000001563</c:v>
                </c:pt>
                <c:pt idx="954">
                  <c:v>47.136000000001566</c:v>
                </c:pt>
                <c:pt idx="955">
                  <c:v>47.136100000001569</c:v>
                </c:pt>
                <c:pt idx="956">
                  <c:v>47.136200000001573</c:v>
                </c:pt>
                <c:pt idx="957">
                  <c:v>47.136300000001576</c:v>
                </c:pt>
                <c:pt idx="958">
                  <c:v>47.136400000001579</c:v>
                </c:pt>
                <c:pt idx="959">
                  <c:v>47.136500000001583</c:v>
                </c:pt>
                <c:pt idx="960">
                  <c:v>47.136600000001586</c:v>
                </c:pt>
                <c:pt idx="961">
                  <c:v>47.136700000001589</c:v>
                </c:pt>
                <c:pt idx="962">
                  <c:v>47.136800000001593</c:v>
                </c:pt>
                <c:pt idx="963">
                  <c:v>47.136900000001596</c:v>
                </c:pt>
                <c:pt idx="964">
                  <c:v>47.137000000001599</c:v>
                </c:pt>
                <c:pt idx="965">
                  <c:v>47.137100000001602</c:v>
                </c:pt>
                <c:pt idx="966">
                  <c:v>47.137200000001606</c:v>
                </c:pt>
                <c:pt idx="967">
                  <c:v>47.137300000001609</c:v>
                </c:pt>
                <c:pt idx="968">
                  <c:v>47.137400000001612</c:v>
                </c:pt>
                <c:pt idx="969">
                  <c:v>47.137500000001616</c:v>
                </c:pt>
                <c:pt idx="970">
                  <c:v>47.137600000001619</c:v>
                </c:pt>
                <c:pt idx="971">
                  <c:v>47.137700000001622</c:v>
                </c:pt>
                <c:pt idx="972">
                  <c:v>47.137800000001626</c:v>
                </c:pt>
                <c:pt idx="973">
                  <c:v>47.137900000001629</c:v>
                </c:pt>
                <c:pt idx="974">
                  <c:v>47.138000000001632</c:v>
                </c:pt>
                <c:pt idx="975">
                  <c:v>47.138100000001636</c:v>
                </c:pt>
                <c:pt idx="976">
                  <c:v>47.138200000001639</c:v>
                </c:pt>
                <c:pt idx="977">
                  <c:v>47.138300000001642</c:v>
                </c:pt>
                <c:pt idx="978">
                  <c:v>47.138400000001646</c:v>
                </c:pt>
                <c:pt idx="979">
                  <c:v>47.138500000001649</c:v>
                </c:pt>
                <c:pt idx="980">
                  <c:v>47.138600000001652</c:v>
                </c:pt>
                <c:pt idx="981">
                  <c:v>47.138700000001656</c:v>
                </c:pt>
                <c:pt idx="982">
                  <c:v>47.138800000001659</c:v>
                </c:pt>
                <c:pt idx="983">
                  <c:v>47.138900000001662</c:v>
                </c:pt>
                <c:pt idx="984">
                  <c:v>47.139000000001666</c:v>
                </c:pt>
                <c:pt idx="985">
                  <c:v>47.139100000001669</c:v>
                </c:pt>
                <c:pt idx="986">
                  <c:v>47.139200000001672</c:v>
                </c:pt>
                <c:pt idx="987">
                  <c:v>47.139300000001676</c:v>
                </c:pt>
                <c:pt idx="988">
                  <c:v>47.139400000001679</c:v>
                </c:pt>
                <c:pt idx="989">
                  <c:v>47.139500000001682</c:v>
                </c:pt>
                <c:pt idx="990">
                  <c:v>47.139600000001685</c:v>
                </c:pt>
                <c:pt idx="991">
                  <c:v>47.139700000001689</c:v>
                </c:pt>
                <c:pt idx="992">
                  <c:v>47.139800000001692</c:v>
                </c:pt>
                <c:pt idx="993">
                  <c:v>47.139900000001695</c:v>
                </c:pt>
                <c:pt idx="994">
                  <c:v>47.140000000001699</c:v>
                </c:pt>
                <c:pt idx="995">
                  <c:v>47.140100000001702</c:v>
                </c:pt>
                <c:pt idx="996">
                  <c:v>47.140200000001705</c:v>
                </c:pt>
                <c:pt idx="997">
                  <c:v>47.140300000001709</c:v>
                </c:pt>
                <c:pt idx="998">
                  <c:v>47.140400000001712</c:v>
                </c:pt>
                <c:pt idx="999">
                  <c:v>47.140500000001715</c:v>
                </c:pt>
                <c:pt idx="1000">
                  <c:v>47.140600000001719</c:v>
                </c:pt>
              </c:numCache>
            </c:numRef>
          </c:xVal>
          <c:yVal>
            <c:numRef>
              <c:f>Calculs!$I$4:$I$1004</c:f>
              <c:numCache>
                <c:formatCode>0.00</c:formatCode>
                <c:ptCount val="1001"/>
                <c:pt idx="0">
                  <c:v>194.43</c:v>
                </c:pt>
                <c:pt idx="1">
                  <c:v>194.40540275556543</c:v>
                </c:pt>
                <c:pt idx="2">
                  <c:v>194.9600228324251</c:v>
                </c:pt>
                <c:pt idx="3">
                  <c:v>195.7571913528781</c:v>
                </c:pt>
                <c:pt idx="4">
                  <c:v>196.46034095560526</c:v>
                </c:pt>
                <c:pt idx="5">
                  <c:v>197.11396047164726</c:v>
                </c:pt>
                <c:pt idx="6">
                  <c:v>197.76253048357242</c:v>
                </c:pt>
                <c:pt idx="7">
                  <c:v>198.40605149816568</c:v>
                </c:pt>
                <c:pt idx="8">
                  <c:v>199.0445241646205</c:v>
                </c:pt>
                <c:pt idx="9">
                  <c:v>199.67794927345835</c:v>
                </c:pt>
                <c:pt idx="10">
                  <c:v>200.30632775544123</c:v>
                </c:pt>
                <c:pt idx="11">
                  <c:v>200.92966068047696</c:v>
                </c:pt>
                <c:pt idx="12">
                  <c:v>201.54794925651811</c:v>
                </c:pt>
                <c:pt idx="13">
                  <c:v>202.16119482845389</c:v>
                </c:pt>
                <c:pt idx="14">
                  <c:v>202.76939887699623</c:v>
                </c:pt>
                <c:pt idx="15">
                  <c:v>203.37256301755943</c:v>
                </c:pt>
                <c:pt idx="16">
                  <c:v>203.97068899913396</c:v>
                </c:pt>
                <c:pt idx="17">
                  <c:v>204.56377870315501</c:v>
                </c:pt>
                <c:pt idx="18">
                  <c:v>205.15183414236498</c:v>
                </c:pt>
                <c:pt idx="19">
                  <c:v>205.73485745967136</c:v>
                </c:pt>
                <c:pt idx="20">
                  <c:v>206.31285092699932</c:v>
                </c:pt>
                <c:pt idx="21">
                  <c:v>206.88581694413938</c:v>
                </c:pt>
                <c:pt idx="22">
                  <c:v>207.45375803759094</c:v>
                </c:pt>
                <c:pt idx="23">
                  <c:v>208.01667685940109</c:v>
                </c:pt>
                <c:pt idx="24">
                  <c:v>208.57457618599958</c:v>
                </c:pt>
                <c:pt idx="25">
                  <c:v>209.12745891702949</c:v>
                </c:pt>
                <c:pt idx="26">
                  <c:v>209.67532807417444</c:v>
                </c:pt>
                <c:pt idx="27">
                  <c:v>210.21818679998245</c:v>
                </c:pt>
                <c:pt idx="28">
                  <c:v>210.75603835668591</c:v>
                </c:pt>
                <c:pt idx="29">
                  <c:v>211.2888861250191</c:v>
                </c:pt>
                <c:pt idx="30">
                  <c:v>211.81673360303242</c:v>
                </c:pt>
                <c:pt idx="31">
                  <c:v>212.33958440490397</c:v>
                </c:pt>
                <c:pt idx="32">
                  <c:v>212.85744225974869</c:v>
                </c:pt>
                <c:pt idx="33">
                  <c:v>213.3703110104251</c:v>
                </c:pt>
                <c:pt idx="34">
                  <c:v>213.87819461234005</c:v>
                </c:pt>
                <c:pt idx="35">
                  <c:v>214.38109713225145</c:v>
                </c:pt>
                <c:pt idx="36">
                  <c:v>214.87902274706937</c:v>
                </c:pt>
                <c:pt idx="37">
                  <c:v>215.37197574265531</c:v>
                </c:pt>
                <c:pt idx="38">
                  <c:v>215.85996051262055</c:v>
                </c:pt>
                <c:pt idx="39">
                  <c:v>216.3429815571229</c:v>
                </c:pt>
                <c:pt idx="40">
                  <c:v>216.82104348166288</c:v>
                </c:pt>
                <c:pt idx="41">
                  <c:v>217.29415099587868</c:v>
                </c:pt>
                <c:pt idx="42">
                  <c:v>217.76230891234079</c:v>
                </c:pt>
                <c:pt idx="43">
                  <c:v>218.22552214534605</c:v>
                </c:pt>
                <c:pt idx="44">
                  <c:v>218.68379570971146</c:v>
                </c:pt>
                <c:pt idx="45">
                  <c:v>219.13713471956797</c:v>
                </c:pt>
                <c:pt idx="46">
                  <c:v>219.58554438715407</c:v>
                </c:pt>
                <c:pt idx="47">
                  <c:v>220.02903002161003</c:v>
                </c:pt>
                <c:pt idx="48">
                  <c:v>220.46759702777209</c:v>
                </c:pt>
                <c:pt idx="49">
                  <c:v>220.9012509049677</c:v>
                </c:pt>
                <c:pt idx="50">
                  <c:v>221.32999724581106</c:v>
                </c:pt>
                <c:pt idx="51">
                  <c:v>221.75384173499998</c:v>
                </c:pt>
                <c:pt idx="52">
                  <c:v>222.17279014811328</c:v>
                </c:pt>
                <c:pt idx="53">
                  <c:v>222.58684835040995</c:v>
                </c:pt>
                <c:pt idx="54">
                  <c:v>222.9960222956293</c:v>
                </c:pt>
                <c:pt idx="55">
                  <c:v>223.40031802479277</c:v>
                </c:pt>
                <c:pt idx="56">
                  <c:v>223.79974166500747</c:v>
                </c:pt>
                <c:pt idx="57">
                  <c:v>224.19429942827134</c:v>
                </c:pt>
                <c:pt idx="58">
                  <c:v>224.58399761028056</c:v>
                </c:pt>
                <c:pt idx="59">
                  <c:v>224.96884258923876</c:v>
                </c:pt>
                <c:pt idx="60">
                  <c:v>225.34884082466868</c:v>
                </c:pt>
                <c:pt idx="61">
                  <c:v>225.72399885622636</c:v>
                </c:pt>
                <c:pt idx="62">
                  <c:v>226.09432330251727</c:v>
                </c:pt>
                <c:pt idx="63">
                  <c:v>226.45591697987115</c:v>
                </c:pt>
                <c:pt idx="64">
                  <c:v>226.80488753231069</c:v>
                </c:pt>
                <c:pt idx="65">
                  <c:v>227.14125459095393</c:v>
                </c:pt>
                <c:pt idx="66">
                  <c:v>227.46503812683179</c:v>
                </c:pt>
                <c:pt idx="67">
                  <c:v>227.77267789670793</c:v>
                </c:pt>
                <c:pt idx="68">
                  <c:v>228.06061889013202</c:v>
                </c:pt>
                <c:pt idx="69">
                  <c:v>228.32252491248303</c:v>
                </c:pt>
                <c:pt idx="70">
                  <c:v>228.55207006483306</c:v>
                </c:pt>
                <c:pt idx="71">
                  <c:v>228.74931353650035</c:v>
                </c:pt>
                <c:pt idx="72">
                  <c:v>228.91431624705484</c:v>
                </c:pt>
                <c:pt idx="73">
                  <c:v>229.04714080033304</c:v>
                </c:pt>
                <c:pt idx="74">
                  <c:v>229.14785143850628</c:v>
                </c:pt>
                <c:pt idx="75">
                  <c:v>229.21651399622368</c:v>
                </c:pt>
                <c:pt idx="76">
                  <c:v>229.25319585484942</c:v>
                </c:pt>
                <c:pt idx="77">
                  <c:v>229.2579658968146</c:v>
                </c:pt>
                <c:pt idx="78">
                  <c:v>229.23089446010314</c:v>
                </c:pt>
                <c:pt idx="79">
                  <c:v>229.17205329288933</c:v>
                </c:pt>
                <c:pt idx="80">
                  <c:v>229.08151550834643</c:v>
                </c:pt>
                <c:pt idx="81">
                  <c:v>228.9669401762803</c:v>
                </c:pt>
                <c:pt idx="82">
                  <c:v>228.83597006627556</c:v>
                </c:pt>
                <c:pt idx="83">
                  <c:v>228.68864429673241</c:v>
                </c:pt>
                <c:pt idx="84">
                  <c:v>228.52500222492995</c:v>
                </c:pt>
                <c:pt idx="85">
                  <c:v>228.34508343556371</c:v>
                </c:pt>
                <c:pt idx="86">
                  <c:v>228.14892772938049</c:v>
                </c:pt>
                <c:pt idx="87">
                  <c:v>227.93657511191233</c:v>
                </c:pt>
                <c:pt idx="88">
                  <c:v>227.70806578231065</c:v>
                </c:pt>
                <c:pt idx="89">
                  <c:v>227.46583728778165</c:v>
                </c:pt>
                <c:pt idx="90">
                  <c:v>227.21232127916315</c:v>
                </c:pt>
                <c:pt idx="91">
                  <c:v>226.94754589823427</c:v>
                </c:pt>
                <c:pt idx="92">
                  <c:v>226.67153931088279</c:v>
                </c:pt>
                <c:pt idx="93">
                  <c:v>226.38492914185227</c:v>
                </c:pt>
                <c:pt idx="94">
                  <c:v>226.08834146998382</c:v>
                </c:pt>
                <c:pt idx="95">
                  <c:v>225.78180131020449</c:v>
                </c:pt>
                <c:pt idx="96">
                  <c:v>225.46533366383719</c:v>
                </c:pt>
                <c:pt idx="97">
                  <c:v>225.14136164818771</c:v>
                </c:pt>
                <c:pt idx="98">
                  <c:v>224.81230197695783</c:v>
                </c:pt>
                <c:pt idx="99">
                  <c:v>224.47816665940138</c:v>
                </c:pt>
                <c:pt idx="100">
                  <c:v>224.13896765604724</c:v>
                </c:pt>
                <c:pt idx="101">
                  <c:v>223.7947168780079</c:v>
                </c:pt>
                <c:pt idx="102">
                  <c:v>223.44542618629833</c:v>
                </c:pt>
                <c:pt idx="103">
                  <c:v>223.09110739116477</c:v>
                </c:pt>
                <c:pt idx="104">
                  <c:v>222.73177225142379</c:v>
                </c:pt>
                <c:pt idx="105">
                  <c:v>222.36743247381082</c:v>
                </c:pt>
                <c:pt idx="106">
                  <c:v>221.99809971233904</c:v>
                </c:pt>
                <c:pt idx="107">
                  <c:v>221.62378556766745</c:v>
                </c:pt>
                <c:pt idx="108">
                  <c:v>221.24450158647875</c:v>
                </c:pt>
                <c:pt idx="109">
                  <c:v>220.86325741260839</c:v>
                </c:pt>
                <c:pt idx="110">
                  <c:v>220.48305446222884</c:v>
                </c:pt>
                <c:pt idx="111">
                  <c:v>220.10388783792072</c:v>
                </c:pt>
                <c:pt idx="112">
                  <c:v>219.72575267301542</c:v>
                </c:pt>
                <c:pt idx="113">
                  <c:v>219.34864413135244</c:v>
                </c:pt>
                <c:pt idx="114">
                  <c:v>218.97255740703872</c:v>
                </c:pt>
                <c:pt idx="115">
                  <c:v>218.59748772421077</c:v>
                </c:pt>
                <c:pt idx="116">
                  <c:v>218.2234303367986</c:v>
                </c:pt>
                <c:pt idx="117">
                  <c:v>217.85038052829208</c:v>
                </c:pt>
                <c:pt idx="118">
                  <c:v>217.47833361150936</c:v>
                </c:pt>
                <c:pt idx="119">
                  <c:v>217.10728492836776</c:v>
                </c:pt>
                <c:pt idx="120">
                  <c:v>216.73722984965653</c:v>
                </c:pt>
                <c:pt idx="121">
                  <c:v>216.36816377481176</c:v>
                </c:pt>
                <c:pt idx="122">
                  <c:v>216.00008213169366</c:v>
                </c:pt>
                <c:pt idx="123">
                  <c:v>215.63298037636568</c:v>
                </c:pt>
                <c:pt idx="124">
                  <c:v>215.26685399287572</c:v>
                </c:pt>
                <c:pt idx="125">
                  <c:v>214.90169849303942</c:v>
                </c:pt>
                <c:pt idx="126">
                  <c:v>214.53750941622553</c:v>
                </c:pt>
                <c:pt idx="127">
                  <c:v>214.17428232914321</c:v>
                </c:pt>
                <c:pt idx="128">
                  <c:v>213.81201282563131</c:v>
                </c:pt>
                <c:pt idx="129">
                  <c:v>213.45069652644966</c:v>
                </c:pt>
                <c:pt idx="130">
                  <c:v>213.09032907907203</c:v>
                </c:pt>
                <c:pt idx="131">
                  <c:v>212.73090615748157</c:v>
                </c:pt>
                <c:pt idx="132">
                  <c:v>212.37242346196743</c:v>
                </c:pt>
                <c:pt idx="133">
                  <c:v>212.01487671892383</c:v>
                </c:pt>
                <c:pt idx="134">
                  <c:v>211.65826168065072</c:v>
                </c:pt>
                <c:pt idx="135">
                  <c:v>211.30257412515621</c:v>
                </c:pt>
                <c:pt idx="136">
                  <c:v>210.94780985596108</c:v>
                </c:pt>
                <c:pt idx="137">
                  <c:v>210.59396470190472</c:v>
                </c:pt>
                <c:pt idx="138">
                  <c:v>210.24103451695308</c:v>
                </c:pt>
                <c:pt idx="139">
                  <c:v>209.8890151800085</c:v>
                </c:pt>
                <c:pt idx="140">
                  <c:v>209.53790259472083</c:v>
                </c:pt>
                <c:pt idx="141">
                  <c:v>209.18769268930077</c:v>
                </c:pt>
                <c:pt idx="142">
                  <c:v>208.83838141633456</c:v>
                </c:pt>
                <c:pt idx="143">
                  <c:v>208.48996475260043</c:v>
                </c:pt>
                <c:pt idx="144">
                  <c:v>208.14243869888688</c:v>
                </c:pt>
                <c:pt idx="145">
                  <c:v>207.79579927981231</c:v>
                </c:pt>
                <c:pt idx="146">
                  <c:v>207.45004254364659</c:v>
                </c:pt>
                <c:pt idx="147">
                  <c:v>207.10516456213398</c:v>
                </c:pt>
                <c:pt idx="148">
                  <c:v>206.76116143031783</c:v>
                </c:pt>
                <c:pt idx="149">
                  <c:v>206.41802926636674</c:v>
                </c:pt>
                <c:pt idx="150">
                  <c:v>206.07576421140232</c:v>
                </c:pt>
                <c:pt idx="151">
                  <c:v>205.73436242932846</c:v>
                </c:pt>
                <c:pt idx="152">
                  <c:v>205.39382010666228</c:v>
                </c:pt>
                <c:pt idx="153">
                  <c:v>205.05413345236636</c:v>
                </c:pt>
                <c:pt idx="154">
                  <c:v>204.71529869768256</c:v>
                </c:pt>
                <c:pt idx="155">
                  <c:v>204.37731209596745</c:v>
                </c:pt>
                <c:pt idx="156">
                  <c:v>204.04016992252906</c:v>
                </c:pt>
                <c:pt idx="157">
                  <c:v>203.70386847446491</c:v>
                </c:pt>
                <c:pt idx="158">
                  <c:v>203.36840407050207</c:v>
                </c:pt>
                <c:pt idx="159">
                  <c:v>203.03377305083788</c:v>
                </c:pt>
                <c:pt idx="160">
                  <c:v>202.69997177698264</c:v>
                </c:pt>
                <c:pt idx="161">
                  <c:v>202.3669966316034</c:v>
                </c:pt>
                <c:pt idx="162">
                  <c:v>202.03484401836931</c:v>
                </c:pt>
                <c:pt idx="163">
                  <c:v>201.7035103617981</c:v>
                </c:pt>
                <c:pt idx="164">
                  <c:v>201.37299210710424</c:v>
                </c:pt>
                <c:pt idx="165">
                  <c:v>201.04328572004803</c:v>
                </c:pt>
                <c:pt idx="166">
                  <c:v>200.71438768678641</c:v>
                </c:pt>
                <c:pt idx="167">
                  <c:v>200.38629451372469</c:v>
                </c:pt>
                <c:pt idx="168">
                  <c:v>200.05900272737003</c:v>
                </c:pt>
                <c:pt idx="169">
                  <c:v>199.73250887418567</c:v>
                </c:pt>
                <c:pt idx="170">
                  <c:v>199.40680952044684</c:v>
                </c:pt>
                <c:pt idx="171">
                  <c:v>199.08190125209785</c:v>
                </c:pt>
                <c:pt idx="172">
                  <c:v>198.75778067461019</c:v>
                </c:pt>
                <c:pt idx="173">
                  <c:v>198.43444441284223</c:v>
                </c:pt>
                <c:pt idx="174">
                  <c:v>198.1118891108996</c:v>
                </c:pt>
                <c:pt idx="175">
                  <c:v>197.79011143199756</c:v>
                </c:pt>
                <c:pt idx="176">
                  <c:v>197.46910805832366</c:v>
                </c:pt>
                <c:pt idx="177">
                  <c:v>197.14887569090243</c:v>
                </c:pt>
                <c:pt idx="178">
                  <c:v>196.82941104946042</c:v>
                </c:pt>
                <c:pt idx="179">
                  <c:v>196.5107108722932</c:v>
                </c:pt>
                <c:pt idx="180">
                  <c:v>196.1927719161329</c:v>
                </c:pt>
                <c:pt idx="181">
                  <c:v>195.87559095601711</c:v>
                </c:pt>
                <c:pt idx="182">
                  <c:v>195.559164785159</c:v>
                </c:pt>
                <c:pt idx="183">
                  <c:v>195.24349021481834</c:v>
                </c:pt>
                <c:pt idx="184">
                  <c:v>194.92856407417375</c:v>
                </c:pt>
                <c:pt idx="185">
                  <c:v>194.61438321019602</c:v>
                </c:pt>
                <c:pt idx="186">
                  <c:v>194.30094448752257</c:v>
                </c:pt>
                <c:pt idx="187">
                  <c:v>193.98824478833274</c:v>
                </c:pt>
                <c:pt idx="188">
                  <c:v>193.67628101222451</c:v>
                </c:pt>
                <c:pt idx="189">
                  <c:v>193.36505007609182</c:v>
                </c:pt>
                <c:pt idx="190">
                  <c:v>193.0545489140035</c:v>
                </c:pt>
                <c:pt idx="191">
                  <c:v>192.74477447708256</c:v>
                </c:pt>
                <c:pt idx="192">
                  <c:v>192.43572373338691</c:v>
                </c:pt>
                <c:pt idx="193">
                  <c:v>192.12739366779118</c:v>
                </c:pt>
                <c:pt idx="194">
                  <c:v>191.81978128186915</c:v>
                </c:pt>
                <c:pt idx="195">
                  <c:v>191.51288359377753</c:v>
                </c:pt>
                <c:pt idx="196">
                  <c:v>191.20669763814041</c:v>
                </c:pt>
                <c:pt idx="197">
                  <c:v>190.90122046593501</c:v>
                </c:pt>
                <c:pt idx="198">
                  <c:v>190.59644914437794</c:v>
                </c:pt>
                <c:pt idx="199">
                  <c:v>190.29238075681297</c:v>
                </c:pt>
                <c:pt idx="200">
                  <c:v>189.98901240259929</c:v>
                </c:pt>
                <c:pt idx="201">
                  <c:v>186.96234873497022</c:v>
                </c:pt>
                <c:pt idx="202">
                  <c:v>184.00450516652731</c:v>
                </c:pt>
                <c:pt idx="203">
                  <c:v>181.11270097667821</c:v>
                </c:pt>
                <c:pt idx="204">
                  <c:v>178.28430323665688</c:v>
                </c:pt>
                <c:pt idx="205">
                  <c:v>175.51681702534788</c:v>
                </c:pt>
                <c:pt idx="206">
                  <c:v>172.80787641688468</c:v>
                </c:pt>
                <c:pt idx="207">
                  <c:v>170.1552361696869</c:v>
                </c:pt>
                <c:pt idx="208">
                  <c:v>167.55676405385825</c:v>
                </c:pt>
                <c:pt idx="209">
                  <c:v>165.0104337602927</c:v>
                </c:pt>
                <c:pt idx="210">
                  <c:v>162.51431834053008</c:v>
                </c:pt>
                <c:pt idx="211">
                  <c:v>160.06658413146246</c:v>
                </c:pt>
                <c:pt idx="212">
                  <c:v>157.66548512349067</c:v>
                </c:pt>
                <c:pt idx="213">
                  <c:v>155.30935773473888</c:v>
                </c:pt>
                <c:pt idx="214">
                  <c:v>152.99661595751158</c:v>
                </c:pt>
                <c:pt idx="215">
                  <c:v>150.72574684637215</c:v>
                </c:pt>
                <c:pt idx="216">
                  <c:v>148.49530632008199</c:v>
                </c:pt>
                <c:pt idx="217">
                  <c:v>146.3039152522008</c:v>
                </c:pt>
                <c:pt idx="218">
                  <c:v>144.15025582744761</c:v>
                </c:pt>
                <c:pt idx="219">
                  <c:v>142.03306814298779</c:v>
                </c:pt>
                <c:pt idx="220">
                  <c:v>139.95114703566932</c:v>
                </c:pt>
                <c:pt idx="221">
                  <c:v>137.90333911790583</c:v>
                </c:pt>
                <c:pt idx="222">
                  <c:v>135.88854000641339</c:v>
                </c:pt>
                <c:pt idx="223">
                  <c:v>133.90569172937217</c:v>
                </c:pt>
                <c:pt idx="224">
                  <c:v>131.95378029881576</c:v>
                </c:pt>
                <c:pt idx="225">
                  <c:v>130.03183343616843</c:v>
                </c:pt>
                <c:pt idx="226">
                  <c:v>128.13891843986059</c:v>
                </c:pt>
                <c:pt idx="227">
                  <c:v>126.27414018487171</c:v>
                </c:pt>
                <c:pt idx="228">
                  <c:v>124.43663924488216</c:v>
                </c:pt>
                <c:pt idx="229">
                  <c:v>122.62559012847555</c:v>
                </c:pt>
                <c:pt idx="230">
                  <c:v>120.84019962152138</c:v>
                </c:pt>
                <c:pt idx="231">
                  <c:v>119.07970522849857</c:v>
                </c:pt>
                <c:pt idx="232">
                  <c:v>117.343373706094</c:v>
                </c:pt>
                <c:pt idx="233">
                  <c:v>115.63049968293473</c:v>
                </c:pt>
                <c:pt idx="234">
                  <c:v>113.94040435979254</c:v>
                </c:pt>
                <c:pt idx="235">
                  <c:v>112.27243428503901</c:v>
                </c:pt>
                <c:pt idx="236">
                  <c:v>110.62596020053184</c:v>
                </c:pt>
                <c:pt idx="237">
                  <c:v>109.00037595348317</c:v>
                </c:pt>
                <c:pt idx="238">
                  <c:v>107.39509747020085</c:v>
                </c:pt>
                <c:pt idx="239">
                  <c:v>105.80956178790616</c:v>
                </c:pt>
                <c:pt idx="240">
                  <c:v>104.24322614112013</c:v>
                </c:pt>
                <c:pt idx="241">
                  <c:v>102.69556709937713</c:v>
                </c:pt>
                <c:pt idx="242">
                  <c:v>101.16607975327067</c:v>
                </c:pt>
                <c:pt idx="243">
                  <c:v>99.654276946064044</c:v>
                </c:pt>
                <c:pt idx="244">
                  <c:v>98.159688548311536</c:v>
                </c:pt>
                <c:pt idx="245">
                  <c:v>96.681860773131348</c:v>
                </c:pt>
                <c:pt idx="246">
                  <c:v>95.220355529956848</c:v>
                </c:pt>
                <c:pt idx="247">
                  <c:v>93.774749814763553</c:v>
                </c:pt>
                <c:pt idx="248">
                  <c:v>92.344635134930812</c:v>
                </c:pt>
                <c:pt idx="249">
                  <c:v>90.929616967048915</c:v>
                </c:pt>
                <c:pt idx="250">
                  <c:v>89.529314246125409</c:v>
                </c:pt>
                <c:pt idx="251">
                  <c:v>88.143358884780625</c:v>
                </c:pt>
                <c:pt idx="252">
                  <c:v>86.771395321151402</c:v>
                </c:pt>
                <c:pt idx="253">
                  <c:v>85.413080094346412</c:v>
                </c:pt>
                <c:pt idx="254">
                  <c:v>84.068081446415619</c:v>
                </c:pt>
                <c:pt idx="255">
                  <c:v>82.736078949912397</c:v>
                </c:pt>
                <c:pt idx="256">
                  <c:v>81.416763160239697</c:v>
                </c:pt>
                <c:pt idx="257">
                  <c:v>80.109835292082309</c:v>
                </c:pt>
                <c:pt idx="258">
                  <c:v>78.815006919338117</c:v>
                </c:pt>
                <c:pt idx="259">
                  <c:v>77.531999698070152</c:v>
                </c:pt>
                <c:pt idx="260">
                  <c:v>76.26054511211268</c:v>
                </c:pt>
                <c:pt idx="261">
                  <c:v>75.000384241076858</c:v>
                </c:pt>
                <c:pt idx="262">
                  <c:v>73.751267550616518</c:v>
                </c:pt>
                <c:pt idx="263">
                  <c:v>72.512954704935098</c:v>
                </c:pt>
                <c:pt idx="264">
                  <c:v>71.285214401638058</c:v>
                </c:pt>
                <c:pt idx="265">
                  <c:v>70.067824229167712</c:v>
                </c:pt>
                <c:pt idx="266">
                  <c:v>68.860570547195636</c:v>
                </c:pt>
                <c:pt idx="267">
                  <c:v>67.66324839049777</c:v>
                </c:pt>
                <c:pt idx="268">
                  <c:v>66.475661396997211</c:v>
                </c:pt>
                <c:pt idx="269">
                  <c:v>65.297621760834261</c:v>
                </c:pt>
                <c:pt idx="270">
                  <c:v>64.128950211513384</c:v>
                </c:pt>
                <c:pt idx="271">
                  <c:v>62.969476020385024</c:v>
                </c:pt>
                <c:pt idx="272">
                  <c:v>61.819037035950636</c:v>
                </c:pt>
                <c:pt idx="273">
                  <c:v>60.677479749733948</c:v>
                </c:pt>
                <c:pt idx="274">
                  <c:v>59.544659394745189</c:v>
                </c:pt>
                <c:pt idx="275">
                  <c:v>58.420440078881569</c:v>
                </c:pt>
                <c:pt idx="276">
                  <c:v>57.304694955961999</c:v>
                </c:pt>
                <c:pt idx="277">
                  <c:v>56.197306437492415</c:v>
                </c:pt>
                <c:pt idx="278">
                  <c:v>55.098166448706834</c:v>
                </c:pt>
                <c:pt idx="279">
                  <c:v>54.007176732935733</c:v>
                </c:pt>
                <c:pt idx="280">
                  <c:v>52.924249208926071</c:v>
                </c:pt>
                <c:pt idx="281">
                  <c:v>51.849306386386388</c:v>
                </c:pt>
                <c:pt idx="282">
                  <c:v>50.782281845766207</c:v>
                </c:pt>
                <c:pt idx="283">
                  <c:v>49.723120789115384</c:v>
                </c:pt>
                <c:pt idx="284">
                  <c:v>48.671780669819277</c:v>
                </c:pt>
                <c:pt idx="285">
                  <c:v>47.628231910086789</c:v>
                </c:pt>
                <c:pt idx="286">
                  <c:v>46.59245871629841</c:v>
                </c:pt>
                <c:pt idx="287">
                  <c:v>45.564460003721216</c:v>
                </c:pt>
                <c:pt idx="288">
                  <c:v>44.5442504436894</c:v>
                </c:pt>
                <c:pt idx="289">
                  <c:v>43.531861648158447</c:v>
                </c:pt>
                <c:pt idx="290">
                  <c:v>42.527343508593596</c:v>
                </c:pt>
                <c:pt idx="291">
                  <c:v>41.530765708478981</c:v>
                </c:pt>
                <c:pt idx="292">
                  <c:v>40.542219431359371</c:v>
                </c:pt>
                <c:pt idx="293">
                  <c:v>39.561819289281345</c:v>
                </c:pt>
                <c:pt idx="294">
                  <c:v>38.589705499807721</c:v>
                </c:pt>
                <c:pt idx="295">
                  <c:v>37.626046343456323</c:v>
                </c:pt>
                <c:pt idx="296">
                  <c:v>36.67104093746569</c:v>
                </c:pt>
                <c:pt idx="297">
                  <c:v>35.724922366200893</c:v>
                </c:pt>
                <c:pt idx="298">
                  <c:v>34.787961213234858</c:v>
                </c:pt>
                <c:pt idx="299">
                  <c:v>33.860469545078402</c:v>
                </c:pt>
                <c:pt idx="300">
                  <c:v>32.94280540152122</c:v>
                </c:pt>
                <c:pt idx="301">
                  <c:v>32.035377852316891</c:v>
                </c:pt>
                <c:pt idx="302">
                  <c:v>31.138652684085599</c:v>
                </c:pt>
                <c:pt idx="303">
                  <c:v>30.253158784200991</c:v>
                </c:pt>
                <c:pt idx="304">
                  <c:v>29.379495289174447</c:v>
                </c:pt>
                <c:pt idx="305">
                  <c:v>28.518339562368144</c:v>
                </c:pt>
                <c:pt idx="306">
                  <c:v>27.670456057962372</c:v>
                </c:pt>
                <c:pt idx="307">
                  <c:v>26.836706112503965</c:v>
                </c:pt>
                <c:pt idx="308">
                  <c:v>26.018058678743142</c:v>
                </c:pt>
                <c:pt idx="309">
                  <c:v>25.215601974437671</c:v>
                </c:pt>
                <c:pt idx="310">
                  <c:v>24.430555955734491</c:v>
                </c:pt>
                <c:pt idx="311">
                  <c:v>23.664285433650399</c:v>
                </c:pt>
                <c:pt idx="312">
                  <c:v>22.918313524821723</c:v>
                </c:pt>
                <c:pt idx="313">
                  <c:v>22.194334955024683</c:v>
                </c:pt>
                <c:pt idx="314">
                  <c:v>21.494228507219365</c:v>
                </c:pt>
                <c:pt idx="315">
                  <c:v>20.820067618691041</c:v>
                </c:pt>
                <c:pt idx="316">
                  <c:v>20.174127783932519</c:v>
                </c:pt>
                <c:pt idx="317">
                  <c:v>19.558889022485722</c:v>
                </c:pt>
                <c:pt idx="318">
                  <c:v>18.977031254506795</c:v>
                </c:pt>
                <c:pt idx="319">
                  <c:v>18.431420050151434</c:v>
                </c:pt>
                <c:pt idx="320">
                  <c:v>17.92507997771235</c:v>
                </c:pt>
                <c:pt idx="321">
                  <c:v>17.461152805978667</c:v>
                </c:pt>
                <c:pt idx="322">
                  <c:v>17.042838286696632</c:v>
                </c:pt>
                <c:pt idx="323">
                  <c:v>16.673316323967576</c:v>
                </c:pt>
                <c:pt idx="324">
                  <c:v>16.355651144929276</c:v>
                </c:pt>
                <c:pt idx="325">
                  <c:v>16.092680599254898</c:v>
                </c:pt>
                <c:pt idx="326">
                  <c:v>15.886896689960251</c:v>
                </c:pt>
                <c:pt idx="327">
                  <c:v>15.740326361406556</c:v>
                </c:pt>
                <c:pt idx="328">
                  <c:v>15.654423708316017</c:v>
                </c:pt>
                <c:pt idx="329">
                  <c:v>15.629985347086736</c:v>
                </c:pt>
                <c:pt idx="330">
                  <c:v>15.667099174958871</c:v>
                </c:pt>
                <c:pt idx="331">
                  <c:v>15.765133121480627</c:v>
                </c:pt>
                <c:pt idx="332">
                  <c:v>15.922765398686336</c:v>
                </c:pt>
                <c:pt idx="333">
                  <c:v>16.138052307554052</c:v>
                </c:pt>
                <c:pt idx="334">
                  <c:v>16.408525108346499</c:v>
                </c:pt>
                <c:pt idx="335">
                  <c:v>16.731304750230883</c:v>
                </c:pt>
                <c:pt idx="336">
                  <c:v>17.103222723738156</c:v>
                </c:pt>
                <c:pt idx="337">
                  <c:v>17.52093767430339</c:v>
                </c:pt>
                <c:pt idx="338">
                  <c:v>17.981040015270189</c:v>
                </c:pt>
                <c:pt idx="339">
                  <c:v>18.480139815271222</c:v>
                </c:pt>
                <c:pt idx="340">
                  <c:v>19.014936056994344</c:v>
                </c:pt>
                <c:pt idx="341">
                  <c:v>19.582267579586624</c:v>
                </c:pt>
                <c:pt idx="342">
                  <c:v>20.179147490972877</c:v>
                </c:pt>
                <c:pt idx="343">
                  <c:v>20.802783621693365</c:v>
                </c:pt>
                <c:pt idx="344">
                  <c:v>21.450587839019288</c:v>
                </c:pt>
                <c:pt idx="345">
                  <c:v>22.120176924964255</c:v>
                </c:pt>
                <c:pt idx="346">
                  <c:v>22.809367401127421</c:v>
                </c:pt>
                <c:pt idx="347">
                  <c:v>23.51616627568486</c:v>
                </c:pt>
                <c:pt idx="348">
                  <c:v>24.238759271750887</c:v>
                </c:pt>
                <c:pt idx="349">
                  <c:v>24.975497716687627</c:v>
                </c:pt>
                <c:pt idx="350">
                  <c:v>25.724884949423174</c:v>
                </c:pt>
                <c:pt idx="351">
                  <c:v>26.485562842539689</c:v>
                </c:pt>
                <c:pt idx="352">
                  <c:v>27.256298834077395</c:v>
                </c:pt>
                <c:pt idx="353">
                  <c:v>28.035973712758185</c:v>
                </c:pt>
                <c:pt idx="354">
                  <c:v>28.82357029047462</c:v>
                </c:pt>
                <c:pt idx="355">
                  <c:v>29.618163018559041</c:v>
                </c:pt>
                <c:pt idx="356">
                  <c:v>30.418908551784138</c:v>
                </c:pt>
                <c:pt idx="357">
                  <c:v>31.225037229844016</c:v>
                </c:pt>
                <c:pt idx="358">
                  <c:v>32.035845425147279</c:v>
                </c:pt>
                <c:pt idx="359">
                  <c:v>32.850688694221141</c:v>
                </c:pt>
                <c:pt idx="360">
                  <c:v>33.668975664953742</c:v>
                </c:pt>
                <c:pt idx="361">
                  <c:v>34.490162591144667</c:v>
                </c:pt>
                <c:pt idx="362">
                  <c:v>35.313748507843798</c:v>
                </c:pt>
                <c:pt idx="363">
                  <c:v>36.139270924644279</c:v>
                </c:pt>
                <c:pt idx="364">
                  <c:v>36.966301998696586</c:v>
                </c:pt>
                <c:pt idx="365">
                  <c:v>37.794445134214726</c:v>
                </c:pt>
                <c:pt idx="366">
                  <c:v>38.623331960313912</c:v>
                </c:pt>
                <c:pt idx="367">
                  <c:v>39.452619643936067</c:v>
                </c:pt>
                <c:pt idx="368">
                  <c:v>40.281988499257764</c:v>
                </c:pt>
                <c:pt idx="369">
                  <c:v>41.1111398592653</c:v>
                </c:pt>
                <c:pt idx="370">
                  <c:v>41.939794179093333</c:v>
                </c:pt>
                <c:pt idx="371">
                  <c:v>42.767689344254059</c:v>
                </c:pt>
                <c:pt idx="372">
                  <c:v>43.594579160044702</c:v>
                </c:pt>
                <c:pt idx="373">
                  <c:v>44.420232001234567</c:v>
                </c:pt>
                <c:pt idx="374">
                  <c:v>45.244429603626159</c:v>
                </c:pt>
                <c:pt idx="375">
                  <c:v>46.066965981286593</c:v>
                </c:pt>
                <c:pt idx="376">
                  <c:v>46.887646455184864</c:v>
                </c:pt>
                <c:pt idx="377">
                  <c:v>47.706286780676301</c:v>
                </c:pt>
                <c:pt idx="378">
                  <c:v>48.5227123627729</c:v>
                </c:pt>
                <c:pt idx="379">
                  <c:v>49.336757549452443</c:v>
                </c:pt>
                <c:pt idx="380">
                  <c:v>50.148264994411868</c:v>
                </c:pt>
                <c:pt idx="381">
                  <c:v>50.95708508168066</c:v>
                </c:pt>
                <c:pt idx="382">
                  <c:v>51.763075405396435</c:v>
                </c:pt>
                <c:pt idx="383">
                  <c:v>52.566100298821816</c:v>
                </c:pt>
                <c:pt idx="384">
                  <c:v>53.366030407364036</c:v>
                </c:pt>
                <c:pt idx="385">
                  <c:v>54.16274230095722</c:v>
                </c:pt>
                <c:pt idx="386">
                  <c:v>54.956118121693528</c:v>
                </c:pt>
                <c:pt idx="387">
                  <c:v>55.746045263051847</c:v>
                </c:pt>
                <c:pt idx="388">
                  <c:v>56.532416077479745</c:v>
                </c:pt>
                <c:pt idx="389">
                  <c:v>57.315127609442953</c:v>
                </c:pt>
                <c:pt idx="390">
                  <c:v>58.094081351372743</c:v>
                </c:pt>
                <c:pt idx="391">
                  <c:v>58.869183020220369</c:v>
                </c:pt>
                <c:pt idx="392">
                  <c:v>59.640342352574457</c:v>
                </c:pt>
                <c:pt idx="393">
                  <c:v>60.407472916515019</c:v>
                </c:pt>
                <c:pt idx="394">
                  <c:v>61.170491938570514</c:v>
                </c:pt>
                <c:pt idx="395">
                  <c:v>61.929320144316094</c:v>
                </c:pt>
                <c:pt idx="396">
                  <c:v>62.683881611302027</c:v>
                </c:pt>
                <c:pt idx="397">
                  <c:v>63.434103633136949</c:v>
                </c:pt>
                <c:pt idx="398">
                  <c:v>64.17991659366993</c:v>
                </c:pt>
                <c:pt idx="399">
                  <c:v>64.921253850322344</c:v>
                </c:pt>
                <c:pt idx="400">
                  <c:v>65.658051625715672</c:v>
                </c:pt>
                <c:pt idx="401">
                  <c:v>66.39024890682623</c:v>
                </c:pt>
                <c:pt idx="402">
                  <c:v>67.117787350973629</c:v>
                </c:pt>
                <c:pt idx="403">
                  <c:v>67.840611198017641</c:v>
                </c:pt>
                <c:pt idx="404">
                  <c:v>68.558667188199038</c:v>
                </c:pt>
                <c:pt idx="405">
                  <c:v>69.271904485114106</c:v>
                </c:pt>
                <c:pt idx="406">
                  <c:v>69.980274603361565</c:v>
                </c:pt>
                <c:pt idx="407">
                  <c:v>70.683731340444538</c:v>
                </c:pt>
                <c:pt idx="408">
                  <c:v>71.382230712549458</c:v>
                </c:pt>
                <c:pt idx="409">
                  <c:v>72.075730893859514</c:v>
                </c:pt>
                <c:pt idx="410">
                  <c:v>72.764192159091976</c:v>
                </c:pt>
                <c:pt idx="411">
                  <c:v>73.447576828977958</c:v>
                </c:pt>
                <c:pt idx="412">
                  <c:v>74.125849218428726</c:v>
                </c:pt>
                <c:pt idx="413">
                  <c:v>74.798975587156448</c:v>
                </c:pt>
                <c:pt idx="414">
                  <c:v>75.466924092538804</c:v>
                </c:pt>
                <c:pt idx="415">
                  <c:v>76.129664744535347</c:v>
                </c:pt>
                <c:pt idx="416">
                  <c:v>76.787169362482061</c:v>
                </c:pt>
                <c:pt idx="417">
                  <c:v>77.43941153360511</c:v>
                </c:pt>
                <c:pt idx="418">
                  <c:v>78.086366573110354</c:v>
                </c:pt>
                <c:pt idx="419">
                  <c:v>78.728011485717204</c:v>
                </c:pt>
                <c:pt idx="420">
                  <c:v>79.364324928517988</c:v>
                </c:pt>
                <c:pt idx="421">
                  <c:v>79.995287175054173</c:v>
                </c:pt>
                <c:pt idx="422">
                  <c:v>80.620880080511242</c:v>
                </c:pt>
                <c:pt idx="423">
                  <c:v>81.241087047942088</c:v>
                </c:pt>
                <c:pt idx="424">
                  <c:v>81.855892995437827</c:v>
                </c:pt>
                <c:pt idx="425">
                  <c:v>82.465284324171719</c:v>
                </c:pt>
                <c:pt idx="426">
                  <c:v>83.069248887248818</c:v>
                </c:pt>
                <c:pt idx="427">
                  <c:v>83.667775959300201</c:v>
                </c:pt>
                <c:pt idx="428">
                  <c:v>84.260856206766348</c:v>
                </c:pt>
                <c:pt idx="429">
                  <c:v>84.848481658818969</c:v>
                </c:pt>
                <c:pt idx="430">
                  <c:v>85.430645678875834</c:v>
                </c:pt>
                <c:pt idx="431">
                  <c:v>86.007342936667115</c:v>
                </c:pt>
                <c:pt idx="432">
                  <c:v>86.578569380815566</c:v>
                </c:pt>
                <c:pt idx="433">
                  <c:v>87.144322211896863</c:v>
                </c:pt>
                <c:pt idx="434">
                  <c:v>87.704599855949439</c:v>
                </c:pt>
                <c:pt idx="435">
                  <c:v>88.259401938405929</c:v>
                </c:pt>
                <c:pt idx="436">
                  <c:v>88.808729258421764</c:v>
                </c:pt>
                <c:pt idx="437">
                  <c:v>89.352583763578124</c:v>
                </c:pt>
                <c:pt idx="438">
                  <c:v>89.890968524939396</c:v>
                </c:pt>
                <c:pt idx="439">
                  <c:v>90.423887712447055</c:v>
                </c:pt>
                <c:pt idx="440">
                  <c:v>90.951346570633959</c:v>
                </c:pt>
                <c:pt idx="441">
                  <c:v>91.473351394644567</c:v>
                </c:pt>
                <c:pt idx="442">
                  <c:v>91.989909506548599</c:v>
                </c:pt>
                <c:pt idx="443">
                  <c:v>92.501029231936556</c:v>
                </c:pt>
                <c:pt idx="444">
                  <c:v>93.006719876787301</c:v>
                </c:pt>
                <c:pt idx="445">
                  <c:v>93.506991704599002</c:v>
                </c:pt>
                <c:pt idx="446">
                  <c:v>94.001855913775671</c:v>
                </c:pt>
                <c:pt idx="447">
                  <c:v>94.491324615262641</c:v>
                </c:pt>
                <c:pt idx="448">
                  <c:v>94.975410810425288</c:v>
                </c:pt>
                <c:pt idx="449">
                  <c:v>95.454128369166114</c:v>
                </c:pt>
                <c:pt idx="450">
                  <c:v>95.927492008275848</c:v>
                </c:pt>
                <c:pt idx="451">
                  <c:v>96.395517270015176</c:v>
                </c:pt>
                <c:pt idx="452">
                  <c:v>96.85822050092419</c:v>
                </c:pt>
                <c:pt idx="453">
                  <c:v>97.315618830857105</c:v>
                </c:pt>
                <c:pt idx="454">
                  <c:v>97.767730152240361</c:v>
                </c:pt>
                <c:pt idx="455">
                  <c:v>98.214573099552823</c:v>
                </c:pt>
                <c:pt idx="456">
                  <c:v>98.656167029026818</c:v>
                </c:pt>
                <c:pt idx="457">
                  <c:v>99.092531998569271</c:v>
                </c:pt>
                <c:pt idx="458">
                  <c:v>99.523688747902781</c:v>
                </c:pt>
                <c:pt idx="459">
                  <c:v>99.949658678926241</c:v>
                </c:pt>
                <c:pt idx="460">
                  <c:v>100.37046383629499</c:v>
                </c:pt>
                <c:pt idx="461">
                  <c:v>100.7861268882212</c:v>
                </c:pt>
                <c:pt idx="462">
                  <c:v>101.19667110749441</c:v>
                </c:pt>
                <c:pt idx="463">
                  <c:v>101.60212035272308</c:v>
                </c:pt>
                <c:pt idx="464">
                  <c:v>102.00249904979786</c:v>
                </c:pt>
                <c:pt idx="465">
                  <c:v>102.39783217357724</c:v>
                </c:pt>
                <c:pt idx="466">
                  <c:v>102.78814522979648</c:v>
                </c:pt>
                <c:pt idx="467">
                  <c:v>103.17346423720096</c:v>
                </c:pt>
                <c:pt idx="468">
                  <c:v>103.55381570990434</c:v>
                </c:pt>
                <c:pt idx="469">
                  <c:v>103.92922663997327</c:v>
                </c:pt>
                <c:pt idx="470">
                  <c:v>104.29972448023892</c:v>
                </c:pt>
                <c:pt idx="471">
                  <c:v>104.66533712733683</c:v>
                </c:pt>
                <c:pt idx="472">
                  <c:v>105.02609290497564</c:v>
                </c:pt>
                <c:pt idx="473">
                  <c:v>105.38202054743606</c:v>
                </c:pt>
                <c:pt idx="474">
                  <c:v>105.73314918330044</c:v>
                </c:pt>
                <c:pt idx="475">
                  <c:v>106.07950831941432</c:v>
                </c:pt>
                <c:pt idx="476">
                  <c:v>106.42112782508038</c:v>
                </c:pt>
                <c:pt idx="477">
                  <c:v>106.75803791648565</c:v>
                </c:pt>
                <c:pt idx="478">
                  <c:v>107.09026914136273</c:v>
                </c:pt>
                <c:pt idx="479">
                  <c:v>107.41785236388539</c:v>
                </c:pt>
                <c:pt idx="480">
                  <c:v>107.74081874979932</c:v>
                </c:pt>
                <c:pt idx="481">
                  <c:v>108.05919975178828</c:v>
                </c:pt>
                <c:pt idx="482">
                  <c:v>108.37302709507601</c:v>
                </c:pt>
                <c:pt idx="483">
                  <c:v>108.68233276326428</c:v>
                </c:pt>
                <c:pt idx="484">
                  <c:v>108.98714898440718</c:v>
                </c:pt>
                <c:pt idx="485">
                  <c:v>109.28750821732167</c:v>
                </c:pt>
                <c:pt idx="486">
                  <c:v>109.58344313813447</c:v>
                </c:pt>
                <c:pt idx="487">
                  <c:v>109.87498662706508</c:v>
                </c:pt>
                <c:pt idx="488">
                  <c:v>110.16217175544497</c:v>
                </c:pt>
                <c:pt idx="489">
                  <c:v>110.44503177297219</c:v>
                </c:pt>
                <c:pt idx="490">
                  <c:v>110.72360009520155</c:v>
                </c:pt>
                <c:pt idx="491">
                  <c:v>110.99791029126943</c:v>
                </c:pt>
                <c:pt idx="492">
                  <c:v>111.26799607185292</c:v>
                </c:pt>
                <c:pt idx="493">
                  <c:v>111.53389127736247</c:v>
                </c:pt>
                <c:pt idx="494">
                  <c:v>111.79562986636734</c:v>
                </c:pt>
                <c:pt idx="495">
                  <c:v>112.05324590425298</c:v>
                </c:pt>
                <c:pt idx="496">
                  <c:v>112.30677355210938</c:v>
                </c:pt>
                <c:pt idx="497">
                  <c:v>112.55624705584941</c:v>
                </c:pt>
                <c:pt idx="498">
                  <c:v>112.80170073555597</c:v>
                </c:pt>
                <c:pt idx="499">
                  <c:v>113.0431689750566</c:v>
                </c:pt>
                <c:pt idx="500">
                  <c:v>113.28068621172477</c:v>
                </c:pt>
                <c:pt idx="501">
                  <c:v>113.51428692650569</c:v>
                </c:pt>
                <c:pt idx="502">
                  <c:v>113.74400563416593</c:v>
                </c:pt>
                <c:pt idx="503">
                  <c:v>113.96987687376497</c:v>
                </c:pt>
                <c:pt idx="504">
                  <c:v>114.19193519934701</c:v>
                </c:pt>
                <c:pt idx="505">
                  <c:v>114.41021517085163</c:v>
                </c:pt>
                <c:pt idx="506">
                  <c:v>114.62475134524132</c:v>
                </c:pt>
                <c:pt idx="507">
                  <c:v>114.83557826784428</c:v>
                </c:pt>
                <c:pt idx="508">
                  <c:v>115.0427304639105</c:v>
                </c:pt>
                <c:pt idx="509">
                  <c:v>115.24624243037911</c:v>
                </c:pt>
                <c:pt idx="510">
                  <c:v>115.44614862785529</c:v>
                </c:pt>
                <c:pt idx="511">
                  <c:v>115.64248347279444</c:v>
                </c:pt>
                <c:pt idx="512">
                  <c:v>115.83528132989157</c:v>
                </c:pt>
                <c:pt idx="513">
                  <c:v>116.02457650467389</c:v>
                </c:pt>
                <c:pt idx="514">
                  <c:v>116.21040323629425</c:v>
                </c:pt>
                <c:pt idx="515">
                  <c:v>116.39279569052331</c:v>
                </c:pt>
                <c:pt idx="516">
                  <c:v>116.57178795293807</c:v>
                </c:pt>
                <c:pt idx="517">
                  <c:v>116.74741402230444</c:v>
                </c:pt>
                <c:pt idx="518">
                  <c:v>116.91970780415164</c:v>
                </c:pt>
                <c:pt idx="519">
                  <c:v>117.08870310453582</c:v>
                </c:pt>
                <c:pt idx="520">
                  <c:v>117.25443362399072</c:v>
                </c:pt>
                <c:pt idx="521">
                  <c:v>117.41693295166253</c:v>
                </c:pt>
                <c:pt idx="522">
                  <c:v>117.57623455962701</c:v>
                </c:pt>
                <c:pt idx="523">
                  <c:v>117.73237179738587</c:v>
                </c:pt>
                <c:pt idx="524">
                  <c:v>117.88537788654013</c:v>
                </c:pt>
                <c:pt idx="525">
                  <c:v>118.03528591563787</c:v>
                </c:pt>
                <c:pt idx="526">
                  <c:v>118.18212883519381</c:v>
                </c:pt>
                <c:pt idx="527">
                  <c:v>118.32593945287796</c:v>
                </c:pt>
                <c:pt idx="528">
                  <c:v>118.46675042887121</c:v>
                </c:pt>
                <c:pt idx="529">
                  <c:v>118.60459427138453</c:v>
                </c:pt>
                <c:pt idx="530">
                  <c:v>118.73950333233992</c:v>
                </c:pt>
                <c:pt idx="531">
                  <c:v>118.87150980320989</c:v>
                </c:pt>
                <c:pt idx="532">
                  <c:v>119.00064571101314</c:v>
                </c:pt>
                <c:pt idx="533">
                  <c:v>119.12694291446383</c:v>
                </c:pt>
                <c:pt idx="534">
                  <c:v>119.25043310027151</c:v>
                </c:pt>
                <c:pt idx="535">
                  <c:v>119.37114777958944</c:v>
                </c:pt>
                <c:pt idx="536">
                  <c:v>119.48911828460835</c:v>
                </c:pt>
                <c:pt idx="537">
                  <c:v>119.60437576529327</c:v>
                </c:pt>
                <c:pt idx="538">
                  <c:v>119.71695118626054</c:v>
                </c:pt>
                <c:pt idx="539">
                  <c:v>119.82687532379258</c:v>
                </c:pt>
                <c:pt idx="540">
                  <c:v>119.9341787629877</c:v>
                </c:pt>
                <c:pt idx="541">
                  <c:v>120.03889189504235</c:v>
                </c:pt>
                <c:pt idx="542">
                  <c:v>120.14104491466328</c:v>
                </c:pt>
                <c:pt idx="543">
                  <c:v>120.24066781760689</c:v>
                </c:pt>
                <c:pt idx="544">
                  <c:v>120.33779039834343</c:v>
                </c:pt>
                <c:pt idx="545">
                  <c:v>120.43244224784313</c:v>
                </c:pt>
                <c:pt idx="546">
                  <c:v>120.52465275148215</c:v>
                </c:pt>
                <c:pt idx="547">
                  <c:v>120.61445108706546</c:v>
                </c:pt>
                <c:pt idx="548">
                  <c:v>120.70186622296431</c:v>
                </c:pt>
                <c:pt idx="549">
                  <c:v>120.7869269163659</c:v>
                </c:pt>
                <c:pt idx="550">
                  <c:v>120.86966171163242</c:v>
                </c:pt>
                <c:pt idx="551">
                  <c:v>120.95009893876752</c:v>
                </c:pt>
                <c:pt idx="552">
                  <c:v>121.02826671198731</c:v>
                </c:pt>
                <c:pt idx="553">
                  <c:v>121.10419292839377</c:v>
                </c:pt>
                <c:pt idx="554">
                  <c:v>121.17790526674811</c:v>
                </c:pt>
                <c:pt idx="555">
                  <c:v>121.2494311863417</c:v>
                </c:pt>
                <c:pt idx="556">
                  <c:v>121.31879792596222</c:v>
                </c:pt>
                <c:pt idx="557">
                  <c:v>121.38603250295284</c:v>
                </c:pt>
                <c:pt idx="558">
                  <c:v>121.45116171236197</c:v>
                </c:pt>
                <c:pt idx="559">
                  <c:v>121.51421212618136</c:v>
                </c:pt>
                <c:pt idx="560">
                  <c:v>121.57521009267069</c:v>
                </c:pt>
                <c:pt idx="561">
                  <c:v>121.63418173576562</c:v>
                </c:pt>
                <c:pt idx="562">
                  <c:v>121.69115295456811</c:v>
                </c:pt>
                <c:pt idx="563">
                  <c:v>121.74614942291606</c:v>
                </c:pt>
                <c:pt idx="564">
                  <c:v>121.79919658903069</c:v>
                </c:pt>
                <c:pt idx="565">
                  <c:v>121.85031967523918</c:v>
                </c:pt>
                <c:pt idx="566">
                  <c:v>121.89954367777091</c:v>
                </c:pt>
                <c:pt idx="567">
                  <c:v>121.94689336662471</c:v>
                </c:pt>
                <c:pt idx="568">
                  <c:v>121.99239328550583</c:v>
                </c:pt>
                <c:pt idx="569">
                  <c:v>122.03606775182998</c:v>
                </c:pt>
                <c:pt idx="570">
                  <c:v>122.07794085679292</c:v>
                </c:pt>
                <c:pt idx="571">
                  <c:v>122.11803646550365</c:v>
                </c:pt>
                <c:pt idx="572">
                  <c:v>122.15637821717901</c:v>
                </c:pt>
                <c:pt idx="573">
                  <c:v>122.19298952539823</c:v>
                </c:pt>
                <c:pt idx="574">
                  <c:v>122.2278935784154</c:v>
                </c:pt>
                <c:pt idx="575">
                  <c:v>122.26111333952807</c:v>
                </c:pt>
                <c:pt idx="576">
                  <c:v>122.29267154750026</c:v>
                </c:pt>
                <c:pt idx="577">
                  <c:v>122.32259071703817</c:v>
                </c:pt>
                <c:pt idx="578">
                  <c:v>122.35089313931688</c:v>
                </c:pt>
                <c:pt idx="579">
                  <c:v>122.37760088255624</c:v>
                </c:pt>
                <c:pt idx="580">
                  <c:v>122.40273579264451</c:v>
                </c:pt>
                <c:pt idx="581">
                  <c:v>122.42631949380811</c:v>
                </c:pt>
                <c:pt idx="582">
                  <c:v>122.44837338932568</c:v>
                </c:pt>
                <c:pt idx="583">
                  <c:v>122.46891866228518</c:v>
                </c:pt>
                <c:pt idx="584">
                  <c:v>122.4879762763823</c:v>
                </c:pt>
                <c:pt idx="585">
                  <c:v>122.50556697675893</c:v>
                </c:pt>
                <c:pt idx="586">
                  <c:v>122.52171129087988</c:v>
                </c:pt>
                <c:pt idx="587">
                  <c:v>122.53642952944676</c:v>
                </c:pt>
                <c:pt idx="588">
                  <c:v>122.54974178734741</c:v>
                </c:pt>
                <c:pt idx="589">
                  <c:v>122.56166794463955</c:v>
                </c:pt>
                <c:pt idx="590">
                  <c:v>122.57222766756736</c:v>
                </c:pt>
                <c:pt idx="591">
                  <c:v>122.58144040960961</c:v>
                </c:pt>
                <c:pt idx="592">
                  <c:v>122.58932541255808</c:v>
                </c:pt>
                <c:pt idx="593">
                  <c:v>122.595901707625</c:v>
                </c:pt>
                <c:pt idx="594">
                  <c:v>122.6011881165782</c:v>
                </c:pt>
                <c:pt idx="595">
                  <c:v>122.60119212745498</c:v>
                </c:pt>
                <c:pt idx="596">
                  <c:v>122.6011961370799</c:v>
                </c:pt>
                <c:pt idx="597">
                  <c:v>122.60120014545298</c:v>
                </c:pt>
                <c:pt idx="598">
                  <c:v>122.60120415257423</c:v>
                </c:pt>
                <c:pt idx="599">
                  <c:v>122.60120815844368</c:v>
                </c:pt>
                <c:pt idx="600">
                  <c:v>122.60121216306133</c:v>
                </c:pt>
                <c:pt idx="601">
                  <c:v>122.60121616642725</c:v>
                </c:pt>
                <c:pt idx="602">
                  <c:v>122.60122016854139</c:v>
                </c:pt>
                <c:pt idx="603">
                  <c:v>122.60122416940381</c:v>
                </c:pt>
                <c:pt idx="604">
                  <c:v>122.6012281690145</c:v>
                </c:pt>
                <c:pt idx="605">
                  <c:v>122.60123216737352</c:v>
                </c:pt>
                <c:pt idx="606">
                  <c:v>122.60123616448085</c:v>
                </c:pt>
                <c:pt idx="607">
                  <c:v>122.6012401603365</c:v>
                </c:pt>
                <c:pt idx="608">
                  <c:v>122.60124415494055</c:v>
                </c:pt>
                <c:pt idx="609">
                  <c:v>122.60124814829295</c:v>
                </c:pt>
                <c:pt idx="610">
                  <c:v>122.60125214039375</c:v>
                </c:pt>
                <c:pt idx="611">
                  <c:v>122.60125613124296</c:v>
                </c:pt>
                <c:pt idx="612">
                  <c:v>122.60126012084062</c:v>
                </c:pt>
                <c:pt idx="613">
                  <c:v>122.6012641091867</c:v>
                </c:pt>
                <c:pt idx="614">
                  <c:v>122.60126809628126</c:v>
                </c:pt>
                <c:pt idx="615">
                  <c:v>122.60127208212431</c:v>
                </c:pt>
                <c:pt idx="616">
                  <c:v>122.60127606671587</c:v>
                </c:pt>
                <c:pt idx="617">
                  <c:v>122.60128005005593</c:v>
                </c:pt>
                <c:pt idx="618">
                  <c:v>122.60128403214455</c:v>
                </c:pt>
                <c:pt idx="619">
                  <c:v>122.60128801298171</c:v>
                </c:pt>
                <c:pt idx="620">
                  <c:v>122.60129199256745</c:v>
                </c:pt>
                <c:pt idx="621">
                  <c:v>122.6012959709018</c:v>
                </c:pt>
                <c:pt idx="622">
                  <c:v>122.60129994798474</c:v>
                </c:pt>
                <c:pt idx="623">
                  <c:v>122.60130392381633</c:v>
                </c:pt>
                <c:pt idx="624">
                  <c:v>122.60130789839656</c:v>
                </c:pt>
                <c:pt idx="625">
                  <c:v>122.60131187172546</c:v>
                </c:pt>
                <c:pt idx="626">
                  <c:v>122.60131584380304</c:v>
                </c:pt>
                <c:pt idx="627">
                  <c:v>122.60131981462932</c:v>
                </c:pt>
                <c:pt idx="628">
                  <c:v>122.60132378420433</c:v>
                </c:pt>
                <c:pt idx="629">
                  <c:v>122.60132775252808</c:v>
                </c:pt>
                <c:pt idx="630">
                  <c:v>122.60133171960058</c:v>
                </c:pt>
                <c:pt idx="631">
                  <c:v>122.60133568542184</c:v>
                </c:pt>
                <c:pt idx="632">
                  <c:v>122.60133964999193</c:v>
                </c:pt>
                <c:pt idx="633">
                  <c:v>122.60134361331082</c:v>
                </c:pt>
                <c:pt idx="634">
                  <c:v>122.60134757537853</c:v>
                </c:pt>
                <c:pt idx="635">
                  <c:v>122.6013515361951</c:v>
                </c:pt>
                <c:pt idx="636">
                  <c:v>122.60135549576052</c:v>
                </c:pt>
                <c:pt idx="637">
                  <c:v>122.60135945407482</c:v>
                </c:pt>
                <c:pt idx="638">
                  <c:v>122.60136341113805</c:v>
                </c:pt>
                <c:pt idx="639">
                  <c:v>122.6013673669502</c:v>
                </c:pt>
                <c:pt idx="640">
                  <c:v>122.60137132151127</c:v>
                </c:pt>
                <c:pt idx="641">
                  <c:v>122.60137527482129</c:v>
                </c:pt>
                <c:pt idx="642">
                  <c:v>122.6013792268803</c:v>
                </c:pt>
                <c:pt idx="643">
                  <c:v>122.60138317768832</c:v>
                </c:pt>
                <c:pt idx="644">
                  <c:v>122.60138712724533</c:v>
                </c:pt>
                <c:pt idx="645">
                  <c:v>122.60139107555138</c:v>
                </c:pt>
                <c:pt idx="646">
                  <c:v>122.60139502260647</c:v>
                </c:pt>
                <c:pt idx="647">
                  <c:v>122.60139896841062</c:v>
                </c:pt>
                <c:pt idx="648">
                  <c:v>122.60140291296386</c:v>
                </c:pt>
                <c:pt idx="649">
                  <c:v>122.60140685626619</c:v>
                </c:pt>
                <c:pt idx="650">
                  <c:v>122.60141079831764</c:v>
                </c:pt>
                <c:pt idx="651">
                  <c:v>122.60141473911825</c:v>
                </c:pt>
                <c:pt idx="652">
                  <c:v>122.601418678668</c:v>
                </c:pt>
                <c:pt idx="653">
                  <c:v>122.60142261696693</c:v>
                </c:pt>
                <c:pt idx="654">
                  <c:v>122.60142655401506</c:v>
                </c:pt>
                <c:pt idx="655">
                  <c:v>122.60143048981239</c:v>
                </c:pt>
                <c:pt idx="656">
                  <c:v>122.60143442435894</c:v>
                </c:pt>
                <c:pt idx="657">
                  <c:v>122.60143835765476</c:v>
                </c:pt>
                <c:pt idx="658">
                  <c:v>122.60144228969982</c:v>
                </c:pt>
                <c:pt idx="659">
                  <c:v>122.60144622049418</c:v>
                </c:pt>
                <c:pt idx="660">
                  <c:v>122.60145015003783</c:v>
                </c:pt>
                <c:pt idx="661">
                  <c:v>122.60145407833082</c:v>
                </c:pt>
                <c:pt idx="662">
                  <c:v>122.60145800537313</c:v>
                </c:pt>
                <c:pt idx="663">
                  <c:v>122.60146193116479</c:v>
                </c:pt>
                <c:pt idx="664">
                  <c:v>122.60146585570584</c:v>
                </c:pt>
                <c:pt idx="665">
                  <c:v>122.60146977899628</c:v>
                </c:pt>
                <c:pt idx="666">
                  <c:v>122.60147370103611</c:v>
                </c:pt>
                <c:pt idx="667">
                  <c:v>122.60147762182538</c:v>
                </c:pt>
                <c:pt idx="668">
                  <c:v>122.60148154136409</c:v>
                </c:pt>
                <c:pt idx="669">
                  <c:v>122.60148545965228</c:v>
                </c:pt>
                <c:pt idx="670">
                  <c:v>122.60148937668994</c:v>
                </c:pt>
                <c:pt idx="671">
                  <c:v>122.6014932924771</c:v>
                </c:pt>
                <c:pt idx="672">
                  <c:v>122.60149720701378</c:v>
                </c:pt>
                <c:pt idx="673">
                  <c:v>122.6015011203</c:v>
                </c:pt>
                <c:pt idx="674">
                  <c:v>122.60150503233577</c:v>
                </c:pt>
                <c:pt idx="675">
                  <c:v>122.60150894312112</c:v>
                </c:pt>
                <c:pt idx="676">
                  <c:v>122.60151285265604</c:v>
                </c:pt>
                <c:pt idx="677">
                  <c:v>122.60151676094058</c:v>
                </c:pt>
                <c:pt idx="678">
                  <c:v>122.60152066797475</c:v>
                </c:pt>
                <c:pt idx="679">
                  <c:v>122.60152457375858</c:v>
                </c:pt>
                <c:pt idx="680">
                  <c:v>122.60152847829207</c:v>
                </c:pt>
                <c:pt idx="681">
                  <c:v>122.60153238157523</c:v>
                </c:pt>
                <c:pt idx="682">
                  <c:v>122.60153628360808</c:v>
                </c:pt>
                <c:pt idx="683">
                  <c:v>122.60154018439067</c:v>
                </c:pt>
                <c:pt idx="684">
                  <c:v>122.60154408392297</c:v>
                </c:pt>
                <c:pt idx="685">
                  <c:v>122.60154798220503</c:v>
                </c:pt>
                <c:pt idx="686">
                  <c:v>122.60155187923688</c:v>
                </c:pt>
                <c:pt idx="687">
                  <c:v>122.60155577501851</c:v>
                </c:pt>
                <c:pt idx="688">
                  <c:v>122.60155966954994</c:v>
                </c:pt>
                <c:pt idx="689">
                  <c:v>122.6015635628312</c:v>
                </c:pt>
                <c:pt idx="690">
                  <c:v>122.60156745486232</c:v>
                </c:pt>
                <c:pt idx="691">
                  <c:v>122.60157134564329</c:v>
                </c:pt>
                <c:pt idx="692">
                  <c:v>122.60157523517415</c:v>
                </c:pt>
                <c:pt idx="693">
                  <c:v>122.6015791234549</c:v>
                </c:pt>
                <c:pt idx="694">
                  <c:v>122.60158301048557</c:v>
                </c:pt>
                <c:pt idx="695">
                  <c:v>122.60158689626618</c:v>
                </c:pt>
                <c:pt idx="696">
                  <c:v>122.60159078079673</c:v>
                </c:pt>
                <c:pt idx="697">
                  <c:v>122.60159466407727</c:v>
                </c:pt>
                <c:pt idx="698">
                  <c:v>122.60159854610777</c:v>
                </c:pt>
                <c:pt idx="699">
                  <c:v>122.60160242688831</c:v>
                </c:pt>
                <c:pt idx="700">
                  <c:v>122.60160630641886</c:v>
                </c:pt>
                <c:pt idx="701">
                  <c:v>122.60161018469945</c:v>
                </c:pt>
                <c:pt idx="702">
                  <c:v>122.60161406173012</c:v>
                </c:pt>
                <c:pt idx="703">
                  <c:v>122.60161793751085</c:v>
                </c:pt>
                <c:pt idx="704">
                  <c:v>122.6016218120417</c:v>
                </c:pt>
                <c:pt idx="705">
                  <c:v>122.60162568532265</c:v>
                </c:pt>
                <c:pt idx="706">
                  <c:v>122.60162955735373</c:v>
                </c:pt>
                <c:pt idx="707">
                  <c:v>122.60163342813496</c:v>
                </c:pt>
                <c:pt idx="708">
                  <c:v>122.60163729766637</c:v>
                </c:pt>
                <c:pt idx="709">
                  <c:v>122.60164116594797</c:v>
                </c:pt>
                <c:pt idx="710">
                  <c:v>122.60164503297976</c:v>
                </c:pt>
                <c:pt idx="711">
                  <c:v>122.60164889876179</c:v>
                </c:pt>
                <c:pt idx="712">
                  <c:v>122.60165276329408</c:v>
                </c:pt>
                <c:pt idx="713">
                  <c:v>122.6016566265766</c:v>
                </c:pt>
                <c:pt idx="714">
                  <c:v>122.60166048860941</c:v>
                </c:pt>
                <c:pt idx="715">
                  <c:v>122.60166434939251</c:v>
                </c:pt>
                <c:pt idx="716">
                  <c:v>122.60166820892593</c:v>
                </c:pt>
                <c:pt idx="717">
                  <c:v>122.60167206720971</c:v>
                </c:pt>
                <c:pt idx="718">
                  <c:v>122.60167592424379</c:v>
                </c:pt>
                <c:pt idx="719">
                  <c:v>122.60167978002828</c:v>
                </c:pt>
                <c:pt idx="720">
                  <c:v>122.60168363456313</c:v>
                </c:pt>
                <c:pt idx="721">
                  <c:v>122.60168748784839</c:v>
                </c:pt>
                <c:pt idx="722">
                  <c:v>122.6016913398841</c:v>
                </c:pt>
                <c:pt idx="723">
                  <c:v>122.60169519067024</c:v>
                </c:pt>
                <c:pt idx="724">
                  <c:v>122.60169904020682</c:v>
                </c:pt>
                <c:pt idx="725">
                  <c:v>122.6017028884939</c:v>
                </c:pt>
                <c:pt idx="726">
                  <c:v>122.60170673553148</c:v>
                </c:pt>
                <c:pt idx="727">
                  <c:v>122.60171058131955</c:v>
                </c:pt>
                <c:pt idx="728">
                  <c:v>122.60171442585818</c:v>
                </c:pt>
                <c:pt idx="729">
                  <c:v>122.60171826914736</c:v>
                </c:pt>
                <c:pt idx="730">
                  <c:v>122.60172211118709</c:v>
                </c:pt>
                <c:pt idx="731">
                  <c:v>122.60172595197741</c:v>
                </c:pt>
                <c:pt idx="732">
                  <c:v>122.60172979151834</c:v>
                </c:pt>
                <c:pt idx="733">
                  <c:v>122.60173362980989</c:v>
                </c:pt>
                <c:pt idx="734">
                  <c:v>122.60173746685209</c:v>
                </c:pt>
                <c:pt idx="735">
                  <c:v>122.60174130264494</c:v>
                </c:pt>
                <c:pt idx="736">
                  <c:v>122.60174513718847</c:v>
                </c:pt>
                <c:pt idx="737">
                  <c:v>122.60174897048269</c:v>
                </c:pt>
                <c:pt idx="738">
                  <c:v>122.60175280252763</c:v>
                </c:pt>
                <c:pt idx="739">
                  <c:v>122.60175663332329</c:v>
                </c:pt>
                <c:pt idx="740">
                  <c:v>122.60176046286972</c:v>
                </c:pt>
                <c:pt idx="741">
                  <c:v>122.60176429116692</c:v>
                </c:pt>
                <c:pt idx="742">
                  <c:v>122.60176811821488</c:v>
                </c:pt>
                <c:pt idx="743">
                  <c:v>122.60177194401366</c:v>
                </c:pt>
                <c:pt idx="744">
                  <c:v>122.60177576856326</c:v>
                </c:pt>
                <c:pt idx="745">
                  <c:v>122.6017795918637</c:v>
                </c:pt>
                <c:pt idx="746">
                  <c:v>122.601783413915</c:v>
                </c:pt>
                <c:pt idx="747">
                  <c:v>122.60178723471718</c:v>
                </c:pt>
                <c:pt idx="748">
                  <c:v>122.60179105427025</c:v>
                </c:pt>
                <c:pt idx="749">
                  <c:v>122.60179487257423</c:v>
                </c:pt>
                <c:pt idx="750">
                  <c:v>122.60179868962915</c:v>
                </c:pt>
                <c:pt idx="751">
                  <c:v>122.601802505435</c:v>
                </c:pt>
                <c:pt idx="752">
                  <c:v>122.60180631999184</c:v>
                </c:pt>
                <c:pt idx="753">
                  <c:v>122.60181013329964</c:v>
                </c:pt>
                <c:pt idx="754">
                  <c:v>122.60181394535844</c:v>
                </c:pt>
                <c:pt idx="755">
                  <c:v>122.6018177561683</c:v>
                </c:pt>
                <c:pt idx="756">
                  <c:v>122.60182156572918</c:v>
                </c:pt>
                <c:pt idx="757">
                  <c:v>122.60182537404111</c:v>
                </c:pt>
                <c:pt idx="758">
                  <c:v>122.60182918110414</c:v>
                </c:pt>
                <c:pt idx="759">
                  <c:v>122.60183298691823</c:v>
                </c:pt>
                <c:pt idx="760">
                  <c:v>122.60183679148345</c:v>
                </c:pt>
                <c:pt idx="761">
                  <c:v>122.60184059479978</c:v>
                </c:pt>
                <c:pt idx="762">
                  <c:v>122.60184439686728</c:v>
                </c:pt>
                <c:pt idx="763">
                  <c:v>122.60184819768594</c:v>
                </c:pt>
                <c:pt idx="764">
                  <c:v>122.60185199725579</c:v>
                </c:pt>
                <c:pt idx="765">
                  <c:v>122.60185579557684</c:v>
                </c:pt>
                <c:pt idx="766">
                  <c:v>122.60185959264909</c:v>
                </c:pt>
                <c:pt idx="767">
                  <c:v>122.60186338847259</c:v>
                </c:pt>
                <c:pt idx="768">
                  <c:v>122.60186718304736</c:v>
                </c:pt>
                <c:pt idx="769">
                  <c:v>122.60187097637341</c:v>
                </c:pt>
                <c:pt idx="770">
                  <c:v>122.60187476845073</c:v>
                </c:pt>
                <c:pt idx="771">
                  <c:v>122.60187855927937</c:v>
                </c:pt>
                <c:pt idx="772">
                  <c:v>122.60188234885933</c:v>
                </c:pt>
                <c:pt idx="773">
                  <c:v>122.60188613719065</c:v>
                </c:pt>
                <c:pt idx="774">
                  <c:v>122.60188992427334</c:v>
                </c:pt>
                <c:pt idx="775">
                  <c:v>122.6018937101074</c:v>
                </c:pt>
                <c:pt idx="776">
                  <c:v>122.60189749469285</c:v>
                </c:pt>
                <c:pt idx="777">
                  <c:v>122.60190127802973</c:v>
                </c:pt>
                <c:pt idx="778">
                  <c:v>122.60190506011806</c:v>
                </c:pt>
                <c:pt idx="779">
                  <c:v>122.60190884095783</c:v>
                </c:pt>
                <c:pt idx="780">
                  <c:v>122.60191262054907</c:v>
                </c:pt>
                <c:pt idx="781">
                  <c:v>122.60191639889182</c:v>
                </c:pt>
                <c:pt idx="782">
                  <c:v>122.60192017598607</c:v>
                </c:pt>
                <c:pt idx="783">
                  <c:v>122.60192395183185</c:v>
                </c:pt>
                <c:pt idx="784">
                  <c:v>122.60192772642917</c:v>
                </c:pt>
                <c:pt idx="785">
                  <c:v>122.60193149977805</c:v>
                </c:pt>
                <c:pt idx="786">
                  <c:v>122.60193527187853</c:v>
                </c:pt>
                <c:pt idx="787">
                  <c:v>122.60193904273059</c:v>
                </c:pt>
                <c:pt idx="788">
                  <c:v>122.60194281233427</c:v>
                </c:pt>
                <c:pt idx="789">
                  <c:v>122.6019465806896</c:v>
                </c:pt>
                <c:pt idx="790">
                  <c:v>122.60195034779659</c:v>
                </c:pt>
                <c:pt idx="791">
                  <c:v>122.60195411365524</c:v>
                </c:pt>
                <c:pt idx="792">
                  <c:v>122.60195787826558</c:v>
                </c:pt>
                <c:pt idx="793">
                  <c:v>122.60196164162762</c:v>
                </c:pt>
                <c:pt idx="794">
                  <c:v>122.6019654037414</c:v>
                </c:pt>
                <c:pt idx="795">
                  <c:v>122.60196916460693</c:v>
                </c:pt>
                <c:pt idx="796">
                  <c:v>122.60197292422421</c:v>
                </c:pt>
                <c:pt idx="797">
                  <c:v>122.60197668259327</c:v>
                </c:pt>
                <c:pt idx="798">
                  <c:v>122.60198043971414</c:v>
                </c:pt>
                <c:pt idx="799">
                  <c:v>122.60198419558682</c:v>
                </c:pt>
                <c:pt idx="800">
                  <c:v>122.60198795021134</c:v>
                </c:pt>
                <c:pt idx="801">
                  <c:v>122.60199170358771</c:v>
                </c:pt>
                <c:pt idx="802">
                  <c:v>122.60199545571595</c:v>
                </c:pt>
                <c:pt idx="803">
                  <c:v>122.60199920659609</c:v>
                </c:pt>
                <c:pt idx="804">
                  <c:v>122.60200295622813</c:v>
                </c:pt>
                <c:pt idx="805">
                  <c:v>122.60200670461209</c:v>
                </c:pt>
                <c:pt idx="806">
                  <c:v>122.602010451748</c:v>
                </c:pt>
                <c:pt idx="807">
                  <c:v>122.60201419763587</c:v>
                </c:pt>
                <c:pt idx="808">
                  <c:v>122.60201794227574</c:v>
                </c:pt>
                <c:pt idx="809">
                  <c:v>122.60202168566759</c:v>
                </c:pt>
                <c:pt idx="810">
                  <c:v>122.60202542781147</c:v>
                </c:pt>
                <c:pt idx="811">
                  <c:v>122.60202916870736</c:v>
                </c:pt>
                <c:pt idx="812">
                  <c:v>122.60203290835533</c:v>
                </c:pt>
                <c:pt idx="813">
                  <c:v>122.60203664675535</c:v>
                </c:pt>
                <c:pt idx="814">
                  <c:v>122.60204038390746</c:v>
                </c:pt>
                <c:pt idx="815">
                  <c:v>122.60204411981168</c:v>
                </c:pt>
                <c:pt idx="816">
                  <c:v>122.60204785446803</c:v>
                </c:pt>
                <c:pt idx="817">
                  <c:v>122.60205158787653</c:v>
                </c:pt>
                <c:pt idx="818">
                  <c:v>122.60205532003717</c:v>
                </c:pt>
                <c:pt idx="819">
                  <c:v>122.60205905094999</c:v>
                </c:pt>
                <c:pt idx="820">
                  <c:v>122.60206278061501</c:v>
                </c:pt>
                <c:pt idx="821">
                  <c:v>122.60206650903226</c:v>
                </c:pt>
                <c:pt idx="822">
                  <c:v>122.60207023620173</c:v>
                </c:pt>
                <c:pt idx="823">
                  <c:v>122.60207396212346</c:v>
                </c:pt>
                <c:pt idx="824">
                  <c:v>122.60207768679744</c:v>
                </c:pt>
                <c:pt idx="825">
                  <c:v>122.60208141022372</c:v>
                </c:pt>
                <c:pt idx="826">
                  <c:v>122.60208513240231</c:v>
                </c:pt>
                <c:pt idx="827">
                  <c:v>122.60208885333321</c:v>
                </c:pt>
                <c:pt idx="828">
                  <c:v>122.60209257301646</c:v>
                </c:pt>
                <c:pt idx="829">
                  <c:v>122.60209629145209</c:v>
                </c:pt>
                <c:pt idx="830">
                  <c:v>122.60210000864008</c:v>
                </c:pt>
                <c:pt idx="831">
                  <c:v>122.60210372458046</c:v>
                </c:pt>
                <c:pt idx="832">
                  <c:v>122.60210743927325</c:v>
                </c:pt>
                <c:pt idx="833">
                  <c:v>122.60211115271848</c:v>
                </c:pt>
                <c:pt idx="834">
                  <c:v>122.60211486491616</c:v>
                </c:pt>
                <c:pt idx="835">
                  <c:v>122.60211857586631</c:v>
                </c:pt>
                <c:pt idx="836">
                  <c:v>122.60212228556895</c:v>
                </c:pt>
                <c:pt idx="837">
                  <c:v>122.60212599402409</c:v>
                </c:pt>
                <c:pt idx="838">
                  <c:v>122.60212970123176</c:v>
                </c:pt>
                <c:pt idx="839">
                  <c:v>122.60213340719197</c:v>
                </c:pt>
                <c:pt idx="840">
                  <c:v>122.60213711190472</c:v>
                </c:pt>
                <c:pt idx="841">
                  <c:v>122.60214081537008</c:v>
                </c:pt>
                <c:pt idx="842">
                  <c:v>122.602144517588</c:v>
                </c:pt>
                <c:pt idx="843">
                  <c:v>122.60214821855855</c:v>
                </c:pt>
                <c:pt idx="844">
                  <c:v>122.60215191828172</c:v>
                </c:pt>
                <c:pt idx="845">
                  <c:v>122.60215561675756</c:v>
                </c:pt>
                <c:pt idx="846">
                  <c:v>122.60215931398606</c:v>
                </c:pt>
                <c:pt idx="847">
                  <c:v>122.60216300996724</c:v>
                </c:pt>
                <c:pt idx="848">
                  <c:v>122.60216670470113</c:v>
                </c:pt>
                <c:pt idx="849">
                  <c:v>122.60217039818775</c:v>
                </c:pt>
                <c:pt idx="850">
                  <c:v>122.6021740904271</c:v>
                </c:pt>
                <c:pt idx="851">
                  <c:v>122.6021777814192</c:v>
                </c:pt>
                <c:pt idx="852">
                  <c:v>122.60218147116407</c:v>
                </c:pt>
                <c:pt idx="853">
                  <c:v>122.60218515966174</c:v>
                </c:pt>
                <c:pt idx="854">
                  <c:v>122.60218884691224</c:v>
                </c:pt>
                <c:pt idx="855">
                  <c:v>122.60219253291555</c:v>
                </c:pt>
                <c:pt idx="856">
                  <c:v>122.60219621767172</c:v>
                </c:pt>
                <c:pt idx="857">
                  <c:v>122.60219990118074</c:v>
                </c:pt>
                <c:pt idx="858">
                  <c:v>122.60220358344264</c:v>
                </c:pt>
                <c:pt idx="859">
                  <c:v>122.60220726445748</c:v>
                </c:pt>
                <c:pt idx="860">
                  <c:v>122.60221094422521</c:v>
                </c:pt>
                <c:pt idx="861">
                  <c:v>122.60221462274588</c:v>
                </c:pt>
                <c:pt idx="862">
                  <c:v>122.60221830001952</c:v>
                </c:pt>
                <c:pt idx="863">
                  <c:v>122.60222197604611</c:v>
                </c:pt>
                <c:pt idx="864">
                  <c:v>122.6022256508257</c:v>
                </c:pt>
                <c:pt idx="865">
                  <c:v>122.60222932435832</c:v>
                </c:pt>
                <c:pt idx="866">
                  <c:v>122.60223299664395</c:v>
                </c:pt>
                <c:pt idx="867">
                  <c:v>122.60223666768265</c:v>
                </c:pt>
                <c:pt idx="868">
                  <c:v>122.6022403374744</c:v>
                </c:pt>
                <c:pt idx="869">
                  <c:v>122.60224400601922</c:v>
                </c:pt>
                <c:pt idx="870">
                  <c:v>122.60224767331717</c:v>
                </c:pt>
                <c:pt idx="871">
                  <c:v>122.60225133936822</c:v>
                </c:pt>
                <c:pt idx="872">
                  <c:v>122.60225500417241</c:v>
                </c:pt>
                <c:pt idx="873">
                  <c:v>122.60225866772976</c:v>
                </c:pt>
                <c:pt idx="874">
                  <c:v>122.60226233004029</c:v>
                </c:pt>
                <c:pt idx="875">
                  <c:v>122.60226599110399</c:v>
                </c:pt>
                <c:pt idx="876">
                  <c:v>122.6022696509209</c:v>
                </c:pt>
                <c:pt idx="877">
                  <c:v>122.60227330949105</c:v>
                </c:pt>
                <c:pt idx="878">
                  <c:v>122.60227696681446</c:v>
                </c:pt>
                <c:pt idx="879">
                  <c:v>122.6022806228911</c:v>
                </c:pt>
                <c:pt idx="880">
                  <c:v>122.60228427772104</c:v>
                </c:pt>
                <c:pt idx="881">
                  <c:v>122.60228793130428</c:v>
                </c:pt>
                <c:pt idx="882">
                  <c:v>122.60229158364083</c:v>
                </c:pt>
                <c:pt idx="883">
                  <c:v>122.60229523473073</c:v>
                </c:pt>
                <c:pt idx="884">
                  <c:v>122.60229888457397</c:v>
                </c:pt>
                <c:pt idx="885">
                  <c:v>122.60230253317059</c:v>
                </c:pt>
                <c:pt idx="886">
                  <c:v>122.60230618052059</c:v>
                </c:pt>
                <c:pt idx="887">
                  <c:v>122.60230982662401</c:v>
                </c:pt>
                <c:pt idx="888">
                  <c:v>122.60231347148085</c:v>
                </c:pt>
                <c:pt idx="889">
                  <c:v>122.60231711509113</c:v>
                </c:pt>
                <c:pt idx="890">
                  <c:v>122.60232075745489</c:v>
                </c:pt>
                <c:pt idx="891">
                  <c:v>122.60232439857211</c:v>
                </c:pt>
                <c:pt idx="892">
                  <c:v>122.60232803844283</c:v>
                </c:pt>
                <c:pt idx="893">
                  <c:v>122.60233167706708</c:v>
                </c:pt>
                <c:pt idx="894">
                  <c:v>122.60233531444487</c:v>
                </c:pt>
                <c:pt idx="895">
                  <c:v>122.6023389505762</c:v>
                </c:pt>
                <c:pt idx="896">
                  <c:v>122.60234258546109</c:v>
                </c:pt>
                <c:pt idx="897">
                  <c:v>122.60234621909957</c:v>
                </c:pt>
                <c:pt idx="898">
                  <c:v>122.60234985149168</c:v>
                </c:pt>
                <c:pt idx="899">
                  <c:v>122.60235348263741</c:v>
                </c:pt>
                <c:pt idx="900">
                  <c:v>122.60235711253677</c:v>
                </c:pt>
                <c:pt idx="901">
                  <c:v>122.6023607411898</c:v>
                </c:pt>
                <c:pt idx="902">
                  <c:v>122.60236436859651</c:v>
                </c:pt>
                <c:pt idx="903">
                  <c:v>122.60236799475692</c:v>
                </c:pt>
                <c:pt idx="904">
                  <c:v>122.60237161967105</c:v>
                </c:pt>
                <c:pt idx="905">
                  <c:v>122.6023752433389</c:v>
                </c:pt>
                <c:pt idx="906">
                  <c:v>122.6023788657605</c:v>
                </c:pt>
                <c:pt idx="907">
                  <c:v>122.60238248693588</c:v>
                </c:pt>
                <c:pt idx="908">
                  <c:v>122.60238610686503</c:v>
                </c:pt>
                <c:pt idx="909">
                  <c:v>122.60238972554799</c:v>
                </c:pt>
                <c:pt idx="910">
                  <c:v>122.6023933429848</c:v>
                </c:pt>
                <c:pt idx="911">
                  <c:v>122.60239695917542</c:v>
                </c:pt>
                <c:pt idx="912">
                  <c:v>122.60240057411991</c:v>
                </c:pt>
                <c:pt idx="913">
                  <c:v>122.60240418781828</c:v>
                </c:pt>
                <c:pt idx="914">
                  <c:v>122.60240780027057</c:v>
                </c:pt>
                <c:pt idx="915">
                  <c:v>122.60241141147675</c:v>
                </c:pt>
                <c:pt idx="916">
                  <c:v>122.60241502143685</c:v>
                </c:pt>
                <c:pt idx="917">
                  <c:v>122.60241863015091</c:v>
                </c:pt>
                <c:pt idx="918">
                  <c:v>122.60242223761894</c:v>
                </c:pt>
                <c:pt idx="919">
                  <c:v>122.60242584384098</c:v>
                </c:pt>
                <c:pt idx="920">
                  <c:v>122.60242944881701</c:v>
                </c:pt>
                <c:pt idx="921">
                  <c:v>122.60243305254704</c:v>
                </c:pt>
                <c:pt idx="922">
                  <c:v>122.60243665503113</c:v>
                </c:pt>
                <c:pt idx="923">
                  <c:v>122.60244025626928</c:v>
                </c:pt>
                <c:pt idx="924">
                  <c:v>122.60244385626149</c:v>
                </c:pt>
                <c:pt idx="925">
                  <c:v>122.60244745500781</c:v>
                </c:pt>
                <c:pt idx="926">
                  <c:v>122.60245105250824</c:v>
                </c:pt>
                <c:pt idx="927">
                  <c:v>122.6024546487628</c:v>
                </c:pt>
                <c:pt idx="928">
                  <c:v>122.60245824377151</c:v>
                </c:pt>
                <c:pt idx="929">
                  <c:v>122.60246183753439</c:v>
                </c:pt>
                <c:pt idx="930">
                  <c:v>122.60246543005145</c:v>
                </c:pt>
                <c:pt idx="931">
                  <c:v>122.60246902132272</c:v>
                </c:pt>
                <c:pt idx="932">
                  <c:v>122.60247261134822</c:v>
                </c:pt>
                <c:pt idx="933">
                  <c:v>122.60247620012794</c:v>
                </c:pt>
                <c:pt idx="934">
                  <c:v>122.60247978766192</c:v>
                </c:pt>
                <c:pt idx="935">
                  <c:v>122.60248337395018</c:v>
                </c:pt>
                <c:pt idx="936">
                  <c:v>122.60248695899273</c:v>
                </c:pt>
                <c:pt idx="937">
                  <c:v>122.6024905427896</c:v>
                </c:pt>
                <c:pt idx="938">
                  <c:v>122.60249412534078</c:v>
                </c:pt>
                <c:pt idx="939">
                  <c:v>122.60249770664632</c:v>
                </c:pt>
                <c:pt idx="940">
                  <c:v>122.60250128670624</c:v>
                </c:pt>
                <c:pt idx="941">
                  <c:v>122.60250486552053</c:v>
                </c:pt>
                <c:pt idx="942">
                  <c:v>122.60250844308922</c:v>
                </c:pt>
                <c:pt idx="943">
                  <c:v>122.60251201941233</c:v>
                </c:pt>
                <c:pt idx="944">
                  <c:v>122.60251559448987</c:v>
                </c:pt>
                <c:pt idx="945">
                  <c:v>122.60251916832189</c:v>
                </c:pt>
                <c:pt idx="946">
                  <c:v>122.60252274090837</c:v>
                </c:pt>
                <c:pt idx="947">
                  <c:v>122.60252631224934</c:v>
                </c:pt>
                <c:pt idx="948">
                  <c:v>122.60252988234483</c:v>
                </c:pt>
                <c:pt idx="949">
                  <c:v>122.60253345119483</c:v>
                </c:pt>
                <c:pt idx="950">
                  <c:v>122.6025370187994</c:v>
                </c:pt>
                <c:pt idx="951">
                  <c:v>122.60254058515852</c:v>
                </c:pt>
                <c:pt idx="952">
                  <c:v>122.60254415027224</c:v>
                </c:pt>
                <c:pt idx="953">
                  <c:v>122.60254771414054</c:v>
                </c:pt>
                <c:pt idx="954">
                  <c:v>122.60255127676346</c:v>
                </c:pt>
                <c:pt idx="955">
                  <c:v>122.60255483814103</c:v>
                </c:pt>
                <c:pt idx="956">
                  <c:v>122.60255839827323</c:v>
                </c:pt>
                <c:pt idx="957">
                  <c:v>122.60256195716013</c:v>
                </c:pt>
                <c:pt idx="958">
                  <c:v>122.60256551480171</c:v>
                </c:pt>
                <c:pt idx="959">
                  <c:v>122.60256907119799</c:v>
                </c:pt>
                <c:pt idx="960">
                  <c:v>122.602572626349</c:v>
                </c:pt>
                <c:pt idx="961">
                  <c:v>122.60257618025477</c:v>
                </c:pt>
                <c:pt idx="962">
                  <c:v>122.60257973291529</c:v>
                </c:pt>
                <c:pt idx="963">
                  <c:v>122.60258328433061</c:v>
                </c:pt>
                <c:pt idx="964">
                  <c:v>122.6025868345007</c:v>
                </c:pt>
                <c:pt idx="965">
                  <c:v>122.60259038342562</c:v>
                </c:pt>
                <c:pt idx="966">
                  <c:v>122.60259393110537</c:v>
                </c:pt>
                <c:pt idx="967">
                  <c:v>122.60259747753997</c:v>
                </c:pt>
                <c:pt idx="968">
                  <c:v>122.60260102272946</c:v>
                </c:pt>
                <c:pt idx="969">
                  <c:v>122.60260456667382</c:v>
                </c:pt>
                <c:pt idx="970">
                  <c:v>122.60260810937309</c:v>
                </c:pt>
                <c:pt idx="971">
                  <c:v>122.6026116508273</c:v>
                </c:pt>
                <c:pt idx="972">
                  <c:v>122.60261519103645</c:v>
                </c:pt>
                <c:pt idx="973">
                  <c:v>122.60261873000056</c:v>
                </c:pt>
                <c:pt idx="974">
                  <c:v>122.60262226771964</c:v>
                </c:pt>
                <c:pt idx="975">
                  <c:v>122.60262580419372</c:v>
                </c:pt>
                <c:pt idx="976">
                  <c:v>122.60262933942282</c:v>
                </c:pt>
                <c:pt idx="977">
                  <c:v>122.60263287340696</c:v>
                </c:pt>
                <c:pt idx="978">
                  <c:v>122.60263640614615</c:v>
                </c:pt>
                <c:pt idx="979">
                  <c:v>122.6026399376404</c:v>
                </c:pt>
                <c:pt idx="980">
                  <c:v>122.60264346788975</c:v>
                </c:pt>
                <c:pt idx="981">
                  <c:v>122.60264699689419</c:v>
                </c:pt>
                <c:pt idx="982">
                  <c:v>122.60265052465378</c:v>
                </c:pt>
                <c:pt idx="983">
                  <c:v>122.6026540511685</c:v>
                </c:pt>
                <c:pt idx="984">
                  <c:v>122.60265757643838</c:v>
                </c:pt>
                <c:pt idx="985">
                  <c:v>122.60266110046342</c:v>
                </c:pt>
                <c:pt idx="986">
                  <c:v>122.60266462324367</c:v>
                </c:pt>
                <c:pt idx="987">
                  <c:v>122.60266814477914</c:v>
                </c:pt>
                <c:pt idx="988">
                  <c:v>122.60267166506985</c:v>
                </c:pt>
                <c:pt idx="989">
                  <c:v>122.60267518411578</c:v>
                </c:pt>
                <c:pt idx="990">
                  <c:v>122.602678701917</c:v>
                </c:pt>
                <c:pt idx="991">
                  <c:v>122.6026822184735</c:v>
                </c:pt>
                <c:pt idx="992">
                  <c:v>122.60268573378531</c:v>
                </c:pt>
                <c:pt idx="993">
                  <c:v>122.60268924785244</c:v>
                </c:pt>
                <c:pt idx="994">
                  <c:v>122.60269276067491</c:v>
                </c:pt>
                <c:pt idx="995">
                  <c:v>122.60269627225273</c:v>
                </c:pt>
                <c:pt idx="996">
                  <c:v>122.60269978258594</c:v>
                </c:pt>
                <c:pt idx="997">
                  <c:v>122.60270329167454</c:v>
                </c:pt>
                <c:pt idx="998">
                  <c:v>122.60270679951856</c:v>
                </c:pt>
                <c:pt idx="999">
                  <c:v>122.602710306118</c:v>
                </c:pt>
                <c:pt idx="1000">
                  <c:v>122.6027138114729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D-4013-AEEF-2FD179FA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5760"/>
        <c:axId val="149132032"/>
      </c:scatterChart>
      <c:valAx>
        <c:axId val="149125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132032"/>
        <c:crosses val="autoZero"/>
        <c:crossBetween val="midCat"/>
      </c:valAx>
      <c:valAx>
        <c:axId val="1491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Courbes!$B$141</c:f>
              <c:strCache>
                <c:ptCount val="1"/>
                <c:pt idx="0">
                  <c:v>Vitesse [m/s]</c:v>
                </c:pt>
              </c:strCache>
            </c:strRef>
          </c:tx>
          <c:layout>
            <c:manualLayout>
              <c:xMode val="edge"/>
              <c:yMode val="edge"/>
              <c:x val="2.5943396226415099E-2"/>
              <c:y val="0.228758705161854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125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9684544148961"/>
          <c:y val="0.46444479440069991"/>
          <c:w val="0.13207559550339221"/>
          <c:h val="7.77777777777777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Accélérations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339622641509524E-2"/>
          <c:y val="9.4771241830065356E-2"/>
          <c:w val="0.88679245283019104"/>
          <c:h val="0.81699346405228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Courbes!$B$137</c:f>
              <c:strCache>
                <c:ptCount val="1"/>
                <c:pt idx="0">
                  <c:v>Accélération longitudinale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5.7</c:v>
                </c:pt>
                <c:pt idx="1">
                  <c:v>5.71</c:v>
                </c:pt>
                <c:pt idx="2">
                  <c:v>5.72</c:v>
                </c:pt>
                <c:pt idx="3">
                  <c:v>5.7299999999999995</c:v>
                </c:pt>
                <c:pt idx="4">
                  <c:v>5.7399999999999993</c:v>
                </c:pt>
                <c:pt idx="5">
                  <c:v>5.7499999999999991</c:v>
                </c:pt>
                <c:pt idx="6">
                  <c:v>5.7599999999999989</c:v>
                </c:pt>
                <c:pt idx="7">
                  <c:v>5.7699999999999987</c:v>
                </c:pt>
                <c:pt idx="8">
                  <c:v>5.7799999999999985</c:v>
                </c:pt>
                <c:pt idx="9">
                  <c:v>5.7899999999999983</c:v>
                </c:pt>
                <c:pt idx="10">
                  <c:v>5.799999999999998</c:v>
                </c:pt>
                <c:pt idx="11">
                  <c:v>5.8099999999999978</c:v>
                </c:pt>
                <c:pt idx="12">
                  <c:v>5.8199999999999976</c:v>
                </c:pt>
                <c:pt idx="13">
                  <c:v>5.8299999999999974</c:v>
                </c:pt>
                <c:pt idx="14">
                  <c:v>5.8399999999999972</c:v>
                </c:pt>
                <c:pt idx="15">
                  <c:v>5.849999999999997</c:v>
                </c:pt>
                <c:pt idx="16">
                  <c:v>5.8599999999999968</c:v>
                </c:pt>
                <c:pt idx="17">
                  <c:v>5.8699999999999966</c:v>
                </c:pt>
                <c:pt idx="18">
                  <c:v>5.8799999999999963</c:v>
                </c:pt>
                <c:pt idx="19">
                  <c:v>5.8899999999999961</c:v>
                </c:pt>
                <c:pt idx="20">
                  <c:v>5.8999999999999959</c:v>
                </c:pt>
                <c:pt idx="21">
                  <c:v>5.9099999999999957</c:v>
                </c:pt>
                <c:pt idx="22">
                  <c:v>5.9199999999999955</c:v>
                </c:pt>
                <c:pt idx="23">
                  <c:v>5.9299999999999953</c:v>
                </c:pt>
                <c:pt idx="24">
                  <c:v>5.9399999999999951</c:v>
                </c:pt>
                <c:pt idx="25">
                  <c:v>5.9499999999999948</c:v>
                </c:pt>
                <c:pt idx="26">
                  <c:v>5.9599999999999946</c:v>
                </c:pt>
                <c:pt idx="27">
                  <c:v>5.9699999999999944</c:v>
                </c:pt>
                <c:pt idx="28">
                  <c:v>5.9799999999999942</c:v>
                </c:pt>
                <c:pt idx="29">
                  <c:v>5.989999999999994</c:v>
                </c:pt>
                <c:pt idx="30">
                  <c:v>5.9999999999999938</c:v>
                </c:pt>
                <c:pt idx="31">
                  <c:v>6.0099999999999936</c:v>
                </c:pt>
                <c:pt idx="32">
                  <c:v>6.0199999999999934</c:v>
                </c:pt>
                <c:pt idx="33">
                  <c:v>6.0299999999999931</c:v>
                </c:pt>
                <c:pt idx="34">
                  <c:v>6.0399999999999929</c:v>
                </c:pt>
                <c:pt idx="35">
                  <c:v>6.0499999999999927</c:v>
                </c:pt>
                <c:pt idx="36">
                  <c:v>6.0599999999999925</c:v>
                </c:pt>
                <c:pt idx="37">
                  <c:v>6.0699999999999923</c:v>
                </c:pt>
                <c:pt idx="38">
                  <c:v>6.0799999999999921</c:v>
                </c:pt>
                <c:pt idx="39">
                  <c:v>6.0899999999999919</c:v>
                </c:pt>
                <c:pt idx="40">
                  <c:v>6.0999999999999917</c:v>
                </c:pt>
                <c:pt idx="41">
                  <c:v>6.1099999999999914</c:v>
                </c:pt>
                <c:pt idx="42">
                  <c:v>6.1199999999999912</c:v>
                </c:pt>
                <c:pt idx="43">
                  <c:v>6.129999999999991</c:v>
                </c:pt>
                <c:pt idx="44">
                  <c:v>6.1399999999999908</c:v>
                </c:pt>
                <c:pt idx="45">
                  <c:v>6.1499999999999906</c:v>
                </c:pt>
                <c:pt idx="46">
                  <c:v>6.1599999999999904</c:v>
                </c:pt>
                <c:pt idx="47">
                  <c:v>6.1699999999999902</c:v>
                </c:pt>
                <c:pt idx="48">
                  <c:v>6.1799999999999899</c:v>
                </c:pt>
                <c:pt idx="49">
                  <c:v>6.1899999999999897</c:v>
                </c:pt>
                <c:pt idx="50">
                  <c:v>6.1999999999999895</c:v>
                </c:pt>
                <c:pt idx="51">
                  <c:v>6.2099999999999893</c:v>
                </c:pt>
                <c:pt idx="52">
                  <c:v>6.2199999999999891</c:v>
                </c:pt>
                <c:pt idx="53">
                  <c:v>6.2299999999999889</c:v>
                </c:pt>
                <c:pt idx="54">
                  <c:v>6.2399999999999887</c:v>
                </c:pt>
                <c:pt idx="55">
                  <c:v>6.2499999999999885</c:v>
                </c:pt>
                <c:pt idx="56">
                  <c:v>6.2599999999999882</c:v>
                </c:pt>
                <c:pt idx="57">
                  <c:v>6.269999999999988</c:v>
                </c:pt>
                <c:pt idx="58">
                  <c:v>6.2799999999999878</c:v>
                </c:pt>
                <c:pt idx="59">
                  <c:v>6.2899999999999876</c:v>
                </c:pt>
                <c:pt idx="60">
                  <c:v>6.2999999999999874</c:v>
                </c:pt>
                <c:pt idx="61">
                  <c:v>6.3099999999999872</c:v>
                </c:pt>
                <c:pt idx="62">
                  <c:v>6.319999999999987</c:v>
                </c:pt>
                <c:pt idx="63">
                  <c:v>6.3299999999999867</c:v>
                </c:pt>
                <c:pt idx="64">
                  <c:v>6.3399999999999865</c:v>
                </c:pt>
                <c:pt idx="65">
                  <c:v>6.3499999999999863</c:v>
                </c:pt>
                <c:pt idx="66">
                  <c:v>6.3599999999999861</c:v>
                </c:pt>
                <c:pt idx="67">
                  <c:v>6.3699999999999859</c:v>
                </c:pt>
                <c:pt idx="68">
                  <c:v>6.3799999999999857</c:v>
                </c:pt>
                <c:pt idx="69">
                  <c:v>6.3899999999999855</c:v>
                </c:pt>
                <c:pt idx="70">
                  <c:v>6.3999999999999853</c:v>
                </c:pt>
                <c:pt idx="71">
                  <c:v>6.409999999999985</c:v>
                </c:pt>
                <c:pt idx="72">
                  <c:v>6.4199999999999848</c:v>
                </c:pt>
                <c:pt idx="73">
                  <c:v>6.4299999999999846</c:v>
                </c:pt>
                <c:pt idx="74">
                  <c:v>6.4399999999999844</c:v>
                </c:pt>
                <c:pt idx="75">
                  <c:v>6.4499999999999842</c:v>
                </c:pt>
                <c:pt idx="76">
                  <c:v>6.459999999999984</c:v>
                </c:pt>
                <c:pt idx="77">
                  <c:v>6.4699999999999838</c:v>
                </c:pt>
                <c:pt idx="78">
                  <c:v>6.4799999999999836</c:v>
                </c:pt>
                <c:pt idx="79">
                  <c:v>6.4899999999999833</c:v>
                </c:pt>
                <c:pt idx="80">
                  <c:v>6.4999999999999831</c:v>
                </c:pt>
                <c:pt idx="81">
                  <c:v>6.5099999999999829</c:v>
                </c:pt>
                <c:pt idx="82">
                  <c:v>6.5199999999999827</c:v>
                </c:pt>
                <c:pt idx="83">
                  <c:v>6.5299999999999825</c:v>
                </c:pt>
                <c:pt idx="84">
                  <c:v>6.5399999999999823</c:v>
                </c:pt>
                <c:pt idx="85">
                  <c:v>6.5499999999999821</c:v>
                </c:pt>
                <c:pt idx="86">
                  <c:v>6.5599999999999818</c:v>
                </c:pt>
                <c:pt idx="87">
                  <c:v>6.5699999999999816</c:v>
                </c:pt>
                <c:pt idx="88">
                  <c:v>6.5799999999999814</c:v>
                </c:pt>
                <c:pt idx="89">
                  <c:v>6.5899999999999812</c:v>
                </c:pt>
                <c:pt idx="90">
                  <c:v>6.599999999999981</c:v>
                </c:pt>
                <c:pt idx="91">
                  <c:v>6.6099999999999808</c:v>
                </c:pt>
                <c:pt idx="92">
                  <c:v>6.6199999999999806</c:v>
                </c:pt>
                <c:pt idx="93">
                  <c:v>6.6299999999999804</c:v>
                </c:pt>
                <c:pt idx="94">
                  <c:v>6.6399999999999801</c:v>
                </c:pt>
                <c:pt idx="95">
                  <c:v>6.6499999999999799</c:v>
                </c:pt>
                <c:pt idx="96">
                  <c:v>6.6599999999999797</c:v>
                </c:pt>
                <c:pt idx="97">
                  <c:v>6.6699999999999795</c:v>
                </c:pt>
                <c:pt idx="98">
                  <c:v>6.6799999999999793</c:v>
                </c:pt>
                <c:pt idx="99">
                  <c:v>6.6899999999999791</c:v>
                </c:pt>
                <c:pt idx="100">
                  <c:v>6.6999999999999789</c:v>
                </c:pt>
                <c:pt idx="101">
                  <c:v>6.7099999999999786</c:v>
                </c:pt>
                <c:pt idx="102">
                  <c:v>6.7199999999999784</c:v>
                </c:pt>
                <c:pt idx="103">
                  <c:v>6.7299999999999782</c:v>
                </c:pt>
                <c:pt idx="104">
                  <c:v>6.739999999999978</c:v>
                </c:pt>
                <c:pt idx="105">
                  <c:v>6.7499999999999778</c:v>
                </c:pt>
                <c:pt idx="106">
                  <c:v>6.7599999999999776</c:v>
                </c:pt>
                <c:pt idx="107">
                  <c:v>6.7699999999999774</c:v>
                </c:pt>
                <c:pt idx="108">
                  <c:v>6.7799999999999772</c:v>
                </c:pt>
                <c:pt idx="109">
                  <c:v>6.7899999999999769</c:v>
                </c:pt>
                <c:pt idx="110">
                  <c:v>6.7999999999999767</c:v>
                </c:pt>
                <c:pt idx="111">
                  <c:v>6.8099999999999765</c:v>
                </c:pt>
                <c:pt idx="112">
                  <c:v>6.8199999999999763</c:v>
                </c:pt>
                <c:pt idx="113">
                  <c:v>6.8299999999999761</c:v>
                </c:pt>
                <c:pt idx="114">
                  <c:v>6.8399999999999759</c:v>
                </c:pt>
                <c:pt idx="115">
                  <c:v>6.8499999999999757</c:v>
                </c:pt>
                <c:pt idx="116">
                  <c:v>6.8599999999999755</c:v>
                </c:pt>
                <c:pt idx="117">
                  <c:v>6.8699999999999752</c:v>
                </c:pt>
                <c:pt idx="118">
                  <c:v>6.879999999999975</c:v>
                </c:pt>
                <c:pt idx="119">
                  <c:v>6.8899999999999748</c:v>
                </c:pt>
                <c:pt idx="120">
                  <c:v>6.8999999999999746</c:v>
                </c:pt>
                <c:pt idx="121">
                  <c:v>6.9099999999999744</c:v>
                </c:pt>
                <c:pt idx="122">
                  <c:v>6.9199999999999742</c:v>
                </c:pt>
                <c:pt idx="123">
                  <c:v>6.929999999999974</c:v>
                </c:pt>
                <c:pt idx="124">
                  <c:v>6.9399999999999737</c:v>
                </c:pt>
                <c:pt idx="125">
                  <c:v>6.9499999999999735</c:v>
                </c:pt>
                <c:pt idx="126">
                  <c:v>6.9599999999999733</c:v>
                </c:pt>
                <c:pt idx="127">
                  <c:v>6.9699999999999731</c:v>
                </c:pt>
                <c:pt idx="128">
                  <c:v>6.9799999999999729</c:v>
                </c:pt>
                <c:pt idx="129">
                  <c:v>6.9899999999999727</c:v>
                </c:pt>
                <c:pt idx="130">
                  <c:v>6.9999999999999725</c:v>
                </c:pt>
                <c:pt idx="131">
                  <c:v>7.0099999999999723</c:v>
                </c:pt>
                <c:pt idx="132">
                  <c:v>7.019999999999972</c:v>
                </c:pt>
                <c:pt idx="133">
                  <c:v>7.0299999999999718</c:v>
                </c:pt>
                <c:pt idx="134">
                  <c:v>7.0399999999999716</c:v>
                </c:pt>
                <c:pt idx="135">
                  <c:v>7.0499999999999714</c:v>
                </c:pt>
                <c:pt idx="136">
                  <c:v>7.0599999999999712</c:v>
                </c:pt>
                <c:pt idx="137">
                  <c:v>7.069999999999971</c:v>
                </c:pt>
                <c:pt idx="138">
                  <c:v>7.0799999999999708</c:v>
                </c:pt>
                <c:pt idx="139">
                  <c:v>7.0899999999999705</c:v>
                </c:pt>
                <c:pt idx="140">
                  <c:v>7.0999999999999703</c:v>
                </c:pt>
                <c:pt idx="141">
                  <c:v>7.1099999999999701</c:v>
                </c:pt>
                <c:pt idx="142">
                  <c:v>7.1199999999999699</c:v>
                </c:pt>
                <c:pt idx="143">
                  <c:v>7.1299999999999697</c:v>
                </c:pt>
                <c:pt idx="144">
                  <c:v>7.1399999999999695</c:v>
                </c:pt>
                <c:pt idx="145">
                  <c:v>7.1499999999999693</c:v>
                </c:pt>
                <c:pt idx="146">
                  <c:v>7.1599999999999691</c:v>
                </c:pt>
                <c:pt idx="147">
                  <c:v>7.1699999999999688</c:v>
                </c:pt>
                <c:pt idx="148">
                  <c:v>7.1799999999999686</c:v>
                </c:pt>
                <c:pt idx="149">
                  <c:v>7.1899999999999684</c:v>
                </c:pt>
                <c:pt idx="150">
                  <c:v>7.1999999999999682</c:v>
                </c:pt>
                <c:pt idx="151">
                  <c:v>7.209999999999968</c:v>
                </c:pt>
                <c:pt idx="152">
                  <c:v>7.2199999999999678</c:v>
                </c:pt>
                <c:pt idx="153">
                  <c:v>7.2299999999999676</c:v>
                </c:pt>
                <c:pt idx="154">
                  <c:v>7.2399999999999674</c:v>
                </c:pt>
                <c:pt idx="155">
                  <c:v>7.2499999999999671</c:v>
                </c:pt>
                <c:pt idx="156">
                  <c:v>7.2599999999999669</c:v>
                </c:pt>
                <c:pt idx="157">
                  <c:v>7.2699999999999667</c:v>
                </c:pt>
                <c:pt idx="158">
                  <c:v>7.2799999999999665</c:v>
                </c:pt>
                <c:pt idx="159">
                  <c:v>7.2899999999999663</c:v>
                </c:pt>
                <c:pt idx="160">
                  <c:v>7.2999999999999661</c:v>
                </c:pt>
                <c:pt idx="161">
                  <c:v>7.3099999999999659</c:v>
                </c:pt>
                <c:pt idx="162">
                  <c:v>7.3199999999999656</c:v>
                </c:pt>
                <c:pt idx="163">
                  <c:v>7.3299999999999654</c:v>
                </c:pt>
                <c:pt idx="164">
                  <c:v>7.3399999999999652</c:v>
                </c:pt>
                <c:pt idx="165">
                  <c:v>7.349999999999965</c:v>
                </c:pt>
                <c:pt idx="166">
                  <c:v>7.3599999999999648</c:v>
                </c:pt>
                <c:pt idx="167">
                  <c:v>7.3699999999999646</c:v>
                </c:pt>
                <c:pt idx="168">
                  <c:v>7.3799999999999644</c:v>
                </c:pt>
                <c:pt idx="169">
                  <c:v>7.3899999999999642</c:v>
                </c:pt>
                <c:pt idx="170">
                  <c:v>7.3999999999999639</c:v>
                </c:pt>
                <c:pt idx="171">
                  <c:v>7.4099999999999637</c:v>
                </c:pt>
                <c:pt idx="172">
                  <c:v>7.4199999999999635</c:v>
                </c:pt>
                <c:pt idx="173">
                  <c:v>7.4299999999999633</c:v>
                </c:pt>
                <c:pt idx="174">
                  <c:v>7.4399999999999631</c:v>
                </c:pt>
                <c:pt idx="175">
                  <c:v>7.4499999999999629</c:v>
                </c:pt>
                <c:pt idx="176">
                  <c:v>7.4599999999999627</c:v>
                </c:pt>
                <c:pt idx="177">
                  <c:v>7.4699999999999624</c:v>
                </c:pt>
                <c:pt idx="178">
                  <c:v>7.4799999999999622</c:v>
                </c:pt>
                <c:pt idx="179">
                  <c:v>7.489999999999962</c:v>
                </c:pt>
                <c:pt idx="180">
                  <c:v>7.4999999999999618</c:v>
                </c:pt>
                <c:pt idx="181">
                  <c:v>7.5099999999999616</c:v>
                </c:pt>
                <c:pt idx="182">
                  <c:v>7.5199999999999614</c:v>
                </c:pt>
                <c:pt idx="183">
                  <c:v>7.5299999999999612</c:v>
                </c:pt>
                <c:pt idx="184">
                  <c:v>7.539999999999961</c:v>
                </c:pt>
                <c:pt idx="185">
                  <c:v>7.5499999999999607</c:v>
                </c:pt>
                <c:pt idx="186">
                  <c:v>7.5599999999999605</c:v>
                </c:pt>
                <c:pt idx="187">
                  <c:v>7.5699999999999603</c:v>
                </c:pt>
                <c:pt idx="188">
                  <c:v>7.5799999999999601</c:v>
                </c:pt>
                <c:pt idx="189">
                  <c:v>7.5899999999999599</c:v>
                </c:pt>
                <c:pt idx="190">
                  <c:v>7.5999999999999597</c:v>
                </c:pt>
                <c:pt idx="191">
                  <c:v>7.6099999999999595</c:v>
                </c:pt>
                <c:pt idx="192">
                  <c:v>7.6199999999999593</c:v>
                </c:pt>
                <c:pt idx="193">
                  <c:v>7.629999999999959</c:v>
                </c:pt>
                <c:pt idx="194">
                  <c:v>7.6399999999999588</c:v>
                </c:pt>
                <c:pt idx="195">
                  <c:v>7.6499999999999586</c:v>
                </c:pt>
                <c:pt idx="196">
                  <c:v>7.6599999999999584</c:v>
                </c:pt>
                <c:pt idx="197">
                  <c:v>7.6699999999999582</c:v>
                </c:pt>
                <c:pt idx="198">
                  <c:v>7.679999999999958</c:v>
                </c:pt>
                <c:pt idx="199">
                  <c:v>7.6899999999999578</c:v>
                </c:pt>
                <c:pt idx="200">
                  <c:v>7.6999999999999575</c:v>
                </c:pt>
                <c:pt idx="201">
                  <c:v>7.7999999999999572</c:v>
                </c:pt>
                <c:pt idx="202">
                  <c:v>7.8999999999999568</c:v>
                </c:pt>
                <c:pt idx="203">
                  <c:v>7.9999999999999565</c:v>
                </c:pt>
                <c:pt idx="204">
                  <c:v>8.099999999999957</c:v>
                </c:pt>
                <c:pt idx="205">
                  <c:v>8.1999999999999567</c:v>
                </c:pt>
                <c:pt idx="206">
                  <c:v>8.2999999999999563</c:v>
                </c:pt>
                <c:pt idx="207">
                  <c:v>8.3999999999999559</c:v>
                </c:pt>
                <c:pt idx="208">
                  <c:v>8.4999999999999556</c:v>
                </c:pt>
                <c:pt idx="209">
                  <c:v>8.5999999999999552</c:v>
                </c:pt>
                <c:pt idx="210">
                  <c:v>8.6999999999999549</c:v>
                </c:pt>
                <c:pt idx="211">
                  <c:v>8.7999999999999545</c:v>
                </c:pt>
                <c:pt idx="212">
                  <c:v>8.8999999999999542</c:v>
                </c:pt>
                <c:pt idx="213">
                  <c:v>8.9999999999999538</c:v>
                </c:pt>
                <c:pt idx="214">
                  <c:v>9.0999999999999535</c:v>
                </c:pt>
                <c:pt idx="215">
                  <c:v>9.1999999999999531</c:v>
                </c:pt>
                <c:pt idx="216">
                  <c:v>9.2999999999999527</c:v>
                </c:pt>
                <c:pt idx="217">
                  <c:v>9.3999999999999524</c:v>
                </c:pt>
                <c:pt idx="218">
                  <c:v>9.499999999999952</c:v>
                </c:pt>
                <c:pt idx="219">
                  <c:v>9.5999999999999517</c:v>
                </c:pt>
                <c:pt idx="220">
                  <c:v>9.6999999999999513</c:v>
                </c:pt>
                <c:pt idx="221">
                  <c:v>9.799999999999951</c:v>
                </c:pt>
                <c:pt idx="222">
                  <c:v>9.8999999999999506</c:v>
                </c:pt>
                <c:pt idx="223">
                  <c:v>9.9999999999999503</c:v>
                </c:pt>
                <c:pt idx="224">
                  <c:v>10.09999999999995</c:v>
                </c:pt>
                <c:pt idx="225">
                  <c:v>10.19999999999995</c:v>
                </c:pt>
                <c:pt idx="226">
                  <c:v>10.299999999999949</c:v>
                </c:pt>
                <c:pt idx="227">
                  <c:v>10.399999999999949</c:v>
                </c:pt>
                <c:pt idx="228">
                  <c:v>10.499999999999948</c:v>
                </c:pt>
                <c:pt idx="229">
                  <c:v>10.599999999999948</c:v>
                </c:pt>
                <c:pt idx="230">
                  <c:v>10.699999999999948</c:v>
                </c:pt>
                <c:pt idx="231">
                  <c:v>10.799999999999947</c:v>
                </c:pt>
                <c:pt idx="232">
                  <c:v>10.899999999999947</c:v>
                </c:pt>
                <c:pt idx="233">
                  <c:v>10.999999999999947</c:v>
                </c:pt>
                <c:pt idx="234">
                  <c:v>11.099999999999946</c:v>
                </c:pt>
                <c:pt idx="235">
                  <c:v>11.199999999999946</c:v>
                </c:pt>
                <c:pt idx="236">
                  <c:v>11.299999999999946</c:v>
                </c:pt>
                <c:pt idx="237">
                  <c:v>11.399999999999945</c:v>
                </c:pt>
                <c:pt idx="238">
                  <c:v>11.499999999999945</c:v>
                </c:pt>
                <c:pt idx="239">
                  <c:v>11.599999999999945</c:v>
                </c:pt>
                <c:pt idx="240">
                  <c:v>11.699999999999944</c:v>
                </c:pt>
                <c:pt idx="241">
                  <c:v>11.799999999999944</c:v>
                </c:pt>
                <c:pt idx="242">
                  <c:v>11.899999999999944</c:v>
                </c:pt>
                <c:pt idx="243">
                  <c:v>11.999999999999943</c:v>
                </c:pt>
                <c:pt idx="244">
                  <c:v>12.099999999999943</c:v>
                </c:pt>
                <c:pt idx="245">
                  <c:v>12.199999999999942</c:v>
                </c:pt>
                <c:pt idx="246">
                  <c:v>12.299999999999942</c:v>
                </c:pt>
                <c:pt idx="247">
                  <c:v>12.399999999999942</c:v>
                </c:pt>
                <c:pt idx="248">
                  <c:v>12.499999999999941</c:v>
                </c:pt>
                <c:pt idx="249">
                  <c:v>12.599999999999941</c:v>
                </c:pt>
                <c:pt idx="250">
                  <c:v>12.699999999999941</c:v>
                </c:pt>
                <c:pt idx="251">
                  <c:v>12.79999999999994</c:v>
                </c:pt>
                <c:pt idx="252">
                  <c:v>12.89999999999994</c:v>
                </c:pt>
                <c:pt idx="253">
                  <c:v>12.99999999999994</c:v>
                </c:pt>
                <c:pt idx="254">
                  <c:v>13.099999999999939</c:v>
                </c:pt>
                <c:pt idx="255">
                  <c:v>13.199999999999939</c:v>
                </c:pt>
                <c:pt idx="256">
                  <c:v>13.299999999999939</c:v>
                </c:pt>
                <c:pt idx="257">
                  <c:v>13.399999999999938</c:v>
                </c:pt>
                <c:pt idx="258">
                  <c:v>13.499999999999938</c:v>
                </c:pt>
                <c:pt idx="259">
                  <c:v>13.599999999999937</c:v>
                </c:pt>
                <c:pt idx="260">
                  <c:v>13.699999999999937</c:v>
                </c:pt>
                <c:pt idx="261">
                  <c:v>13.799999999999937</c:v>
                </c:pt>
                <c:pt idx="262">
                  <c:v>13.899999999999936</c:v>
                </c:pt>
                <c:pt idx="263">
                  <c:v>13.999999999999936</c:v>
                </c:pt>
                <c:pt idx="264">
                  <c:v>14.099999999999936</c:v>
                </c:pt>
                <c:pt idx="265">
                  <c:v>14.199999999999935</c:v>
                </c:pt>
                <c:pt idx="266">
                  <c:v>14.299999999999935</c:v>
                </c:pt>
                <c:pt idx="267">
                  <c:v>14.399999999999935</c:v>
                </c:pt>
                <c:pt idx="268">
                  <c:v>14.499999999999934</c:v>
                </c:pt>
                <c:pt idx="269">
                  <c:v>14.599999999999934</c:v>
                </c:pt>
                <c:pt idx="270">
                  <c:v>14.699999999999934</c:v>
                </c:pt>
                <c:pt idx="271">
                  <c:v>14.799999999999933</c:v>
                </c:pt>
                <c:pt idx="272">
                  <c:v>14.899999999999933</c:v>
                </c:pt>
                <c:pt idx="273">
                  <c:v>14.999999999999932</c:v>
                </c:pt>
                <c:pt idx="274">
                  <c:v>15.099999999999932</c:v>
                </c:pt>
                <c:pt idx="275">
                  <c:v>15.199999999999932</c:v>
                </c:pt>
                <c:pt idx="276">
                  <c:v>15.299999999999931</c:v>
                </c:pt>
                <c:pt idx="277">
                  <c:v>15.399999999999931</c:v>
                </c:pt>
                <c:pt idx="278">
                  <c:v>15.499999999999931</c:v>
                </c:pt>
                <c:pt idx="279">
                  <c:v>15.59999999999993</c:v>
                </c:pt>
                <c:pt idx="280">
                  <c:v>15.69999999999993</c:v>
                </c:pt>
                <c:pt idx="281">
                  <c:v>15.79999999999993</c:v>
                </c:pt>
                <c:pt idx="282">
                  <c:v>15.899999999999929</c:v>
                </c:pt>
                <c:pt idx="283">
                  <c:v>15.999999999999929</c:v>
                </c:pt>
                <c:pt idx="284">
                  <c:v>16.09999999999993</c:v>
                </c:pt>
                <c:pt idx="285">
                  <c:v>16.199999999999932</c:v>
                </c:pt>
                <c:pt idx="286">
                  <c:v>16.299999999999933</c:v>
                </c:pt>
                <c:pt idx="287">
                  <c:v>16.399999999999935</c:v>
                </c:pt>
                <c:pt idx="288">
                  <c:v>16.499999999999936</c:v>
                </c:pt>
                <c:pt idx="289">
                  <c:v>16.599999999999937</c:v>
                </c:pt>
                <c:pt idx="290">
                  <c:v>16.699999999999939</c:v>
                </c:pt>
                <c:pt idx="291">
                  <c:v>16.79999999999994</c:v>
                </c:pt>
                <c:pt idx="292">
                  <c:v>16.899999999999942</c:v>
                </c:pt>
                <c:pt idx="293">
                  <c:v>16.999999999999943</c:v>
                </c:pt>
                <c:pt idx="294">
                  <c:v>17.099999999999945</c:v>
                </c:pt>
                <c:pt idx="295">
                  <c:v>17.199999999999946</c:v>
                </c:pt>
                <c:pt idx="296">
                  <c:v>17.299999999999947</c:v>
                </c:pt>
                <c:pt idx="297">
                  <c:v>17.399999999999949</c:v>
                </c:pt>
                <c:pt idx="298">
                  <c:v>17.49999999999995</c:v>
                </c:pt>
                <c:pt idx="299">
                  <c:v>17.599999999999952</c:v>
                </c:pt>
                <c:pt idx="300">
                  <c:v>17.699999999999953</c:v>
                </c:pt>
                <c:pt idx="301">
                  <c:v>17.799999999999955</c:v>
                </c:pt>
                <c:pt idx="302">
                  <c:v>17.899999999999956</c:v>
                </c:pt>
                <c:pt idx="303">
                  <c:v>17.999999999999957</c:v>
                </c:pt>
                <c:pt idx="304">
                  <c:v>18.099999999999959</c:v>
                </c:pt>
                <c:pt idx="305">
                  <c:v>18.19999999999996</c:v>
                </c:pt>
                <c:pt idx="306">
                  <c:v>18.299999999999962</c:v>
                </c:pt>
                <c:pt idx="307">
                  <c:v>18.399999999999963</c:v>
                </c:pt>
                <c:pt idx="308">
                  <c:v>18.499999999999964</c:v>
                </c:pt>
                <c:pt idx="309">
                  <c:v>18.599999999999966</c:v>
                </c:pt>
                <c:pt idx="310">
                  <c:v>18.699999999999967</c:v>
                </c:pt>
                <c:pt idx="311">
                  <c:v>18.799999999999969</c:v>
                </c:pt>
                <c:pt idx="312">
                  <c:v>18.89999999999997</c:v>
                </c:pt>
                <c:pt idx="313">
                  <c:v>18.999999999999972</c:v>
                </c:pt>
                <c:pt idx="314">
                  <c:v>19.099999999999973</c:v>
                </c:pt>
                <c:pt idx="315">
                  <c:v>19.199999999999974</c:v>
                </c:pt>
                <c:pt idx="316">
                  <c:v>19.299999999999976</c:v>
                </c:pt>
                <c:pt idx="317">
                  <c:v>19.399999999999977</c:v>
                </c:pt>
                <c:pt idx="318">
                  <c:v>19.499999999999979</c:v>
                </c:pt>
                <c:pt idx="319">
                  <c:v>19.59999999999998</c:v>
                </c:pt>
                <c:pt idx="320">
                  <c:v>19.699999999999982</c:v>
                </c:pt>
                <c:pt idx="321">
                  <c:v>19.799999999999983</c:v>
                </c:pt>
                <c:pt idx="322">
                  <c:v>19.899999999999984</c:v>
                </c:pt>
                <c:pt idx="323">
                  <c:v>19.999999999999986</c:v>
                </c:pt>
                <c:pt idx="324">
                  <c:v>20.099999999999987</c:v>
                </c:pt>
                <c:pt idx="325">
                  <c:v>20.199999999999989</c:v>
                </c:pt>
                <c:pt idx="326">
                  <c:v>20.29999999999999</c:v>
                </c:pt>
                <c:pt idx="327">
                  <c:v>20.399999999999991</c:v>
                </c:pt>
                <c:pt idx="328">
                  <c:v>20.499999999999993</c:v>
                </c:pt>
                <c:pt idx="329">
                  <c:v>20.599999999999994</c:v>
                </c:pt>
                <c:pt idx="330">
                  <c:v>20.699999999999996</c:v>
                </c:pt>
                <c:pt idx="331">
                  <c:v>20.799999999999997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21.200000000000003</c:v>
                </c:pt>
                <c:pt idx="336">
                  <c:v>21.300000000000004</c:v>
                </c:pt>
                <c:pt idx="337">
                  <c:v>21.400000000000006</c:v>
                </c:pt>
                <c:pt idx="338">
                  <c:v>21.500000000000007</c:v>
                </c:pt>
                <c:pt idx="339">
                  <c:v>21.600000000000009</c:v>
                </c:pt>
                <c:pt idx="340">
                  <c:v>21.70000000000001</c:v>
                </c:pt>
                <c:pt idx="341">
                  <c:v>21.800000000000011</c:v>
                </c:pt>
                <c:pt idx="342">
                  <c:v>21.900000000000013</c:v>
                </c:pt>
                <c:pt idx="343">
                  <c:v>22.000000000000014</c:v>
                </c:pt>
                <c:pt idx="344">
                  <c:v>22.100000000000016</c:v>
                </c:pt>
                <c:pt idx="345">
                  <c:v>22.200000000000017</c:v>
                </c:pt>
                <c:pt idx="346">
                  <c:v>22.300000000000018</c:v>
                </c:pt>
                <c:pt idx="347">
                  <c:v>22.40000000000002</c:v>
                </c:pt>
                <c:pt idx="348">
                  <c:v>22.500000000000021</c:v>
                </c:pt>
                <c:pt idx="349">
                  <c:v>22.600000000000023</c:v>
                </c:pt>
                <c:pt idx="350">
                  <c:v>22.700000000000024</c:v>
                </c:pt>
                <c:pt idx="351">
                  <c:v>22.800000000000026</c:v>
                </c:pt>
                <c:pt idx="352">
                  <c:v>22.900000000000027</c:v>
                </c:pt>
                <c:pt idx="353">
                  <c:v>23.000000000000028</c:v>
                </c:pt>
                <c:pt idx="354">
                  <c:v>23.10000000000003</c:v>
                </c:pt>
                <c:pt idx="355">
                  <c:v>23.200000000000031</c:v>
                </c:pt>
                <c:pt idx="356">
                  <c:v>23.300000000000033</c:v>
                </c:pt>
                <c:pt idx="357">
                  <c:v>23.400000000000034</c:v>
                </c:pt>
                <c:pt idx="358">
                  <c:v>23.500000000000036</c:v>
                </c:pt>
                <c:pt idx="359">
                  <c:v>23.600000000000037</c:v>
                </c:pt>
                <c:pt idx="360">
                  <c:v>23.700000000000038</c:v>
                </c:pt>
                <c:pt idx="361">
                  <c:v>23.80000000000004</c:v>
                </c:pt>
                <c:pt idx="362">
                  <c:v>23.900000000000041</c:v>
                </c:pt>
                <c:pt idx="363">
                  <c:v>24.000000000000043</c:v>
                </c:pt>
                <c:pt idx="364">
                  <c:v>24.100000000000044</c:v>
                </c:pt>
                <c:pt idx="365">
                  <c:v>24.200000000000045</c:v>
                </c:pt>
                <c:pt idx="366">
                  <c:v>24.300000000000047</c:v>
                </c:pt>
                <c:pt idx="367">
                  <c:v>24.400000000000048</c:v>
                </c:pt>
                <c:pt idx="368">
                  <c:v>24.50000000000005</c:v>
                </c:pt>
                <c:pt idx="369">
                  <c:v>24.600000000000051</c:v>
                </c:pt>
                <c:pt idx="370">
                  <c:v>24.700000000000053</c:v>
                </c:pt>
                <c:pt idx="371">
                  <c:v>24.800000000000054</c:v>
                </c:pt>
                <c:pt idx="372">
                  <c:v>24.900000000000055</c:v>
                </c:pt>
                <c:pt idx="373">
                  <c:v>25.000000000000057</c:v>
                </c:pt>
                <c:pt idx="374">
                  <c:v>25.100000000000058</c:v>
                </c:pt>
                <c:pt idx="375">
                  <c:v>25.20000000000006</c:v>
                </c:pt>
                <c:pt idx="376">
                  <c:v>25.300000000000061</c:v>
                </c:pt>
                <c:pt idx="377">
                  <c:v>25.400000000000063</c:v>
                </c:pt>
                <c:pt idx="378">
                  <c:v>25.500000000000064</c:v>
                </c:pt>
                <c:pt idx="379">
                  <c:v>25.600000000000065</c:v>
                </c:pt>
                <c:pt idx="380">
                  <c:v>25.700000000000067</c:v>
                </c:pt>
                <c:pt idx="381">
                  <c:v>25.800000000000068</c:v>
                </c:pt>
                <c:pt idx="382">
                  <c:v>25.90000000000007</c:v>
                </c:pt>
                <c:pt idx="383">
                  <c:v>26.000000000000071</c:v>
                </c:pt>
                <c:pt idx="384">
                  <c:v>26.100000000000072</c:v>
                </c:pt>
                <c:pt idx="385">
                  <c:v>26.200000000000074</c:v>
                </c:pt>
                <c:pt idx="386">
                  <c:v>26.300000000000075</c:v>
                </c:pt>
                <c:pt idx="387">
                  <c:v>26.400000000000077</c:v>
                </c:pt>
                <c:pt idx="388">
                  <c:v>26.500000000000078</c:v>
                </c:pt>
                <c:pt idx="389">
                  <c:v>26.60000000000008</c:v>
                </c:pt>
                <c:pt idx="390">
                  <c:v>26.700000000000081</c:v>
                </c:pt>
                <c:pt idx="391">
                  <c:v>26.800000000000082</c:v>
                </c:pt>
                <c:pt idx="392">
                  <c:v>26.900000000000084</c:v>
                </c:pt>
                <c:pt idx="393">
                  <c:v>27.000000000000085</c:v>
                </c:pt>
                <c:pt idx="394">
                  <c:v>27.100000000000087</c:v>
                </c:pt>
                <c:pt idx="395">
                  <c:v>27.200000000000088</c:v>
                </c:pt>
                <c:pt idx="396">
                  <c:v>27.30000000000009</c:v>
                </c:pt>
                <c:pt idx="397">
                  <c:v>27.400000000000091</c:v>
                </c:pt>
                <c:pt idx="398">
                  <c:v>27.500000000000092</c:v>
                </c:pt>
                <c:pt idx="399">
                  <c:v>27.600000000000094</c:v>
                </c:pt>
                <c:pt idx="400">
                  <c:v>27.700000000000095</c:v>
                </c:pt>
                <c:pt idx="401">
                  <c:v>27.800000000000097</c:v>
                </c:pt>
                <c:pt idx="402">
                  <c:v>27.900000000000098</c:v>
                </c:pt>
                <c:pt idx="403">
                  <c:v>28.000000000000099</c:v>
                </c:pt>
                <c:pt idx="404">
                  <c:v>28.100000000000101</c:v>
                </c:pt>
                <c:pt idx="405">
                  <c:v>28.200000000000102</c:v>
                </c:pt>
                <c:pt idx="406">
                  <c:v>28.300000000000104</c:v>
                </c:pt>
                <c:pt idx="407">
                  <c:v>28.400000000000105</c:v>
                </c:pt>
                <c:pt idx="408">
                  <c:v>28.500000000000107</c:v>
                </c:pt>
                <c:pt idx="409">
                  <c:v>28.600000000000108</c:v>
                </c:pt>
                <c:pt idx="410">
                  <c:v>28.700000000000109</c:v>
                </c:pt>
                <c:pt idx="411">
                  <c:v>28.800000000000111</c:v>
                </c:pt>
                <c:pt idx="412">
                  <c:v>28.900000000000112</c:v>
                </c:pt>
                <c:pt idx="413">
                  <c:v>29.000000000000114</c:v>
                </c:pt>
                <c:pt idx="414">
                  <c:v>29.100000000000115</c:v>
                </c:pt>
                <c:pt idx="415">
                  <c:v>29.200000000000117</c:v>
                </c:pt>
                <c:pt idx="416">
                  <c:v>29.300000000000118</c:v>
                </c:pt>
                <c:pt idx="417">
                  <c:v>29.400000000000119</c:v>
                </c:pt>
                <c:pt idx="418">
                  <c:v>29.500000000000121</c:v>
                </c:pt>
                <c:pt idx="419">
                  <c:v>29.600000000000122</c:v>
                </c:pt>
                <c:pt idx="420">
                  <c:v>29.700000000000124</c:v>
                </c:pt>
                <c:pt idx="421">
                  <c:v>29.800000000000125</c:v>
                </c:pt>
                <c:pt idx="422">
                  <c:v>29.900000000000126</c:v>
                </c:pt>
                <c:pt idx="423">
                  <c:v>30.000000000000128</c:v>
                </c:pt>
                <c:pt idx="424">
                  <c:v>30.100000000000129</c:v>
                </c:pt>
                <c:pt idx="425">
                  <c:v>30.200000000000131</c:v>
                </c:pt>
                <c:pt idx="426">
                  <c:v>30.300000000000132</c:v>
                </c:pt>
                <c:pt idx="427">
                  <c:v>30.400000000000134</c:v>
                </c:pt>
                <c:pt idx="428">
                  <c:v>30.500000000000135</c:v>
                </c:pt>
                <c:pt idx="429">
                  <c:v>30.600000000000136</c:v>
                </c:pt>
                <c:pt idx="430">
                  <c:v>30.700000000000138</c:v>
                </c:pt>
                <c:pt idx="431">
                  <c:v>30.800000000000139</c:v>
                </c:pt>
                <c:pt idx="432">
                  <c:v>30.900000000000141</c:v>
                </c:pt>
                <c:pt idx="433">
                  <c:v>31.000000000000142</c:v>
                </c:pt>
                <c:pt idx="434">
                  <c:v>31.100000000000144</c:v>
                </c:pt>
                <c:pt idx="435">
                  <c:v>31.200000000000145</c:v>
                </c:pt>
                <c:pt idx="436">
                  <c:v>31.300000000000146</c:v>
                </c:pt>
                <c:pt idx="437">
                  <c:v>31.400000000000148</c:v>
                </c:pt>
                <c:pt idx="438">
                  <c:v>31.500000000000149</c:v>
                </c:pt>
                <c:pt idx="439">
                  <c:v>31.600000000000151</c:v>
                </c:pt>
                <c:pt idx="440">
                  <c:v>31.700000000000152</c:v>
                </c:pt>
                <c:pt idx="441">
                  <c:v>31.800000000000153</c:v>
                </c:pt>
                <c:pt idx="442">
                  <c:v>31.900000000000155</c:v>
                </c:pt>
                <c:pt idx="443">
                  <c:v>32.000000000000156</c:v>
                </c:pt>
                <c:pt idx="444">
                  <c:v>32.100000000000158</c:v>
                </c:pt>
                <c:pt idx="445">
                  <c:v>32.200000000000159</c:v>
                </c:pt>
                <c:pt idx="446">
                  <c:v>32.300000000000161</c:v>
                </c:pt>
                <c:pt idx="447">
                  <c:v>32.400000000000162</c:v>
                </c:pt>
                <c:pt idx="448">
                  <c:v>32.500000000000163</c:v>
                </c:pt>
                <c:pt idx="449">
                  <c:v>32.600000000000165</c:v>
                </c:pt>
                <c:pt idx="450">
                  <c:v>32.700000000000166</c:v>
                </c:pt>
                <c:pt idx="451">
                  <c:v>32.800000000000168</c:v>
                </c:pt>
                <c:pt idx="452">
                  <c:v>32.900000000000169</c:v>
                </c:pt>
                <c:pt idx="453">
                  <c:v>33.000000000000171</c:v>
                </c:pt>
                <c:pt idx="454">
                  <c:v>33.100000000000172</c:v>
                </c:pt>
                <c:pt idx="455">
                  <c:v>33.200000000000173</c:v>
                </c:pt>
                <c:pt idx="456">
                  <c:v>33.300000000000175</c:v>
                </c:pt>
                <c:pt idx="457">
                  <c:v>33.400000000000176</c:v>
                </c:pt>
                <c:pt idx="458">
                  <c:v>33.500000000000178</c:v>
                </c:pt>
                <c:pt idx="459">
                  <c:v>33.600000000000179</c:v>
                </c:pt>
                <c:pt idx="460">
                  <c:v>33.70000000000018</c:v>
                </c:pt>
                <c:pt idx="461">
                  <c:v>33.800000000000182</c:v>
                </c:pt>
                <c:pt idx="462">
                  <c:v>33.900000000000183</c:v>
                </c:pt>
                <c:pt idx="463">
                  <c:v>34.000000000000185</c:v>
                </c:pt>
                <c:pt idx="464">
                  <c:v>34.100000000000186</c:v>
                </c:pt>
                <c:pt idx="465">
                  <c:v>34.200000000000188</c:v>
                </c:pt>
                <c:pt idx="466">
                  <c:v>34.300000000000189</c:v>
                </c:pt>
                <c:pt idx="467">
                  <c:v>34.40000000000019</c:v>
                </c:pt>
                <c:pt idx="468">
                  <c:v>34.500000000000192</c:v>
                </c:pt>
                <c:pt idx="469">
                  <c:v>34.600000000000193</c:v>
                </c:pt>
                <c:pt idx="470">
                  <c:v>34.700000000000195</c:v>
                </c:pt>
                <c:pt idx="471">
                  <c:v>34.800000000000196</c:v>
                </c:pt>
                <c:pt idx="472">
                  <c:v>34.900000000000198</c:v>
                </c:pt>
                <c:pt idx="473">
                  <c:v>35.000000000000199</c:v>
                </c:pt>
                <c:pt idx="474">
                  <c:v>35.1000000000002</c:v>
                </c:pt>
                <c:pt idx="475">
                  <c:v>35.200000000000202</c:v>
                </c:pt>
                <c:pt idx="476">
                  <c:v>35.300000000000203</c:v>
                </c:pt>
                <c:pt idx="477">
                  <c:v>35.400000000000205</c:v>
                </c:pt>
                <c:pt idx="478">
                  <c:v>35.500000000000206</c:v>
                </c:pt>
                <c:pt idx="479">
                  <c:v>35.600000000000207</c:v>
                </c:pt>
                <c:pt idx="480">
                  <c:v>35.700000000000209</c:v>
                </c:pt>
                <c:pt idx="481">
                  <c:v>35.80000000000021</c:v>
                </c:pt>
                <c:pt idx="482">
                  <c:v>35.900000000000212</c:v>
                </c:pt>
                <c:pt idx="483">
                  <c:v>36.000000000000213</c:v>
                </c:pt>
                <c:pt idx="484">
                  <c:v>36.100000000000215</c:v>
                </c:pt>
                <c:pt idx="485">
                  <c:v>36.200000000000216</c:v>
                </c:pt>
                <c:pt idx="486">
                  <c:v>36.300000000000217</c:v>
                </c:pt>
                <c:pt idx="487">
                  <c:v>36.400000000000219</c:v>
                </c:pt>
                <c:pt idx="488">
                  <c:v>36.50000000000022</c:v>
                </c:pt>
                <c:pt idx="489">
                  <c:v>36.600000000000222</c:v>
                </c:pt>
                <c:pt idx="490">
                  <c:v>36.700000000000223</c:v>
                </c:pt>
                <c:pt idx="491">
                  <c:v>36.800000000000225</c:v>
                </c:pt>
                <c:pt idx="492">
                  <c:v>36.900000000000226</c:v>
                </c:pt>
                <c:pt idx="493">
                  <c:v>37.000000000000227</c:v>
                </c:pt>
                <c:pt idx="494">
                  <c:v>37.100000000000229</c:v>
                </c:pt>
                <c:pt idx="495">
                  <c:v>37.20000000000023</c:v>
                </c:pt>
                <c:pt idx="496">
                  <c:v>37.300000000000232</c:v>
                </c:pt>
                <c:pt idx="497">
                  <c:v>37.400000000000233</c:v>
                </c:pt>
                <c:pt idx="498">
                  <c:v>37.500000000000234</c:v>
                </c:pt>
                <c:pt idx="499">
                  <c:v>37.600000000000236</c:v>
                </c:pt>
                <c:pt idx="500">
                  <c:v>37.700000000000237</c:v>
                </c:pt>
                <c:pt idx="501">
                  <c:v>37.800000000000239</c:v>
                </c:pt>
                <c:pt idx="502">
                  <c:v>37.90000000000024</c:v>
                </c:pt>
                <c:pt idx="503">
                  <c:v>38.000000000000242</c:v>
                </c:pt>
                <c:pt idx="504">
                  <c:v>38.100000000000243</c:v>
                </c:pt>
                <c:pt idx="505">
                  <c:v>38.200000000000244</c:v>
                </c:pt>
                <c:pt idx="506">
                  <c:v>38.300000000000246</c:v>
                </c:pt>
                <c:pt idx="507">
                  <c:v>38.400000000000247</c:v>
                </c:pt>
                <c:pt idx="508">
                  <c:v>38.500000000000249</c:v>
                </c:pt>
                <c:pt idx="509">
                  <c:v>38.60000000000025</c:v>
                </c:pt>
                <c:pt idx="510">
                  <c:v>38.700000000000252</c:v>
                </c:pt>
                <c:pt idx="511">
                  <c:v>38.800000000000253</c:v>
                </c:pt>
                <c:pt idx="512">
                  <c:v>38.900000000000254</c:v>
                </c:pt>
                <c:pt idx="513">
                  <c:v>39.000000000000256</c:v>
                </c:pt>
                <c:pt idx="514">
                  <c:v>39.100000000000257</c:v>
                </c:pt>
                <c:pt idx="515">
                  <c:v>39.200000000000259</c:v>
                </c:pt>
                <c:pt idx="516">
                  <c:v>39.30000000000026</c:v>
                </c:pt>
                <c:pt idx="517">
                  <c:v>39.400000000000261</c:v>
                </c:pt>
                <c:pt idx="518">
                  <c:v>39.500000000000263</c:v>
                </c:pt>
                <c:pt idx="519">
                  <c:v>39.600000000000264</c:v>
                </c:pt>
                <c:pt idx="520">
                  <c:v>39.700000000000266</c:v>
                </c:pt>
                <c:pt idx="521">
                  <c:v>39.800000000000267</c:v>
                </c:pt>
                <c:pt idx="522">
                  <c:v>39.900000000000269</c:v>
                </c:pt>
                <c:pt idx="523">
                  <c:v>40.00000000000027</c:v>
                </c:pt>
                <c:pt idx="524">
                  <c:v>40.100000000000271</c:v>
                </c:pt>
                <c:pt idx="525">
                  <c:v>40.200000000000273</c:v>
                </c:pt>
                <c:pt idx="526">
                  <c:v>40.300000000000274</c:v>
                </c:pt>
                <c:pt idx="527">
                  <c:v>40.400000000000276</c:v>
                </c:pt>
                <c:pt idx="528">
                  <c:v>40.500000000000277</c:v>
                </c:pt>
                <c:pt idx="529">
                  <c:v>40.600000000000279</c:v>
                </c:pt>
                <c:pt idx="530">
                  <c:v>40.70000000000028</c:v>
                </c:pt>
                <c:pt idx="531">
                  <c:v>40.800000000000281</c:v>
                </c:pt>
                <c:pt idx="532">
                  <c:v>40.900000000000283</c:v>
                </c:pt>
                <c:pt idx="533">
                  <c:v>41.000000000000284</c:v>
                </c:pt>
                <c:pt idx="534">
                  <c:v>41.100000000000286</c:v>
                </c:pt>
                <c:pt idx="535">
                  <c:v>41.200000000000287</c:v>
                </c:pt>
                <c:pt idx="536">
                  <c:v>41.300000000000288</c:v>
                </c:pt>
                <c:pt idx="537">
                  <c:v>41.40000000000029</c:v>
                </c:pt>
                <c:pt idx="538">
                  <c:v>41.500000000000291</c:v>
                </c:pt>
                <c:pt idx="539">
                  <c:v>41.600000000000293</c:v>
                </c:pt>
                <c:pt idx="540">
                  <c:v>41.700000000000294</c:v>
                </c:pt>
                <c:pt idx="541">
                  <c:v>41.800000000000296</c:v>
                </c:pt>
                <c:pt idx="542">
                  <c:v>41.900000000000297</c:v>
                </c:pt>
                <c:pt idx="543">
                  <c:v>42.000000000000298</c:v>
                </c:pt>
                <c:pt idx="544">
                  <c:v>42.1000000000003</c:v>
                </c:pt>
                <c:pt idx="545">
                  <c:v>42.200000000000301</c:v>
                </c:pt>
                <c:pt idx="546">
                  <c:v>42.300000000000303</c:v>
                </c:pt>
                <c:pt idx="547">
                  <c:v>42.400000000000304</c:v>
                </c:pt>
                <c:pt idx="548">
                  <c:v>42.500000000000306</c:v>
                </c:pt>
                <c:pt idx="549">
                  <c:v>42.600000000000307</c:v>
                </c:pt>
                <c:pt idx="550">
                  <c:v>42.700000000000308</c:v>
                </c:pt>
                <c:pt idx="551">
                  <c:v>42.80000000000031</c:v>
                </c:pt>
                <c:pt idx="552">
                  <c:v>42.900000000000311</c:v>
                </c:pt>
                <c:pt idx="553">
                  <c:v>43.000000000000313</c:v>
                </c:pt>
                <c:pt idx="554">
                  <c:v>43.100000000000314</c:v>
                </c:pt>
                <c:pt idx="555">
                  <c:v>43.200000000000315</c:v>
                </c:pt>
                <c:pt idx="556">
                  <c:v>43.300000000000317</c:v>
                </c:pt>
                <c:pt idx="557">
                  <c:v>43.400000000000318</c:v>
                </c:pt>
                <c:pt idx="558">
                  <c:v>43.50000000000032</c:v>
                </c:pt>
                <c:pt idx="559">
                  <c:v>43.600000000000321</c:v>
                </c:pt>
                <c:pt idx="560">
                  <c:v>43.700000000000323</c:v>
                </c:pt>
                <c:pt idx="561">
                  <c:v>43.800000000000324</c:v>
                </c:pt>
                <c:pt idx="562">
                  <c:v>43.900000000000325</c:v>
                </c:pt>
                <c:pt idx="563">
                  <c:v>44.000000000000327</c:v>
                </c:pt>
                <c:pt idx="564">
                  <c:v>44.100000000000328</c:v>
                </c:pt>
                <c:pt idx="565">
                  <c:v>44.20000000000033</c:v>
                </c:pt>
                <c:pt idx="566">
                  <c:v>44.300000000000331</c:v>
                </c:pt>
                <c:pt idx="567">
                  <c:v>44.400000000000333</c:v>
                </c:pt>
                <c:pt idx="568">
                  <c:v>44.500000000000334</c:v>
                </c:pt>
                <c:pt idx="569">
                  <c:v>44.600000000000335</c:v>
                </c:pt>
                <c:pt idx="570">
                  <c:v>44.700000000000337</c:v>
                </c:pt>
                <c:pt idx="571">
                  <c:v>44.800000000000338</c:v>
                </c:pt>
                <c:pt idx="572">
                  <c:v>44.90000000000034</c:v>
                </c:pt>
                <c:pt idx="573">
                  <c:v>45.000000000000341</c:v>
                </c:pt>
                <c:pt idx="574">
                  <c:v>45.100000000000342</c:v>
                </c:pt>
                <c:pt idx="575">
                  <c:v>45.200000000000344</c:v>
                </c:pt>
                <c:pt idx="576">
                  <c:v>45.300000000000345</c:v>
                </c:pt>
                <c:pt idx="577">
                  <c:v>45.400000000000347</c:v>
                </c:pt>
                <c:pt idx="578">
                  <c:v>45.500000000000348</c:v>
                </c:pt>
                <c:pt idx="579">
                  <c:v>45.60000000000035</c:v>
                </c:pt>
                <c:pt idx="580">
                  <c:v>45.700000000000351</c:v>
                </c:pt>
                <c:pt idx="581">
                  <c:v>45.800000000000352</c:v>
                </c:pt>
                <c:pt idx="582">
                  <c:v>45.900000000000354</c:v>
                </c:pt>
                <c:pt idx="583">
                  <c:v>46.000000000000355</c:v>
                </c:pt>
                <c:pt idx="584">
                  <c:v>46.100000000000357</c:v>
                </c:pt>
                <c:pt idx="585">
                  <c:v>46.200000000000358</c:v>
                </c:pt>
                <c:pt idx="586">
                  <c:v>46.30000000000036</c:v>
                </c:pt>
                <c:pt idx="587">
                  <c:v>46.400000000000361</c:v>
                </c:pt>
                <c:pt idx="588">
                  <c:v>46.500000000000362</c:v>
                </c:pt>
                <c:pt idx="589">
                  <c:v>46.600000000000364</c:v>
                </c:pt>
                <c:pt idx="590">
                  <c:v>46.700000000000365</c:v>
                </c:pt>
                <c:pt idx="591">
                  <c:v>46.800000000000367</c:v>
                </c:pt>
                <c:pt idx="592">
                  <c:v>46.900000000000368</c:v>
                </c:pt>
                <c:pt idx="593">
                  <c:v>47.000000000000369</c:v>
                </c:pt>
                <c:pt idx="594">
                  <c:v>47.100000000000371</c:v>
                </c:pt>
                <c:pt idx="595">
                  <c:v>47.100100000000374</c:v>
                </c:pt>
                <c:pt idx="596">
                  <c:v>47.100200000000378</c:v>
                </c:pt>
                <c:pt idx="597">
                  <c:v>47.100300000000381</c:v>
                </c:pt>
                <c:pt idx="598">
                  <c:v>47.100400000000384</c:v>
                </c:pt>
                <c:pt idx="599">
                  <c:v>47.100500000000388</c:v>
                </c:pt>
                <c:pt idx="600">
                  <c:v>47.100600000000391</c:v>
                </c:pt>
                <c:pt idx="601">
                  <c:v>47.100700000000394</c:v>
                </c:pt>
                <c:pt idx="602">
                  <c:v>47.100800000000397</c:v>
                </c:pt>
                <c:pt idx="603">
                  <c:v>47.100900000000401</c:v>
                </c:pt>
                <c:pt idx="604">
                  <c:v>47.101000000000404</c:v>
                </c:pt>
                <c:pt idx="605">
                  <c:v>47.101100000000407</c:v>
                </c:pt>
                <c:pt idx="606">
                  <c:v>47.101200000000411</c:v>
                </c:pt>
                <c:pt idx="607">
                  <c:v>47.101300000000414</c:v>
                </c:pt>
                <c:pt idx="608">
                  <c:v>47.101400000000417</c:v>
                </c:pt>
                <c:pt idx="609">
                  <c:v>47.101500000000421</c:v>
                </c:pt>
                <c:pt idx="610">
                  <c:v>47.101600000000424</c:v>
                </c:pt>
                <c:pt idx="611">
                  <c:v>47.101700000000427</c:v>
                </c:pt>
                <c:pt idx="612">
                  <c:v>47.101800000000431</c:v>
                </c:pt>
                <c:pt idx="613">
                  <c:v>47.101900000000434</c:v>
                </c:pt>
                <c:pt idx="614">
                  <c:v>47.102000000000437</c:v>
                </c:pt>
                <c:pt idx="615">
                  <c:v>47.102100000000441</c:v>
                </c:pt>
                <c:pt idx="616">
                  <c:v>47.102200000000444</c:v>
                </c:pt>
                <c:pt idx="617">
                  <c:v>47.102300000000447</c:v>
                </c:pt>
                <c:pt idx="618">
                  <c:v>47.102400000000451</c:v>
                </c:pt>
                <c:pt idx="619">
                  <c:v>47.102500000000454</c:v>
                </c:pt>
                <c:pt idx="620">
                  <c:v>47.102600000000457</c:v>
                </c:pt>
                <c:pt idx="621">
                  <c:v>47.102700000000461</c:v>
                </c:pt>
                <c:pt idx="622">
                  <c:v>47.102800000000464</c:v>
                </c:pt>
                <c:pt idx="623">
                  <c:v>47.102900000000467</c:v>
                </c:pt>
                <c:pt idx="624">
                  <c:v>47.10300000000047</c:v>
                </c:pt>
                <c:pt idx="625">
                  <c:v>47.103100000000474</c:v>
                </c:pt>
                <c:pt idx="626">
                  <c:v>47.103200000000477</c:v>
                </c:pt>
                <c:pt idx="627">
                  <c:v>47.10330000000048</c:v>
                </c:pt>
                <c:pt idx="628">
                  <c:v>47.103400000000484</c:v>
                </c:pt>
                <c:pt idx="629">
                  <c:v>47.103500000000487</c:v>
                </c:pt>
                <c:pt idx="630">
                  <c:v>47.10360000000049</c:v>
                </c:pt>
                <c:pt idx="631">
                  <c:v>47.103700000000494</c:v>
                </c:pt>
                <c:pt idx="632">
                  <c:v>47.103800000000497</c:v>
                </c:pt>
                <c:pt idx="633">
                  <c:v>47.1039000000005</c:v>
                </c:pt>
                <c:pt idx="634">
                  <c:v>47.104000000000504</c:v>
                </c:pt>
                <c:pt idx="635">
                  <c:v>47.104100000000507</c:v>
                </c:pt>
                <c:pt idx="636">
                  <c:v>47.10420000000051</c:v>
                </c:pt>
                <c:pt idx="637">
                  <c:v>47.104300000000514</c:v>
                </c:pt>
                <c:pt idx="638">
                  <c:v>47.104400000000517</c:v>
                </c:pt>
                <c:pt idx="639">
                  <c:v>47.10450000000052</c:v>
                </c:pt>
                <c:pt idx="640">
                  <c:v>47.104600000000524</c:v>
                </c:pt>
                <c:pt idx="641">
                  <c:v>47.104700000000527</c:v>
                </c:pt>
                <c:pt idx="642">
                  <c:v>47.10480000000053</c:v>
                </c:pt>
                <c:pt idx="643">
                  <c:v>47.104900000000534</c:v>
                </c:pt>
                <c:pt idx="644">
                  <c:v>47.105000000000537</c:v>
                </c:pt>
                <c:pt idx="645">
                  <c:v>47.10510000000054</c:v>
                </c:pt>
                <c:pt idx="646">
                  <c:v>47.105200000000544</c:v>
                </c:pt>
                <c:pt idx="647">
                  <c:v>47.105300000000547</c:v>
                </c:pt>
                <c:pt idx="648">
                  <c:v>47.10540000000055</c:v>
                </c:pt>
                <c:pt idx="649">
                  <c:v>47.105500000000553</c:v>
                </c:pt>
                <c:pt idx="650">
                  <c:v>47.105600000000557</c:v>
                </c:pt>
                <c:pt idx="651">
                  <c:v>47.10570000000056</c:v>
                </c:pt>
                <c:pt idx="652">
                  <c:v>47.105800000000563</c:v>
                </c:pt>
                <c:pt idx="653">
                  <c:v>47.105900000000567</c:v>
                </c:pt>
                <c:pt idx="654">
                  <c:v>47.10600000000057</c:v>
                </c:pt>
                <c:pt idx="655">
                  <c:v>47.106100000000573</c:v>
                </c:pt>
                <c:pt idx="656">
                  <c:v>47.106200000000577</c:v>
                </c:pt>
                <c:pt idx="657">
                  <c:v>47.10630000000058</c:v>
                </c:pt>
                <c:pt idx="658">
                  <c:v>47.106400000000583</c:v>
                </c:pt>
                <c:pt idx="659">
                  <c:v>47.106500000000587</c:v>
                </c:pt>
                <c:pt idx="660">
                  <c:v>47.10660000000059</c:v>
                </c:pt>
                <c:pt idx="661">
                  <c:v>47.106700000000593</c:v>
                </c:pt>
                <c:pt idx="662">
                  <c:v>47.106800000000597</c:v>
                </c:pt>
                <c:pt idx="663">
                  <c:v>47.1069000000006</c:v>
                </c:pt>
                <c:pt idx="664">
                  <c:v>47.107000000000603</c:v>
                </c:pt>
                <c:pt idx="665">
                  <c:v>47.107100000000607</c:v>
                </c:pt>
                <c:pt idx="666">
                  <c:v>47.10720000000061</c:v>
                </c:pt>
                <c:pt idx="667">
                  <c:v>47.107300000000613</c:v>
                </c:pt>
                <c:pt idx="668">
                  <c:v>47.107400000000617</c:v>
                </c:pt>
                <c:pt idx="669">
                  <c:v>47.10750000000062</c:v>
                </c:pt>
                <c:pt idx="670">
                  <c:v>47.107600000000623</c:v>
                </c:pt>
                <c:pt idx="671">
                  <c:v>47.107700000000627</c:v>
                </c:pt>
                <c:pt idx="672">
                  <c:v>47.10780000000063</c:v>
                </c:pt>
                <c:pt idx="673">
                  <c:v>47.107900000000633</c:v>
                </c:pt>
                <c:pt idx="674">
                  <c:v>47.108000000000636</c:v>
                </c:pt>
                <c:pt idx="675">
                  <c:v>47.10810000000064</c:v>
                </c:pt>
                <c:pt idx="676">
                  <c:v>47.108200000000643</c:v>
                </c:pt>
                <c:pt idx="677">
                  <c:v>47.108300000000646</c:v>
                </c:pt>
                <c:pt idx="678">
                  <c:v>47.10840000000065</c:v>
                </c:pt>
                <c:pt idx="679">
                  <c:v>47.108500000000653</c:v>
                </c:pt>
                <c:pt idx="680">
                  <c:v>47.108600000000656</c:v>
                </c:pt>
                <c:pt idx="681">
                  <c:v>47.10870000000066</c:v>
                </c:pt>
                <c:pt idx="682">
                  <c:v>47.108800000000663</c:v>
                </c:pt>
                <c:pt idx="683">
                  <c:v>47.108900000000666</c:v>
                </c:pt>
                <c:pt idx="684">
                  <c:v>47.10900000000067</c:v>
                </c:pt>
                <c:pt idx="685">
                  <c:v>47.109100000000673</c:v>
                </c:pt>
                <c:pt idx="686">
                  <c:v>47.109200000000676</c:v>
                </c:pt>
                <c:pt idx="687">
                  <c:v>47.10930000000068</c:v>
                </c:pt>
                <c:pt idx="688">
                  <c:v>47.109400000000683</c:v>
                </c:pt>
                <c:pt idx="689">
                  <c:v>47.109500000000686</c:v>
                </c:pt>
                <c:pt idx="690">
                  <c:v>47.10960000000069</c:v>
                </c:pt>
                <c:pt idx="691">
                  <c:v>47.109700000000693</c:v>
                </c:pt>
                <c:pt idx="692">
                  <c:v>47.109800000000696</c:v>
                </c:pt>
                <c:pt idx="693">
                  <c:v>47.1099000000007</c:v>
                </c:pt>
                <c:pt idx="694">
                  <c:v>47.110000000000703</c:v>
                </c:pt>
                <c:pt idx="695">
                  <c:v>47.110100000000706</c:v>
                </c:pt>
                <c:pt idx="696">
                  <c:v>47.11020000000071</c:v>
                </c:pt>
                <c:pt idx="697">
                  <c:v>47.110300000000713</c:v>
                </c:pt>
                <c:pt idx="698">
                  <c:v>47.110400000000716</c:v>
                </c:pt>
                <c:pt idx="699">
                  <c:v>47.110500000000719</c:v>
                </c:pt>
                <c:pt idx="700">
                  <c:v>47.110600000000723</c:v>
                </c:pt>
                <c:pt idx="701">
                  <c:v>47.110700000000726</c:v>
                </c:pt>
                <c:pt idx="702">
                  <c:v>47.110800000000729</c:v>
                </c:pt>
                <c:pt idx="703">
                  <c:v>47.110900000000733</c:v>
                </c:pt>
                <c:pt idx="704">
                  <c:v>47.111000000000736</c:v>
                </c:pt>
                <c:pt idx="705">
                  <c:v>47.111100000000739</c:v>
                </c:pt>
                <c:pt idx="706">
                  <c:v>47.111200000000743</c:v>
                </c:pt>
                <c:pt idx="707">
                  <c:v>47.111300000000746</c:v>
                </c:pt>
                <c:pt idx="708">
                  <c:v>47.111400000000749</c:v>
                </c:pt>
                <c:pt idx="709">
                  <c:v>47.111500000000753</c:v>
                </c:pt>
                <c:pt idx="710">
                  <c:v>47.111600000000756</c:v>
                </c:pt>
                <c:pt idx="711">
                  <c:v>47.111700000000759</c:v>
                </c:pt>
                <c:pt idx="712">
                  <c:v>47.111800000000763</c:v>
                </c:pt>
                <c:pt idx="713">
                  <c:v>47.111900000000766</c:v>
                </c:pt>
                <c:pt idx="714">
                  <c:v>47.112000000000769</c:v>
                </c:pt>
                <c:pt idx="715">
                  <c:v>47.112100000000773</c:v>
                </c:pt>
                <c:pt idx="716">
                  <c:v>47.112200000000776</c:v>
                </c:pt>
                <c:pt idx="717">
                  <c:v>47.112300000000779</c:v>
                </c:pt>
                <c:pt idx="718">
                  <c:v>47.112400000000783</c:v>
                </c:pt>
                <c:pt idx="719">
                  <c:v>47.112500000000786</c:v>
                </c:pt>
                <c:pt idx="720">
                  <c:v>47.112600000000789</c:v>
                </c:pt>
                <c:pt idx="721">
                  <c:v>47.112700000000792</c:v>
                </c:pt>
                <c:pt idx="722">
                  <c:v>47.112800000000796</c:v>
                </c:pt>
                <c:pt idx="723">
                  <c:v>47.112900000000799</c:v>
                </c:pt>
                <c:pt idx="724">
                  <c:v>47.113000000000802</c:v>
                </c:pt>
                <c:pt idx="725">
                  <c:v>47.113100000000806</c:v>
                </c:pt>
                <c:pt idx="726">
                  <c:v>47.113200000000809</c:v>
                </c:pt>
                <c:pt idx="727">
                  <c:v>47.113300000000812</c:v>
                </c:pt>
                <c:pt idx="728">
                  <c:v>47.113400000000816</c:v>
                </c:pt>
                <c:pt idx="729">
                  <c:v>47.113500000000819</c:v>
                </c:pt>
                <c:pt idx="730">
                  <c:v>47.113600000000822</c:v>
                </c:pt>
                <c:pt idx="731">
                  <c:v>47.113700000000826</c:v>
                </c:pt>
                <c:pt idx="732">
                  <c:v>47.113800000000829</c:v>
                </c:pt>
                <c:pt idx="733">
                  <c:v>47.113900000000832</c:v>
                </c:pt>
                <c:pt idx="734">
                  <c:v>47.114000000000836</c:v>
                </c:pt>
                <c:pt idx="735">
                  <c:v>47.114100000000839</c:v>
                </c:pt>
                <c:pt idx="736">
                  <c:v>47.114200000000842</c:v>
                </c:pt>
                <c:pt idx="737">
                  <c:v>47.114300000000846</c:v>
                </c:pt>
                <c:pt idx="738">
                  <c:v>47.114400000000849</c:v>
                </c:pt>
                <c:pt idx="739">
                  <c:v>47.114500000000852</c:v>
                </c:pt>
                <c:pt idx="740">
                  <c:v>47.114600000000856</c:v>
                </c:pt>
                <c:pt idx="741">
                  <c:v>47.114700000000859</c:v>
                </c:pt>
                <c:pt idx="742">
                  <c:v>47.114800000000862</c:v>
                </c:pt>
                <c:pt idx="743">
                  <c:v>47.114900000000866</c:v>
                </c:pt>
                <c:pt idx="744">
                  <c:v>47.115000000000869</c:v>
                </c:pt>
                <c:pt idx="745">
                  <c:v>47.115100000000872</c:v>
                </c:pt>
                <c:pt idx="746">
                  <c:v>47.115200000000875</c:v>
                </c:pt>
                <c:pt idx="747">
                  <c:v>47.115300000000879</c:v>
                </c:pt>
                <c:pt idx="748">
                  <c:v>47.115400000000882</c:v>
                </c:pt>
                <c:pt idx="749">
                  <c:v>47.115500000000885</c:v>
                </c:pt>
                <c:pt idx="750">
                  <c:v>47.115600000000889</c:v>
                </c:pt>
                <c:pt idx="751">
                  <c:v>47.115700000000892</c:v>
                </c:pt>
                <c:pt idx="752">
                  <c:v>47.115800000000895</c:v>
                </c:pt>
                <c:pt idx="753">
                  <c:v>47.115900000000899</c:v>
                </c:pt>
                <c:pt idx="754">
                  <c:v>47.116000000000902</c:v>
                </c:pt>
                <c:pt idx="755">
                  <c:v>47.116100000000905</c:v>
                </c:pt>
                <c:pt idx="756">
                  <c:v>47.116200000000909</c:v>
                </c:pt>
                <c:pt idx="757">
                  <c:v>47.116300000000912</c:v>
                </c:pt>
                <c:pt idx="758">
                  <c:v>47.116400000000915</c:v>
                </c:pt>
                <c:pt idx="759">
                  <c:v>47.116500000000919</c:v>
                </c:pt>
                <c:pt idx="760">
                  <c:v>47.116600000000922</c:v>
                </c:pt>
                <c:pt idx="761">
                  <c:v>47.116700000000925</c:v>
                </c:pt>
                <c:pt idx="762">
                  <c:v>47.116800000000929</c:v>
                </c:pt>
                <c:pt idx="763">
                  <c:v>47.116900000000932</c:v>
                </c:pt>
                <c:pt idx="764">
                  <c:v>47.117000000000935</c:v>
                </c:pt>
                <c:pt idx="765">
                  <c:v>47.117100000000939</c:v>
                </c:pt>
                <c:pt idx="766">
                  <c:v>47.117200000000942</c:v>
                </c:pt>
                <c:pt idx="767">
                  <c:v>47.117300000000945</c:v>
                </c:pt>
                <c:pt idx="768">
                  <c:v>47.117400000000949</c:v>
                </c:pt>
                <c:pt idx="769">
                  <c:v>47.117500000000952</c:v>
                </c:pt>
                <c:pt idx="770">
                  <c:v>47.117600000000955</c:v>
                </c:pt>
                <c:pt idx="771">
                  <c:v>47.117700000000958</c:v>
                </c:pt>
                <c:pt idx="772">
                  <c:v>47.117800000000962</c:v>
                </c:pt>
                <c:pt idx="773">
                  <c:v>47.117900000000965</c:v>
                </c:pt>
                <c:pt idx="774">
                  <c:v>47.118000000000968</c:v>
                </c:pt>
                <c:pt idx="775">
                  <c:v>47.118100000000972</c:v>
                </c:pt>
                <c:pt idx="776">
                  <c:v>47.118200000000975</c:v>
                </c:pt>
                <c:pt idx="777">
                  <c:v>47.118300000000978</c:v>
                </c:pt>
                <c:pt idx="778">
                  <c:v>47.118400000000982</c:v>
                </c:pt>
                <c:pt idx="779">
                  <c:v>47.118500000000985</c:v>
                </c:pt>
                <c:pt idx="780">
                  <c:v>47.118600000000988</c:v>
                </c:pt>
                <c:pt idx="781">
                  <c:v>47.118700000000992</c:v>
                </c:pt>
                <c:pt idx="782">
                  <c:v>47.118800000000995</c:v>
                </c:pt>
                <c:pt idx="783">
                  <c:v>47.118900000000998</c:v>
                </c:pt>
                <c:pt idx="784">
                  <c:v>47.119000000001002</c:v>
                </c:pt>
                <c:pt idx="785">
                  <c:v>47.119100000001005</c:v>
                </c:pt>
                <c:pt idx="786">
                  <c:v>47.119200000001008</c:v>
                </c:pt>
                <c:pt idx="787">
                  <c:v>47.119300000001012</c:v>
                </c:pt>
                <c:pt idx="788">
                  <c:v>47.119400000001015</c:v>
                </c:pt>
                <c:pt idx="789">
                  <c:v>47.119500000001018</c:v>
                </c:pt>
                <c:pt idx="790">
                  <c:v>47.119600000001022</c:v>
                </c:pt>
                <c:pt idx="791">
                  <c:v>47.119700000001025</c:v>
                </c:pt>
                <c:pt idx="792">
                  <c:v>47.119800000001028</c:v>
                </c:pt>
                <c:pt idx="793">
                  <c:v>47.119900000001032</c:v>
                </c:pt>
                <c:pt idx="794">
                  <c:v>47.120000000001035</c:v>
                </c:pt>
                <c:pt idx="795">
                  <c:v>47.120100000001038</c:v>
                </c:pt>
                <c:pt idx="796">
                  <c:v>47.120200000001041</c:v>
                </c:pt>
                <c:pt idx="797">
                  <c:v>47.120300000001045</c:v>
                </c:pt>
                <c:pt idx="798">
                  <c:v>47.120400000001048</c:v>
                </c:pt>
                <c:pt idx="799">
                  <c:v>47.120500000001051</c:v>
                </c:pt>
                <c:pt idx="800">
                  <c:v>47.120600000001055</c:v>
                </c:pt>
                <c:pt idx="801">
                  <c:v>47.120700000001058</c:v>
                </c:pt>
                <c:pt idx="802">
                  <c:v>47.120800000001061</c:v>
                </c:pt>
                <c:pt idx="803">
                  <c:v>47.120900000001065</c:v>
                </c:pt>
                <c:pt idx="804">
                  <c:v>47.121000000001068</c:v>
                </c:pt>
                <c:pt idx="805">
                  <c:v>47.121100000001071</c:v>
                </c:pt>
                <c:pt idx="806">
                  <c:v>47.121200000001075</c:v>
                </c:pt>
                <c:pt idx="807">
                  <c:v>47.121300000001078</c:v>
                </c:pt>
                <c:pt idx="808">
                  <c:v>47.121400000001081</c:v>
                </c:pt>
                <c:pt idx="809">
                  <c:v>47.121500000001085</c:v>
                </c:pt>
                <c:pt idx="810">
                  <c:v>47.121600000001088</c:v>
                </c:pt>
                <c:pt idx="811">
                  <c:v>47.121700000001091</c:v>
                </c:pt>
                <c:pt idx="812">
                  <c:v>47.121800000001095</c:v>
                </c:pt>
                <c:pt idx="813">
                  <c:v>47.121900000001098</c:v>
                </c:pt>
                <c:pt idx="814">
                  <c:v>47.122000000001101</c:v>
                </c:pt>
                <c:pt idx="815">
                  <c:v>47.122100000001105</c:v>
                </c:pt>
                <c:pt idx="816">
                  <c:v>47.122200000001108</c:v>
                </c:pt>
                <c:pt idx="817">
                  <c:v>47.122300000001111</c:v>
                </c:pt>
                <c:pt idx="818">
                  <c:v>47.122400000001115</c:v>
                </c:pt>
                <c:pt idx="819">
                  <c:v>47.122500000001118</c:v>
                </c:pt>
                <c:pt idx="820">
                  <c:v>47.122600000001121</c:v>
                </c:pt>
                <c:pt idx="821">
                  <c:v>47.122700000001124</c:v>
                </c:pt>
                <c:pt idx="822">
                  <c:v>47.122800000001128</c:v>
                </c:pt>
                <c:pt idx="823">
                  <c:v>47.122900000001131</c:v>
                </c:pt>
                <c:pt idx="824">
                  <c:v>47.123000000001134</c:v>
                </c:pt>
                <c:pt idx="825">
                  <c:v>47.123100000001138</c:v>
                </c:pt>
                <c:pt idx="826">
                  <c:v>47.123200000001141</c:v>
                </c:pt>
                <c:pt idx="827">
                  <c:v>47.123300000001144</c:v>
                </c:pt>
                <c:pt idx="828">
                  <c:v>47.123400000001148</c:v>
                </c:pt>
                <c:pt idx="829">
                  <c:v>47.123500000001151</c:v>
                </c:pt>
                <c:pt idx="830">
                  <c:v>47.123600000001154</c:v>
                </c:pt>
                <c:pt idx="831">
                  <c:v>47.123700000001158</c:v>
                </c:pt>
                <c:pt idx="832">
                  <c:v>47.123800000001161</c:v>
                </c:pt>
                <c:pt idx="833">
                  <c:v>47.123900000001164</c:v>
                </c:pt>
                <c:pt idx="834">
                  <c:v>47.124000000001168</c:v>
                </c:pt>
                <c:pt idx="835">
                  <c:v>47.124100000001171</c:v>
                </c:pt>
                <c:pt idx="836">
                  <c:v>47.124200000001174</c:v>
                </c:pt>
                <c:pt idx="837">
                  <c:v>47.124300000001178</c:v>
                </c:pt>
                <c:pt idx="838">
                  <c:v>47.124400000001181</c:v>
                </c:pt>
                <c:pt idx="839">
                  <c:v>47.124500000001184</c:v>
                </c:pt>
                <c:pt idx="840">
                  <c:v>47.124600000001188</c:v>
                </c:pt>
                <c:pt idx="841">
                  <c:v>47.124700000001191</c:v>
                </c:pt>
                <c:pt idx="842">
                  <c:v>47.124800000001194</c:v>
                </c:pt>
                <c:pt idx="843">
                  <c:v>47.124900000001197</c:v>
                </c:pt>
                <c:pt idx="844">
                  <c:v>47.125000000001201</c:v>
                </c:pt>
                <c:pt idx="845">
                  <c:v>47.125100000001204</c:v>
                </c:pt>
                <c:pt idx="846">
                  <c:v>47.125200000001207</c:v>
                </c:pt>
                <c:pt idx="847">
                  <c:v>47.125300000001211</c:v>
                </c:pt>
                <c:pt idx="848">
                  <c:v>47.125400000001214</c:v>
                </c:pt>
                <c:pt idx="849">
                  <c:v>47.125500000001217</c:v>
                </c:pt>
                <c:pt idx="850">
                  <c:v>47.125600000001221</c:v>
                </c:pt>
                <c:pt idx="851">
                  <c:v>47.125700000001224</c:v>
                </c:pt>
                <c:pt idx="852">
                  <c:v>47.125800000001227</c:v>
                </c:pt>
                <c:pt idx="853">
                  <c:v>47.125900000001231</c:v>
                </c:pt>
                <c:pt idx="854">
                  <c:v>47.126000000001234</c:v>
                </c:pt>
                <c:pt idx="855">
                  <c:v>47.126100000001237</c:v>
                </c:pt>
                <c:pt idx="856">
                  <c:v>47.126200000001241</c:v>
                </c:pt>
                <c:pt idx="857">
                  <c:v>47.126300000001244</c:v>
                </c:pt>
                <c:pt idx="858">
                  <c:v>47.126400000001247</c:v>
                </c:pt>
                <c:pt idx="859">
                  <c:v>47.126500000001251</c:v>
                </c:pt>
                <c:pt idx="860">
                  <c:v>47.126600000001254</c:v>
                </c:pt>
                <c:pt idx="861">
                  <c:v>47.126700000001257</c:v>
                </c:pt>
                <c:pt idx="862">
                  <c:v>47.126800000001261</c:v>
                </c:pt>
                <c:pt idx="863">
                  <c:v>47.126900000001264</c:v>
                </c:pt>
                <c:pt idx="864">
                  <c:v>47.127000000001267</c:v>
                </c:pt>
                <c:pt idx="865">
                  <c:v>47.127100000001271</c:v>
                </c:pt>
                <c:pt idx="866">
                  <c:v>47.127200000001274</c:v>
                </c:pt>
                <c:pt idx="867">
                  <c:v>47.127300000001277</c:v>
                </c:pt>
                <c:pt idx="868">
                  <c:v>47.12740000000128</c:v>
                </c:pt>
                <c:pt idx="869">
                  <c:v>47.127500000001284</c:v>
                </c:pt>
                <c:pt idx="870">
                  <c:v>47.127600000001287</c:v>
                </c:pt>
                <c:pt idx="871">
                  <c:v>47.12770000000129</c:v>
                </c:pt>
                <c:pt idx="872">
                  <c:v>47.127800000001294</c:v>
                </c:pt>
                <c:pt idx="873">
                  <c:v>47.127900000001297</c:v>
                </c:pt>
                <c:pt idx="874">
                  <c:v>47.1280000000013</c:v>
                </c:pt>
                <c:pt idx="875">
                  <c:v>47.128100000001304</c:v>
                </c:pt>
                <c:pt idx="876">
                  <c:v>47.128200000001307</c:v>
                </c:pt>
                <c:pt idx="877">
                  <c:v>47.12830000000131</c:v>
                </c:pt>
                <c:pt idx="878">
                  <c:v>47.128400000001314</c:v>
                </c:pt>
                <c:pt idx="879">
                  <c:v>47.128500000001317</c:v>
                </c:pt>
                <c:pt idx="880">
                  <c:v>47.12860000000132</c:v>
                </c:pt>
                <c:pt idx="881">
                  <c:v>47.128700000001324</c:v>
                </c:pt>
                <c:pt idx="882">
                  <c:v>47.128800000001327</c:v>
                </c:pt>
                <c:pt idx="883">
                  <c:v>47.12890000000133</c:v>
                </c:pt>
                <c:pt idx="884">
                  <c:v>47.129000000001334</c:v>
                </c:pt>
                <c:pt idx="885">
                  <c:v>47.129100000001337</c:v>
                </c:pt>
                <c:pt idx="886">
                  <c:v>47.12920000000134</c:v>
                </c:pt>
                <c:pt idx="887">
                  <c:v>47.129300000001344</c:v>
                </c:pt>
                <c:pt idx="888">
                  <c:v>47.129400000001347</c:v>
                </c:pt>
                <c:pt idx="889">
                  <c:v>47.12950000000135</c:v>
                </c:pt>
                <c:pt idx="890">
                  <c:v>47.129600000001354</c:v>
                </c:pt>
                <c:pt idx="891">
                  <c:v>47.129700000001357</c:v>
                </c:pt>
                <c:pt idx="892">
                  <c:v>47.12980000000136</c:v>
                </c:pt>
                <c:pt idx="893">
                  <c:v>47.129900000001363</c:v>
                </c:pt>
                <c:pt idx="894">
                  <c:v>47.130000000001367</c:v>
                </c:pt>
                <c:pt idx="895">
                  <c:v>47.13010000000137</c:v>
                </c:pt>
                <c:pt idx="896">
                  <c:v>47.130200000001373</c:v>
                </c:pt>
                <c:pt idx="897">
                  <c:v>47.130300000001377</c:v>
                </c:pt>
                <c:pt idx="898">
                  <c:v>47.13040000000138</c:v>
                </c:pt>
                <c:pt idx="899">
                  <c:v>47.130500000001383</c:v>
                </c:pt>
                <c:pt idx="900">
                  <c:v>47.130600000001387</c:v>
                </c:pt>
                <c:pt idx="901">
                  <c:v>47.13070000000139</c:v>
                </c:pt>
                <c:pt idx="902">
                  <c:v>47.130800000001393</c:v>
                </c:pt>
                <c:pt idx="903">
                  <c:v>47.130900000001397</c:v>
                </c:pt>
                <c:pt idx="904">
                  <c:v>47.1310000000014</c:v>
                </c:pt>
                <c:pt idx="905">
                  <c:v>47.131100000001403</c:v>
                </c:pt>
                <c:pt idx="906">
                  <c:v>47.131200000001407</c:v>
                </c:pt>
                <c:pt idx="907">
                  <c:v>47.13130000000141</c:v>
                </c:pt>
                <c:pt idx="908">
                  <c:v>47.131400000001413</c:v>
                </c:pt>
                <c:pt idx="909">
                  <c:v>47.131500000001417</c:v>
                </c:pt>
                <c:pt idx="910">
                  <c:v>47.13160000000142</c:v>
                </c:pt>
                <c:pt idx="911">
                  <c:v>47.131700000001423</c:v>
                </c:pt>
                <c:pt idx="912">
                  <c:v>47.131800000001427</c:v>
                </c:pt>
                <c:pt idx="913">
                  <c:v>47.13190000000143</c:v>
                </c:pt>
                <c:pt idx="914">
                  <c:v>47.132000000001433</c:v>
                </c:pt>
                <c:pt idx="915">
                  <c:v>47.132100000001437</c:v>
                </c:pt>
                <c:pt idx="916">
                  <c:v>47.13220000000144</c:v>
                </c:pt>
                <c:pt idx="917">
                  <c:v>47.132300000001443</c:v>
                </c:pt>
                <c:pt idx="918">
                  <c:v>47.132400000001446</c:v>
                </c:pt>
                <c:pt idx="919">
                  <c:v>47.13250000000145</c:v>
                </c:pt>
                <c:pt idx="920">
                  <c:v>47.132600000001453</c:v>
                </c:pt>
                <c:pt idx="921">
                  <c:v>47.132700000001456</c:v>
                </c:pt>
                <c:pt idx="922">
                  <c:v>47.13280000000146</c:v>
                </c:pt>
                <c:pt idx="923">
                  <c:v>47.132900000001463</c:v>
                </c:pt>
                <c:pt idx="924">
                  <c:v>47.133000000001466</c:v>
                </c:pt>
                <c:pt idx="925">
                  <c:v>47.13310000000147</c:v>
                </c:pt>
                <c:pt idx="926">
                  <c:v>47.133200000001473</c:v>
                </c:pt>
                <c:pt idx="927">
                  <c:v>47.133300000001476</c:v>
                </c:pt>
                <c:pt idx="928">
                  <c:v>47.13340000000148</c:v>
                </c:pt>
                <c:pt idx="929">
                  <c:v>47.133500000001483</c:v>
                </c:pt>
                <c:pt idx="930">
                  <c:v>47.133600000001486</c:v>
                </c:pt>
                <c:pt idx="931">
                  <c:v>47.13370000000149</c:v>
                </c:pt>
                <c:pt idx="932">
                  <c:v>47.133800000001493</c:v>
                </c:pt>
                <c:pt idx="933">
                  <c:v>47.133900000001496</c:v>
                </c:pt>
                <c:pt idx="934">
                  <c:v>47.1340000000015</c:v>
                </c:pt>
                <c:pt idx="935">
                  <c:v>47.134100000001503</c:v>
                </c:pt>
                <c:pt idx="936">
                  <c:v>47.134200000001506</c:v>
                </c:pt>
                <c:pt idx="937">
                  <c:v>47.13430000000151</c:v>
                </c:pt>
                <c:pt idx="938">
                  <c:v>47.134400000001513</c:v>
                </c:pt>
                <c:pt idx="939">
                  <c:v>47.134500000001516</c:v>
                </c:pt>
                <c:pt idx="940">
                  <c:v>47.13460000000152</c:v>
                </c:pt>
                <c:pt idx="941">
                  <c:v>47.134700000001523</c:v>
                </c:pt>
                <c:pt idx="942">
                  <c:v>47.134800000001526</c:v>
                </c:pt>
                <c:pt idx="943">
                  <c:v>47.134900000001529</c:v>
                </c:pt>
                <c:pt idx="944">
                  <c:v>47.135000000001533</c:v>
                </c:pt>
                <c:pt idx="945">
                  <c:v>47.135100000001536</c:v>
                </c:pt>
                <c:pt idx="946">
                  <c:v>47.135200000001539</c:v>
                </c:pt>
                <c:pt idx="947">
                  <c:v>47.135300000001543</c:v>
                </c:pt>
                <c:pt idx="948">
                  <c:v>47.135400000001546</c:v>
                </c:pt>
                <c:pt idx="949">
                  <c:v>47.135500000001549</c:v>
                </c:pt>
                <c:pt idx="950">
                  <c:v>47.135600000001553</c:v>
                </c:pt>
                <c:pt idx="951">
                  <c:v>47.135700000001556</c:v>
                </c:pt>
                <c:pt idx="952">
                  <c:v>47.135800000001559</c:v>
                </c:pt>
                <c:pt idx="953">
                  <c:v>47.135900000001563</c:v>
                </c:pt>
                <c:pt idx="954">
                  <c:v>47.136000000001566</c:v>
                </c:pt>
                <c:pt idx="955">
                  <c:v>47.136100000001569</c:v>
                </c:pt>
                <c:pt idx="956">
                  <c:v>47.136200000001573</c:v>
                </c:pt>
                <c:pt idx="957">
                  <c:v>47.136300000001576</c:v>
                </c:pt>
                <c:pt idx="958">
                  <c:v>47.136400000001579</c:v>
                </c:pt>
                <c:pt idx="959">
                  <c:v>47.136500000001583</c:v>
                </c:pt>
                <c:pt idx="960">
                  <c:v>47.136600000001586</c:v>
                </c:pt>
                <c:pt idx="961">
                  <c:v>47.136700000001589</c:v>
                </c:pt>
                <c:pt idx="962">
                  <c:v>47.136800000001593</c:v>
                </c:pt>
                <c:pt idx="963">
                  <c:v>47.136900000001596</c:v>
                </c:pt>
                <c:pt idx="964">
                  <c:v>47.137000000001599</c:v>
                </c:pt>
                <c:pt idx="965">
                  <c:v>47.137100000001602</c:v>
                </c:pt>
                <c:pt idx="966">
                  <c:v>47.137200000001606</c:v>
                </c:pt>
                <c:pt idx="967">
                  <c:v>47.137300000001609</c:v>
                </c:pt>
                <c:pt idx="968">
                  <c:v>47.137400000001612</c:v>
                </c:pt>
                <c:pt idx="969">
                  <c:v>47.137500000001616</c:v>
                </c:pt>
                <c:pt idx="970">
                  <c:v>47.137600000001619</c:v>
                </c:pt>
                <c:pt idx="971">
                  <c:v>47.137700000001622</c:v>
                </c:pt>
                <c:pt idx="972">
                  <c:v>47.137800000001626</c:v>
                </c:pt>
                <c:pt idx="973">
                  <c:v>47.137900000001629</c:v>
                </c:pt>
                <c:pt idx="974">
                  <c:v>47.138000000001632</c:v>
                </c:pt>
                <c:pt idx="975">
                  <c:v>47.138100000001636</c:v>
                </c:pt>
                <c:pt idx="976">
                  <c:v>47.138200000001639</c:v>
                </c:pt>
                <c:pt idx="977">
                  <c:v>47.138300000001642</c:v>
                </c:pt>
                <c:pt idx="978">
                  <c:v>47.138400000001646</c:v>
                </c:pt>
                <c:pt idx="979">
                  <c:v>47.138500000001649</c:v>
                </c:pt>
                <c:pt idx="980">
                  <c:v>47.138600000001652</c:v>
                </c:pt>
                <c:pt idx="981">
                  <c:v>47.138700000001656</c:v>
                </c:pt>
                <c:pt idx="982">
                  <c:v>47.138800000001659</c:v>
                </c:pt>
                <c:pt idx="983">
                  <c:v>47.138900000001662</c:v>
                </c:pt>
                <c:pt idx="984">
                  <c:v>47.139000000001666</c:v>
                </c:pt>
                <c:pt idx="985">
                  <c:v>47.139100000001669</c:v>
                </c:pt>
                <c:pt idx="986">
                  <c:v>47.139200000001672</c:v>
                </c:pt>
                <c:pt idx="987">
                  <c:v>47.139300000001676</c:v>
                </c:pt>
                <c:pt idx="988">
                  <c:v>47.139400000001679</c:v>
                </c:pt>
                <c:pt idx="989">
                  <c:v>47.139500000001682</c:v>
                </c:pt>
                <c:pt idx="990">
                  <c:v>47.139600000001685</c:v>
                </c:pt>
                <c:pt idx="991">
                  <c:v>47.139700000001689</c:v>
                </c:pt>
                <c:pt idx="992">
                  <c:v>47.139800000001692</c:v>
                </c:pt>
                <c:pt idx="993">
                  <c:v>47.139900000001695</c:v>
                </c:pt>
                <c:pt idx="994">
                  <c:v>47.140000000001699</c:v>
                </c:pt>
                <c:pt idx="995">
                  <c:v>47.140100000001702</c:v>
                </c:pt>
                <c:pt idx="996">
                  <c:v>47.140200000001705</c:v>
                </c:pt>
                <c:pt idx="997">
                  <c:v>47.140300000001709</c:v>
                </c:pt>
                <c:pt idx="998">
                  <c:v>47.140400000001712</c:v>
                </c:pt>
                <c:pt idx="999">
                  <c:v>47.140500000001715</c:v>
                </c:pt>
                <c:pt idx="1000">
                  <c:v>47.140600000001719</c:v>
                </c:pt>
              </c:numCache>
            </c:numRef>
          </c:xVal>
          <c:yVal>
            <c:numRef>
              <c:f>Calculs!$AG$4:$AG$1004</c:f>
              <c:numCache>
                <c:formatCode>0.00</c:formatCode>
                <c:ptCount val="1001"/>
                <c:pt idx="0">
                  <c:v>0</c:v>
                </c:pt>
                <c:pt idx="1">
                  <c:v>-2.4597673988474957</c:v>
                </c:pt>
                <c:pt idx="2">
                  <c:v>55.461964809907514</c:v>
                </c:pt>
                <c:pt idx="3">
                  <c:v>79.716809301237859</c:v>
                </c:pt>
                <c:pt idx="4">
                  <c:v>70.314917639312497</c:v>
                </c:pt>
                <c:pt idx="5">
                  <c:v>65.361909070093361</c:v>
                </c:pt>
                <c:pt idx="6">
                  <c:v>64.856958756060195</c:v>
                </c:pt>
                <c:pt idx="7">
                  <c:v>64.352059118906624</c:v>
                </c:pt>
                <c:pt idx="8">
                  <c:v>63.847224399497222</c:v>
                </c:pt>
                <c:pt idx="9">
                  <c:v>63.342468730658958</c:v>
                </c:pt>
                <c:pt idx="10">
                  <c:v>62.837806136460756</c:v>
                </c:pt>
                <c:pt idx="11">
                  <c:v>62.333250531515333</c:v>
                </c:pt>
                <c:pt idx="12">
                  <c:v>61.828815720303673</c:v>
                </c:pt>
                <c:pt idx="13">
                  <c:v>61.324515396522017</c:v>
                </c:pt>
                <c:pt idx="14">
                  <c:v>60.820363142451157</c:v>
                </c:pt>
                <c:pt idx="15">
                  <c:v>60.316372428347925</c:v>
                </c:pt>
                <c:pt idx="16">
                  <c:v>59.812556611858817</c:v>
                </c:pt>
                <c:pt idx="17">
                  <c:v>59.30892893745564</c:v>
                </c:pt>
                <c:pt idx="18">
                  <c:v>58.805502535893126</c:v>
                </c:pt>
                <c:pt idx="19">
                  <c:v>58.302290423688156</c:v>
                </c:pt>
                <c:pt idx="20">
                  <c:v>57.799305502620733</c:v>
                </c:pt>
                <c:pt idx="21">
                  <c:v>57.296560559256406</c:v>
                </c:pt>
                <c:pt idx="22">
                  <c:v>56.794068264490171</c:v>
                </c:pt>
                <c:pt idx="23">
                  <c:v>56.291841173111486</c:v>
                </c:pt>
                <c:pt idx="24">
                  <c:v>55.789891723390348</c:v>
                </c:pt>
                <c:pt idx="25">
                  <c:v>55.288232236684493</c:v>
                </c:pt>
                <c:pt idx="26">
                  <c:v>54.786874917067109</c:v>
                </c:pt>
                <c:pt idx="27">
                  <c:v>54.285831850975526</c:v>
                </c:pt>
                <c:pt idx="28">
                  <c:v>53.785115006880034</c:v>
                </c:pt>
                <c:pt idx="29">
                  <c:v>53.284736234973245</c:v>
                </c:pt>
                <c:pt idx="30">
                  <c:v>52.784707266879579</c:v>
                </c:pt>
                <c:pt idx="31">
                  <c:v>52.285039715384571</c:v>
                </c:pt>
                <c:pt idx="32">
                  <c:v>51.785745074184206</c:v>
                </c:pt>
                <c:pt idx="33">
                  <c:v>51.286834717653718</c:v>
                </c:pt>
                <c:pt idx="34">
                  <c:v>50.788319900635983</c:v>
                </c:pt>
                <c:pt idx="35">
                  <c:v>50.290211758249114</c:v>
                </c:pt>
                <c:pt idx="36">
                  <c:v>49.792521305713123</c:v>
                </c:pt>
                <c:pt idx="37">
                  <c:v>49.295259438195593</c:v>
                </c:pt>
                <c:pt idx="38">
                  <c:v>48.798436930675962</c:v>
                </c:pt>
                <c:pt idx="39">
                  <c:v>48.302064437828534</c:v>
                </c:pt>
                <c:pt idx="40">
                  <c:v>47.806152493923577</c:v>
                </c:pt>
                <c:pt idx="41">
                  <c:v>47.310711512746785</c:v>
                </c:pt>
                <c:pt idx="42">
                  <c:v>46.815751787536563</c:v>
                </c:pt>
                <c:pt idx="43">
                  <c:v>46.321283490939152</c:v>
                </c:pt>
                <c:pt idx="44">
                  <c:v>45.827316674981283</c:v>
                </c:pt>
                <c:pt idx="45">
                  <c:v>45.333861271060186</c:v>
                </c:pt>
                <c:pt idx="46">
                  <c:v>44.840927089950654</c:v>
                </c:pt>
                <c:pt idx="47">
                  <c:v>44.348523821829261</c:v>
                </c:pt>
                <c:pt idx="48">
                  <c:v>43.856661036315167</c:v>
                </c:pt>
                <c:pt idx="49">
                  <c:v>43.365348182527498</c:v>
                </c:pt>
                <c:pt idx="50">
                  <c:v>42.874594589158932</c:v>
                </c:pt>
                <c:pt idx="51">
                  <c:v>42.384409464565692</c:v>
                </c:pt>
                <c:pt idx="52">
                  <c:v>41.894801896873048</c:v>
                </c:pt>
                <c:pt idx="53">
                  <c:v>41.405780854096854</c:v>
                </c:pt>
                <c:pt idx="54">
                  <c:v>40.917355184280325</c:v>
                </c:pt>
                <c:pt idx="55">
                  <c:v>40.429533615646115</c:v>
                </c:pt>
                <c:pt idx="56">
                  <c:v>39.942324756763604</c:v>
                </c:pt>
                <c:pt idx="57">
                  <c:v>39.45573709673068</c:v>
                </c:pt>
                <c:pt idx="58">
                  <c:v>38.969779005370448</c:v>
                </c:pt>
                <c:pt idx="59">
                  <c:v>38.484458733442139</c:v>
                </c:pt>
                <c:pt idx="60">
                  <c:v>37.999784412866227</c:v>
                </c:pt>
                <c:pt idx="61">
                  <c:v>37.515764056963583</c:v>
                </c:pt>
                <c:pt idx="62">
                  <c:v>37.032405560708042</c:v>
                </c:pt>
                <c:pt idx="63">
                  <c:v>36.159328695843683</c:v>
                </c:pt>
                <c:pt idx="64">
                  <c:v>34.897016231009999</c:v>
                </c:pt>
                <c:pt idx="65">
                  <c:v>33.636666875760163</c:v>
                </c:pt>
                <c:pt idx="66">
                  <c:v>32.378314621390842</c:v>
                </c:pt>
                <c:pt idx="67">
                  <c:v>30.763938040592379</c:v>
                </c:pt>
                <c:pt idx="68">
                  <c:v>28.794060411350898</c:v>
                </c:pt>
                <c:pt idx="69">
                  <c:v>26.19056331555521</c:v>
                </c:pt>
                <c:pt idx="70">
                  <c:v>22.954476321439092</c:v>
                </c:pt>
                <c:pt idx="71">
                  <c:v>19.724308253642004</c:v>
                </c:pt>
                <c:pt idx="72">
                  <c:v>16.500232137362524</c:v>
                </c:pt>
                <c:pt idx="73">
                  <c:v>13.28241639926779</c:v>
                </c:pt>
                <c:pt idx="74">
                  <c:v>10.071024872857306</c:v>
                </c:pt>
                <c:pt idx="75">
                  <c:v>6.8662168059046937</c:v>
                </c:pt>
                <c:pt idx="76">
                  <c:v>3.6681468699259874</c:v>
                </c:pt>
                <c:pt idx="77">
                  <c:v>0.47696517162322927</c:v>
                </c:pt>
                <c:pt idx="78">
                  <c:v>-2.7071827337495966</c:v>
                </c:pt>
                <c:pt idx="79">
                  <c:v>-5.8841558271506065</c:v>
                </c:pt>
                <c:pt idx="80">
                  <c:v>-9.0538176086973436</c:v>
                </c:pt>
                <c:pt idx="81">
                  <c:v>-11.457572413865583</c:v>
                </c:pt>
                <c:pt idx="82">
                  <c:v>-13.097050263465617</c:v>
                </c:pt>
                <c:pt idx="83">
                  <c:v>-14.732616275982323</c:v>
                </c:pt>
                <c:pt idx="84">
                  <c:v>-16.364246563518442</c:v>
                </c:pt>
                <c:pt idx="85">
                  <c:v>-17.991918384453577</c:v>
                </c:pt>
                <c:pt idx="86">
                  <c:v>-19.615610133678707</c:v>
                </c:pt>
                <c:pt idx="87">
                  <c:v>-21.235301332691201</c:v>
                </c:pt>
                <c:pt idx="88">
                  <c:v>-22.850972619557588</c:v>
                </c:pt>
                <c:pt idx="89">
                  <c:v>-24.222889188419053</c:v>
                </c:pt>
                <c:pt idx="90">
                  <c:v>-25.351640675700963</c:v>
                </c:pt>
                <c:pt idx="91">
                  <c:v>-26.477577987287631</c:v>
                </c:pt>
                <c:pt idx="92">
                  <c:v>-27.600698712339224</c:v>
                </c:pt>
                <c:pt idx="93">
                  <c:v>-28.661056965180201</c:v>
                </c:pt>
                <c:pt idx="94">
                  <c:v>-29.658807335974828</c:v>
                </c:pt>
                <c:pt idx="95">
                  <c:v>-30.654056216138382</c:v>
                </c:pt>
                <c:pt idx="96">
                  <c:v>-31.646804966101381</c:v>
                </c:pt>
                <c:pt idx="97">
                  <c:v>-32.397241987172208</c:v>
                </c:pt>
                <c:pt idx="98">
                  <c:v>-32.906007639328294</c:v>
                </c:pt>
                <c:pt idx="99">
                  <c:v>-33.413572367375068</c:v>
                </c:pt>
                <c:pt idx="100">
                  <c:v>-33.919941043822746</c:v>
                </c:pt>
                <c:pt idx="101">
                  <c:v>-34.425118610318769</c:v>
                </c:pt>
                <c:pt idx="102">
                  <c:v>-34.929110076629868</c:v>
                </c:pt>
                <c:pt idx="103">
                  <c:v>-35.431920519633607</c:v>
                </c:pt>
                <c:pt idx="104">
                  <c:v>-35.933555082319273</c:v>
                </c:pt>
                <c:pt idx="105">
                  <c:v>-36.434018972798434</c:v>
                </c:pt>
                <c:pt idx="106">
                  <c:v>-36.933317463324798</c:v>
                </c:pt>
                <c:pt idx="107">
                  <c:v>-37.431455889323956</c:v>
                </c:pt>
                <c:pt idx="108">
                  <c:v>-37.928439648432537</c:v>
                </c:pt>
                <c:pt idx="109">
                  <c:v>-38.124459024832973</c:v>
                </c:pt>
                <c:pt idx="110">
                  <c:v>-38.020336784254411</c:v>
                </c:pt>
                <c:pt idx="111">
                  <c:v>-37.916704285889075</c:v>
                </c:pt>
                <c:pt idx="112">
                  <c:v>-37.813558454658711</c:v>
                </c:pt>
                <c:pt idx="113">
                  <c:v>-37.71089623975994</c:v>
                </c:pt>
                <c:pt idx="114">
                  <c:v>-37.608714614433879</c:v>
                </c:pt>
                <c:pt idx="115">
                  <c:v>-37.507010575738029</c:v>
                </c:pt>
                <c:pt idx="116">
                  <c:v>-37.405781144320898</c:v>
                </c:pt>
                <c:pt idx="117">
                  <c:v>-37.305023364199045</c:v>
                </c:pt>
                <c:pt idx="118">
                  <c:v>-37.204734302536636</c:v>
                </c:pt>
                <c:pt idx="119">
                  <c:v>-37.104911049427258</c:v>
                </c:pt>
                <c:pt idx="120">
                  <c:v>-37.005550717678346</c:v>
                </c:pt>
                <c:pt idx="121">
                  <c:v>-36.906650442597964</c:v>
                </c:pt>
                <c:pt idx="122">
                  <c:v>-36.808207381783639</c:v>
                </c:pt>
                <c:pt idx="123">
                  <c:v>-36.710218714913921</c:v>
                </c:pt>
                <c:pt idx="124">
                  <c:v>-36.612681643541954</c:v>
                </c:pt>
                <c:pt idx="125">
                  <c:v>-36.515593390891325</c:v>
                </c:pt>
                <c:pt idx="126">
                  <c:v>-36.418951201654203</c:v>
                </c:pt>
                <c:pt idx="127">
                  <c:v>-36.32275234179167</c:v>
                </c:pt>
                <c:pt idx="128">
                  <c:v>-36.226994098336192</c:v>
                </c:pt>
                <c:pt idx="129">
                  <c:v>-36.131673779196284</c:v>
                </c:pt>
                <c:pt idx="130">
                  <c:v>-36.03678871296313</c:v>
                </c:pt>
                <c:pt idx="131">
                  <c:v>-35.942336248719513</c:v>
                </c:pt>
                <c:pt idx="132">
                  <c:v>-35.848313755850739</c:v>
                </c:pt>
                <c:pt idx="133">
                  <c:v>-35.75471862385745</c:v>
                </c:pt>
                <c:pt idx="134">
                  <c:v>-35.661548262170669</c:v>
                </c:pt>
                <c:pt idx="135">
                  <c:v>-35.568800099968648</c:v>
                </c:pt>
                <c:pt idx="136">
                  <c:v>-35.476471585995881</c:v>
                </c:pt>
                <c:pt idx="137">
                  <c:v>-35.384560188383858</c:v>
                </c:pt>
                <c:pt idx="138">
                  <c:v>-35.293063394473791</c:v>
                </c:pt>
                <c:pt idx="139">
                  <c:v>-35.201978710641342</c:v>
                </c:pt>
                <c:pt idx="140">
                  <c:v>-35.111303662123078</c:v>
                </c:pt>
                <c:pt idx="141">
                  <c:v>-35.021035792844863</c:v>
                </c:pt>
                <c:pt idx="142">
                  <c:v>-34.931172665252056</c:v>
                </c:pt>
                <c:pt idx="143">
                  <c:v>-34.841711860141444</c:v>
                </c:pt>
                <c:pt idx="144">
                  <c:v>-34.752650976495069</c:v>
                </c:pt>
                <c:pt idx="145">
                  <c:v>-34.663987631315749</c:v>
                </c:pt>
                <c:pt idx="146">
                  <c:v>-34.57571945946431</c:v>
                </c:pt>
                <c:pt idx="147">
                  <c:v>-34.487844113498568</c:v>
                </c:pt>
                <c:pt idx="148">
                  <c:v>-34.400359263514055</c:v>
                </c:pt>
                <c:pt idx="149">
                  <c:v>-34.313262596986327</c:v>
                </c:pt>
                <c:pt idx="150">
                  <c:v>-34.226551818615</c:v>
                </c:pt>
                <c:pt idx="151">
                  <c:v>-34.140224650169365</c:v>
                </c:pt>
                <c:pt idx="152">
                  <c:v>-34.054278830335647</c:v>
                </c:pt>
                <c:pt idx="153">
                  <c:v>-33.968712114565911</c:v>
                </c:pt>
                <c:pt idx="154">
                  <c:v>-33.883522274928438</c:v>
                </c:pt>
                <c:pt idx="155">
                  <c:v>-33.798707099959749</c:v>
                </c:pt>
                <c:pt idx="156">
                  <c:v>-33.714264394518075</c:v>
                </c:pt>
                <c:pt idx="157">
                  <c:v>-33.630191979638525</c:v>
                </c:pt>
                <c:pt idx="158">
                  <c:v>-33.546487692389519</c:v>
                </c:pt>
                <c:pt idx="159">
                  <c:v>-33.463149385730887</c:v>
                </c:pt>
                <c:pt idx="160">
                  <c:v>-33.380174928373421</c:v>
                </c:pt>
                <c:pt idx="161">
                  <c:v>-33.297562204639746</c:v>
                </c:pt>
                <c:pt idx="162">
                  <c:v>-33.215309114326764</c:v>
                </c:pt>
                <c:pt idx="163">
                  <c:v>-33.133413572569452</c:v>
                </c:pt>
                <c:pt idx="164">
                  <c:v>-33.051873509706084</c:v>
                </c:pt>
                <c:pt idx="165">
                  <c:v>-32.970686871144835</c:v>
                </c:pt>
                <c:pt idx="166">
                  <c:v>-32.88985161723167</c:v>
                </c:pt>
                <c:pt idx="167">
                  <c:v>-32.809365723119775</c:v>
                </c:pt>
                <c:pt idx="168">
                  <c:v>-32.729227178640087</c:v>
                </c:pt>
                <c:pt idx="169">
                  <c:v>-32.649433988173321</c:v>
                </c:pt>
                <c:pt idx="170">
                  <c:v>-32.569984170523277</c:v>
                </c:pt>
                <c:pt idx="171">
                  <c:v>-32.490875758791276</c:v>
                </c:pt>
                <c:pt idx="172">
                  <c:v>-32.412106800252161</c:v>
                </c:pt>
                <c:pt idx="173">
                  <c:v>-32.33367535623124</c:v>
                </c:pt>
                <c:pt idx="174">
                  <c:v>-32.255579501982744</c:v>
                </c:pt>
                <c:pt idx="175">
                  <c:v>-32.177817326569297</c:v>
                </c:pt>
                <c:pt idx="176">
                  <c:v>-32.100386932742779</c:v>
                </c:pt>
                <c:pt idx="177">
                  <c:v>-32.023286436826282</c:v>
                </c:pt>
                <c:pt idx="178">
                  <c:v>-31.946513968597269</c:v>
                </c:pt>
                <c:pt idx="179">
                  <c:v>-31.870067671171942</c:v>
                </c:pt>
                <c:pt idx="180">
                  <c:v>-31.79394570089076</c:v>
                </c:pt>
                <c:pt idx="181">
                  <c:v>-31.718146227205104</c:v>
                </c:pt>
                <c:pt idx="182">
                  <c:v>-31.642667432565055</c:v>
                </c:pt>
                <c:pt idx="183">
                  <c:v>-31.567507512308282</c:v>
                </c:pt>
                <c:pt idx="184">
                  <c:v>-31.49266467455012</c:v>
                </c:pt>
                <c:pt idx="185">
                  <c:v>-31.418137140074663</c:v>
                </c:pt>
                <c:pt idx="186">
                  <c:v>-31.34392314222697</c:v>
                </c:pt>
                <c:pt idx="187">
                  <c:v>-31.270020926806346</c:v>
                </c:pt>
                <c:pt idx="188">
                  <c:v>-31.196428751960646</c:v>
                </c:pt>
                <c:pt idx="189">
                  <c:v>-31.123144888081718</c:v>
                </c:pt>
                <c:pt idx="190">
                  <c:v>-31.050167617701717</c:v>
                </c:pt>
                <c:pt idx="191">
                  <c:v>-30.977495235390681</c:v>
                </c:pt>
                <c:pt idx="192">
                  <c:v>-30.905126047654875</c:v>
                </c:pt>
                <c:pt idx="193">
                  <c:v>-30.833058372836238</c:v>
                </c:pt>
                <c:pt idx="194">
                  <c:v>-30.76129054101294</c:v>
                </c:pt>
                <c:pt idx="195">
                  <c:v>-30.689820893900645</c:v>
                </c:pt>
                <c:pt idx="196">
                  <c:v>-30.618647784755026</c:v>
                </c:pt>
                <c:pt idx="197">
                  <c:v>-30.547769578275041</c:v>
                </c:pt>
                <c:pt idx="198">
                  <c:v>-30.477184650507233</c:v>
                </c:pt>
                <c:pt idx="199">
                  <c:v>-30.406891388750935</c:v>
                </c:pt>
                <c:pt idx="200">
                  <c:v>-30.336888191464475</c:v>
                </c:pt>
                <c:pt idx="201">
                  <c:v>-30.267173468172174</c:v>
                </c:pt>
                <c:pt idx="202">
                  <c:v>-29.578986783239067</c:v>
                </c:pt>
                <c:pt idx="203">
                  <c:v>-28.918607718702734</c:v>
                </c:pt>
                <c:pt idx="204">
                  <c:v>-28.284558373176537</c:v>
                </c:pt>
                <c:pt idx="205">
                  <c:v>-27.675458687805914</c:v>
                </c:pt>
                <c:pt idx="206">
                  <c:v>-27.090018728573305</c:v>
                </c:pt>
                <c:pt idx="207">
                  <c:v>-26.527031671957577</c:v>
                </c:pt>
                <c:pt idx="208">
                  <c:v>-25.985367421371741</c:v>
                </c:pt>
                <c:pt idx="209">
                  <c:v>-25.463966790138521</c:v>
                </c:pt>
                <c:pt idx="210">
                  <c:v>-24.961836194046683</c:v>
                </c:pt>
                <c:pt idx="211">
                  <c:v>-24.478042802905797</c:v>
                </c:pt>
                <c:pt idx="212">
                  <c:v>-24.011710106107529</c:v>
                </c:pt>
                <c:pt idx="213">
                  <c:v>-23.562013852111463</c:v>
                </c:pt>
                <c:pt idx="214">
                  <c:v>-23.128178326094414</c:v>
                </c:pt>
                <c:pt idx="215">
                  <c:v>-22.709472933809813</c:v>
                </c:pt>
                <c:pt idx="216">
                  <c:v>-22.305209063065242</c:v>
                </c:pt>
                <c:pt idx="217">
                  <c:v>-21.914737197198207</c:v>
                </c:pt>
                <c:pt idx="218">
                  <c:v>-21.537444257561816</c:v>
                </c:pt>
                <c:pt idx="219">
                  <c:v>-21.172751154365578</c:v>
                </c:pt>
                <c:pt idx="220">
                  <c:v>-20.820110527289295</c:v>
                </c:pt>
                <c:pt idx="221">
                  <c:v>-20.479004659130794</c:v>
                </c:pt>
                <c:pt idx="222">
                  <c:v>-20.148943547389834</c:v>
                </c:pt>
                <c:pt idx="223">
                  <c:v>-19.829463120153989</c:v>
                </c:pt>
                <c:pt idx="224">
                  <c:v>-19.520123583959062</c:v>
                </c:pt>
                <c:pt idx="225">
                  <c:v>-19.220507892465044</c:v>
                </c:pt>
                <c:pt idx="226">
                  <c:v>-18.930220325834078</c:v>
                </c:pt>
                <c:pt idx="227">
                  <c:v>-18.648885171634113</c:v>
                </c:pt>
                <c:pt idx="228">
                  <c:v>-18.376145498932551</c:v>
                </c:pt>
                <c:pt idx="229">
                  <c:v>-18.11166201799924</c:v>
                </c:pt>
                <c:pt idx="230">
                  <c:v>-17.855112018716994</c:v>
                </c:pt>
                <c:pt idx="231">
                  <c:v>-17.606188381408785</c:v>
                </c:pt>
                <c:pt idx="232">
                  <c:v>-17.36459865434113</c:v>
                </c:pt>
                <c:pt idx="233">
                  <c:v>-17.130064192659294</c:v>
                </c:pt>
                <c:pt idx="234">
                  <c:v>-16.902319353957978</c:v>
                </c:pt>
                <c:pt idx="235">
                  <c:v>-16.681110746095211</c:v>
                </c:pt>
                <c:pt idx="236">
                  <c:v>-16.466196523222969</c:v>
                </c:pt>
                <c:pt idx="237">
                  <c:v>-16.257345726338286</c:v>
                </c:pt>
                <c:pt idx="238">
                  <c:v>-16.05433766495754</c:v>
                </c:pt>
                <c:pt idx="239">
                  <c:v>-15.856961336787464</c:v>
                </c:pt>
                <c:pt idx="240">
                  <c:v>-15.665014882510896</c:v>
                </c:pt>
                <c:pt idx="241">
                  <c:v>-15.478305073027315</c:v>
                </c:pt>
                <c:pt idx="242">
                  <c:v>-15.296646826688647</c:v>
                </c:pt>
                <c:pt idx="243">
                  <c:v>-15.119862754252463</c:v>
                </c:pt>
                <c:pt idx="244">
                  <c:v>-14.947782729438444</c:v>
                </c:pt>
                <c:pt idx="245">
                  <c:v>-14.780243483122515</c:v>
                </c:pt>
                <c:pt idx="246">
                  <c:v>-14.617088219336015</c:v>
                </c:pt>
                <c:pt idx="247">
                  <c:v>-14.458166251357625</c:v>
                </c:pt>
                <c:pt idx="248">
                  <c:v>-14.303332656293161</c:v>
                </c:pt>
                <c:pt idx="249">
                  <c:v>-14.152447946634183</c:v>
                </c:pt>
                <c:pt idx="250">
                  <c:v>-14.005377757371688</c:v>
                </c:pt>
                <c:pt idx="251">
                  <c:v>-13.861992547315857</c:v>
                </c:pt>
                <c:pt idx="252">
                  <c:v>-13.722167313338272</c:v>
                </c:pt>
                <c:pt idx="253">
                  <c:v>-13.585781316308864</c:v>
                </c:pt>
                <c:pt idx="254">
                  <c:v>-13.452717817547034</c:v>
                </c:pt>
                <c:pt idx="255">
                  <c:v>-13.322863824644802</c:v>
                </c:pt>
                <c:pt idx="256">
                  <c:v>-13.196109845549577</c:v>
                </c:pt>
                <c:pt idx="257">
                  <c:v>-13.072349649815537</c:v>
                </c:pt>
                <c:pt idx="258">
                  <c:v>-12.95148003594511</c:v>
                </c:pt>
                <c:pt idx="259">
                  <c:v>-12.833400603746025</c:v>
                </c:pt>
                <c:pt idx="260">
                  <c:v>-12.718013530624075</c:v>
                </c:pt>
                <c:pt idx="261">
                  <c:v>-12.605223350716814</c:v>
                </c:pt>
                <c:pt idx="262">
                  <c:v>-12.494936735748723</c:v>
                </c:pt>
                <c:pt idx="263">
                  <c:v>-12.387062276452339</c:v>
                </c:pt>
                <c:pt idx="264">
                  <c:v>-12.281510263352789</c:v>
                </c:pt>
                <c:pt idx="265">
                  <c:v>-12.178192465652764</c:v>
                </c:pt>
                <c:pt idx="266">
                  <c:v>-12.077021906881052</c:v>
                </c:pt>
                <c:pt idx="267">
                  <c:v>-11.977912635878063</c:v>
                </c:pt>
                <c:pt idx="268">
                  <c:v>-11.880779491585042</c:v>
                </c:pt>
                <c:pt idx="269">
                  <c:v>-11.78553785997757</c:v>
                </c:pt>
                <c:pt idx="270">
                  <c:v>-11.69210342133616</c:v>
                </c:pt>
                <c:pt idx="271">
                  <c:v>-11.600391885874563</c:v>
                </c:pt>
                <c:pt idx="272">
                  <c:v>-11.510318715546388</c:v>
                </c:pt>
                <c:pt idx="273">
                  <c:v>-11.421798829619252</c:v>
                </c:pt>
                <c:pt idx="274">
                  <c:v>-11.334746291338361</c:v>
                </c:pt>
                <c:pt idx="275">
                  <c:v>-11.249073972693319</c:v>
                </c:pt>
                <c:pt idx="276">
                  <c:v>-11.164693193947132</c:v>
                </c:pt>
                <c:pt idx="277">
                  <c:v>-11.081513334178203</c:v>
                </c:pt>
                <c:pt idx="278">
                  <c:v>-10.999441408617001</c:v>
                </c:pt>
                <c:pt idx="279">
                  <c:v>-10.918381608020029</c:v>
                </c:pt>
                <c:pt idx="280">
                  <c:v>-10.838234794704794</c:v>
                </c:pt>
                <c:pt idx="281">
                  <c:v>-10.75889794915936</c:v>
                </c:pt>
                <c:pt idx="282">
                  <c:v>-10.680263560325379</c:v>
                </c:pt>
                <c:pt idx="283">
                  <c:v>-10.60221895172015</c:v>
                </c:pt>
                <c:pt idx="284">
                  <c:v>-10.524645534494418</c:v>
                </c:pt>
                <c:pt idx="285">
                  <c:v>-10.44741797730053</c:v>
                </c:pt>
                <c:pt idx="286">
                  <c:v>-10.370403281450505</c:v>
                </c:pt>
                <c:pt idx="287">
                  <c:v>-10.293459748254065</c:v>
                </c:pt>
                <c:pt idx="288">
                  <c:v>-10.216435823621252</c:v>
                </c:pt>
                <c:pt idx="289">
                  <c:v>-10.139168802970271</c:v>
                </c:pt>
                <c:pt idx="290">
                  <c:v>-10.061483377178405</c:v>
                </c:pt>
                <c:pt idx="291">
                  <c:v>-9.9831899977348737</c:v>
                </c:pt>
                <c:pt idx="292">
                  <c:v>-9.9040830363890837</c:v>
                </c:pt>
                <c:pt idx="293">
                  <c:v>-9.8239387114376413</c:v>
                </c:pt>
                <c:pt idx="294">
                  <c:v>-9.7425127493789851</c:v>
                </c:pt>
                <c:pt idx="295">
                  <c:v>-9.6595377470360368</c:v>
                </c:pt>
                <c:pt idx="296">
                  <c:v>-9.5747201954983083</c:v>
                </c:pt>
                <c:pt idx="297">
                  <c:v>-9.4877371235256707</c:v>
                </c:pt>
                <c:pt idx="298">
                  <c:v>-9.398232314639273</c:v>
                </c:pt>
                <c:pt idx="299">
                  <c:v>-9.3058120493902372</c:v>
                </c:pt>
                <c:pt idx="300">
                  <c:v>-9.2100403228230601</c:v>
                </c:pt>
                <c:pt idx="301">
                  <c:v>-9.1104334877841513</c:v>
                </c:pt>
                <c:pt idx="302">
                  <c:v>-9.0064542786810975</c:v>
                </c:pt>
                <c:pt idx="303">
                  <c:v>-8.8975051792912829</c:v>
                </c:pt>
                <c:pt idx="304">
                  <c:v>-8.7829211146409971</c:v>
                </c:pt>
                <c:pt idx="305">
                  <c:v>-8.6619614741109618</c:v>
                </c:pt>
                <c:pt idx="306">
                  <c:v>-8.5338015152074114</c:v>
                </c:pt>
                <c:pt idx="307">
                  <c:v>-8.3975232607514556</c:v>
                </c:pt>
                <c:pt idx="308">
                  <c:v>-8.2521060942072317</c:v>
                </c:pt>
                <c:pt idx="309">
                  <c:v>-8.0964173880836565</c:v>
                </c:pt>
                <c:pt idx="310">
                  <c:v>-7.9292036803884125</c:v>
                </c:pt>
                <c:pt idx="311">
                  <c:v>-7.7490831571471883</c:v>
                </c:pt>
                <c:pt idx="312">
                  <c:v>-7.5545405185232646</c:v>
                </c:pt>
                <c:pt idx="313">
                  <c:v>-7.3439257132631157</c:v>
                </c:pt>
                <c:pt idx="314">
                  <c:v>-7.1154585250146987</c:v>
                </c:pt>
                <c:pt idx="315">
                  <c:v>-6.867241573079486</c:v>
                </c:pt>
                <c:pt idx="316">
                  <c:v>-6.597284910034884</c:v>
                </c:pt>
                <c:pt idx="317">
                  <c:v>-6.3035459748839875</c:v>
                </c:pt>
                <c:pt idx="318">
                  <c:v>-5.9839890423679574</c:v>
                </c:pt>
                <c:pt idx="319">
                  <c:v>-5.6366682604152372</c:v>
                </c:pt>
                <c:pt idx="320">
                  <c:v>-5.2598375584301742</c:v>
                </c:pt>
                <c:pt idx="321">
                  <c:v>-4.8520887389817915</c:v>
                </c:pt>
                <c:pt idx="322">
                  <c:v>-4.4125155448246991</c:v>
                </c:pt>
                <c:pt idx="323">
                  <c:v>-3.9408962074616278</c:v>
                </c:pt>
                <c:pt idx="324">
                  <c:v>-3.4378801447968161</c:v>
                </c:pt>
                <c:pt idx="325">
                  <c:v>-2.9051570099008481</c:v>
                </c:pt>
                <c:pt idx="326">
                  <c:v>-2.3455800227566987</c:v>
                </c:pt>
                <c:pt idx="327">
                  <c:v>-1.76321301672661</c:v>
                </c:pt>
                <c:pt idx="328">
                  <c:v>-1.1632745534321685</c:v>
                </c:pt>
                <c:pt idx="329">
                  <c:v>-0.55196433471289286</c:v>
                </c:pt>
                <c:pt idx="330">
                  <c:v>6.3823929008593877E-2</c:v>
                </c:pt>
                <c:pt idx="331">
                  <c:v>0.67687699650276556</c:v>
                </c:pt>
                <c:pt idx="332">
                  <c:v>1.280078767886685</c:v>
                </c:pt>
                <c:pt idx="333">
                  <c:v>1.8668142863987849</c:v>
                </c:pt>
                <c:pt idx="334">
                  <c:v>2.431309118278453</c:v>
                </c:pt>
                <c:pt idx="335">
                  <c:v>2.9688666776398085</c:v>
                </c:pt>
                <c:pt idx="336">
                  <c:v>3.4759872575073927</c:v>
                </c:pt>
                <c:pt idx="337">
                  <c:v>3.9503738729422975</c:v>
                </c:pt>
                <c:pt idx="338">
                  <c:v>4.3908461144263384</c:v>
                </c:pt>
                <c:pt idx="339">
                  <c:v>4.7971914577830477</c:v>
                </c:pt>
                <c:pt idx="340">
                  <c:v>5.1699842104650422</c:v>
                </c:pt>
                <c:pt idx="341">
                  <c:v>5.5103977039511527</c:v>
                </c:pt>
                <c:pt idx="342">
                  <c:v>5.8200282170571738</c:v>
                </c:pt>
                <c:pt idx="343">
                  <c:v>6.1007417294586563</c:v>
                </c:pt>
                <c:pt idx="344">
                  <c:v>6.3545483763220494</c:v>
                </c:pt>
                <c:pt idx="345">
                  <c:v>6.5835049769886469</c:v>
                </c:pt>
                <c:pt idx="346">
                  <c:v>6.7896432263767892</c:v>
                </c:pt>
                <c:pt idx="347">
                  <c:v>6.9749197447108617</c:v>
                </c:pt>
                <c:pt idx="348">
                  <c:v>7.1411837671680152</c:v>
                </c:pt>
                <c:pt idx="349">
                  <c:v>7.2901584432188153</c:v>
                </c:pt>
                <c:pt idx="350">
                  <c:v>7.4234322159759172</c:v>
                </c:pt>
                <c:pt idx="351">
                  <c:v>7.5424573682001723</c:v>
                </c:pt>
                <c:pt idx="352">
                  <c:v>7.6485534352982354</c:v>
                </c:pt>
                <c:pt idx="353">
                  <c:v>7.7429137349668737</c:v>
                </c:pt>
                <c:pt idx="354">
                  <c:v>7.8266137233699649</c:v>
                </c:pt>
                <c:pt idx="355">
                  <c:v>7.9006202558831227</c:v>
                </c:pt>
                <c:pt idx="356">
                  <c:v>7.9658011147498797</c:v>
                </c:pt>
                <c:pt idx="357">
                  <c:v>8.0229343793400538</c:v>
                </c:pt>
                <c:pt idx="358">
                  <c:v>8.0727173708187117</c:v>
                </c:pt>
                <c:pt idx="359">
                  <c:v>8.1157750145859584</c:v>
                </c:pt>
                <c:pt idx="360">
                  <c:v>8.1526675416213763</c:v>
                </c:pt>
                <c:pt idx="361">
                  <c:v>8.1838975026058769</c:v>
                </c:pt>
                <c:pt idx="362">
                  <c:v>8.2099161032388128</c:v>
                </c:pt>
                <c:pt idx="363">
                  <c:v>8.2311288907343698</c:v>
                </c:pt>
                <c:pt idx="364">
                  <c:v>8.2479008339617739</c:v>
                </c:pt>
                <c:pt idx="365">
                  <c:v>8.2605608459464772</c:v>
                </c:pt>
                <c:pt idx="366">
                  <c:v>8.2694057995377666</c:v>
                </c:pt>
                <c:pt idx="367">
                  <c:v>8.2747040864434194</c:v>
                </c:pt>
                <c:pt idx="368">
                  <c:v>8.276698767565037</c:v>
                </c:pt>
                <c:pt idx="369">
                  <c:v>8.2756103593510097</c:v>
                </c:pt>
                <c:pt idx="370">
                  <c:v>8.2716392972003145</c:v>
                </c:pt>
                <c:pt idx="371">
                  <c:v>8.2649681131183534</c:v>
                </c:pt>
                <c:pt idx="372">
                  <c:v>8.2557633610501355</c:v>
                </c:pt>
                <c:pt idx="373">
                  <c:v>8.2441773197209756</c:v>
                </c:pt>
                <c:pt idx="374">
                  <c:v>8.2303494994701794</c:v>
                </c:pt>
                <c:pt idx="375">
                  <c:v>8.214407976502887</c:v>
                </c:pt>
                <c:pt idx="376">
                  <c:v>8.1964705752182496</c:v>
                </c:pt>
                <c:pt idx="377">
                  <c:v>8.1766459167931611</c:v>
                </c:pt>
                <c:pt idx="378">
                  <c:v>8.1550343499947591</c:v>
                </c:pt>
                <c:pt idx="379">
                  <c:v>8.1317287782418486</c:v>
                </c:pt>
                <c:pt idx="380">
                  <c:v>8.1068153952133652</c:v>
                </c:pt>
                <c:pt idx="381">
                  <c:v>8.080374339787781</c:v>
                </c:pt>
                <c:pt idx="382">
                  <c:v>8.0524802797692239</c:v>
                </c:pt>
                <c:pt idx="383">
                  <c:v>8.0232029326927705</c:v>
                </c:pt>
                <c:pt idx="384">
                  <c:v>7.9926075309837588</c:v>
                </c:pt>
                <c:pt idx="385">
                  <c:v>7.9607552378563362</c:v>
                </c:pt>
                <c:pt idx="386">
                  <c:v>7.9277035195591683</c:v>
                </c:pt>
                <c:pt idx="387">
                  <c:v>7.8935064788971099</c:v>
                </c:pt>
                <c:pt idx="388">
                  <c:v>7.8582151543642551</c:v>
                </c:pt>
                <c:pt idx="389">
                  <c:v>7.8218777887052751</c:v>
                </c:pt>
                <c:pt idx="390">
                  <c:v>7.7845400702684655</c:v>
                </c:pt>
                <c:pt idx="391">
                  <c:v>7.7462453501175208</c:v>
                </c:pt>
                <c:pt idx="392">
                  <c:v>7.7070348375216806</c:v>
                </c:pt>
                <c:pt idx="393">
                  <c:v>7.6669477761400042</c:v>
                </c:pt>
                <c:pt idx="394">
                  <c:v>7.6260216029488745</c:v>
                </c:pt>
                <c:pt idx="395">
                  <c:v>7.5842920917279253</c:v>
                </c:pt>
                <c:pt idx="396">
                  <c:v>7.5417934827142412</c:v>
                </c:pt>
                <c:pt idx="397">
                  <c:v>7.4985585998540536</c:v>
                </c:pt>
                <c:pt idx="398">
                  <c:v>7.4546189569223396</c:v>
                </c:pt>
                <c:pt idx="399">
                  <c:v>7.4100048536407268</c:v>
                </c:pt>
                <c:pt idx="400">
                  <c:v>7.3647454628007401</c:v>
                </c:pt>
                <c:pt idx="401">
                  <c:v>7.3188689092905168</c:v>
                </c:pt>
                <c:pt idx="402">
                  <c:v>7.2724023418268651</c:v>
                </c:pt>
                <c:pt idx="403">
                  <c:v>7.2253719981093525</c:v>
                </c:pt>
                <c:pt idx="404">
                  <c:v>7.1778032640378404</c:v>
                </c:pt>
                <c:pt idx="405">
                  <c:v>7.1297207275679026</c:v>
                </c:pt>
                <c:pt idx="406">
                  <c:v>7.0811482277193285</c:v>
                </c:pt>
                <c:pt idx="407">
                  <c:v>7.0321088992001837</c:v>
                </c:pt>
                <c:pt idx="408">
                  <c:v>6.9826252130620166</c:v>
                </c:pt>
                <c:pt idx="409">
                  <c:v>6.9327190137600549</c:v>
                </c:pt>
                <c:pt idx="410">
                  <c:v>6.8824115529550234</c:v>
                </c:pt>
                <c:pt idx="411">
                  <c:v>6.8317235203599811</c:v>
                </c:pt>
                <c:pt idx="412">
                  <c:v>6.7806750719059661</c:v>
                </c:pt>
                <c:pt idx="413">
                  <c:v>6.7292858554736066</c:v>
                </c:pt>
                <c:pt idx="414">
                  <c:v>6.6775750344141951</c:v>
                </c:pt>
                <c:pt idx="415">
                  <c:v>6.6255613090623546</c:v>
                </c:pt>
                <c:pt idx="416">
                  <c:v>6.5732629364233564</c:v>
                </c:pt>
                <c:pt idx="417">
                  <c:v>6.5206977482009822</c:v>
                </c:pt>
                <c:pt idx="418">
                  <c:v>6.4678831673163888</c:v>
                </c:pt>
                <c:pt idx="419">
                  <c:v>6.4148362230545324</c:v>
                </c:pt>
                <c:pt idx="420">
                  <c:v>6.3615735649622209</c:v>
                </c:pt>
                <c:pt idx="421">
                  <c:v>6.3081114756105983</c:v>
                </c:pt>
                <c:pt idx="422">
                  <c:v>6.2544658823245802</c:v>
                </c:pt>
                <c:pt idx="423">
                  <c:v>6.2006523679726566</c:v>
                </c:pt>
                <c:pt idx="424">
                  <c:v>6.1466861809021429</c:v>
                </c:pt>
                <c:pt idx="425">
                  <c:v>6.0925822440973096</c:v>
                </c:pt>
                <c:pt idx="426">
                  <c:v>6.0383551636311372</c:v>
                </c:pt>
                <c:pt idx="427">
                  <c:v>5.9840192364751204</c:v>
                </c:pt>
                <c:pt idx="428">
                  <c:v>5.9295884577259921</c:v>
                </c:pt>
                <c:pt idx="429">
                  <c:v>5.8750765273030829</c:v>
                </c:pt>
                <c:pt idx="430">
                  <c:v>5.8204968561653914</c:v>
                </c:pt>
                <c:pt idx="431">
                  <c:v>5.765862572093198</c:v>
                </c:pt>
                <c:pt idx="432">
                  <c:v>5.7111865250751901</c:v>
                </c:pt>
                <c:pt idx="433">
                  <c:v>5.6564812923385785</c:v>
                </c:pt>
                <c:pt idx="434">
                  <c:v>5.6017591830564077</c:v>
                </c:pt>
                <c:pt idx="435">
                  <c:v>5.5470322427633825</c:v>
                </c:pt>
                <c:pt idx="436">
                  <c:v>5.4923122575088401</c:v>
                </c:pt>
                <c:pt idx="437">
                  <c:v>5.4376107577730037</c:v>
                </c:pt>
                <c:pt idx="438">
                  <c:v>5.3829390221704685</c:v>
                </c:pt>
                <c:pt idx="439">
                  <c:v>5.328308080962759</c:v>
                </c:pt>
                <c:pt idx="440">
                  <c:v>5.2737287193999238</c:v>
                </c:pt>
                <c:pt idx="441">
                  <c:v>5.2192114809094399</c:v>
                </c:pt>
                <c:pt idx="442">
                  <c:v>5.1647666701490405</c:v>
                </c:pt>
                <c:pt idx="443">
                  <c:v>5.1104043559386669</c:v>
                </c:pt>
                <c:pt idx="444">
                  <c:v>5.0561343740854232</c:v>
                </c:pt>
                <c:pt idx="445">
                  <c:v>5.0019663301141328</c:v>
                </c:pt>
                <c:pt idx="446">
                  <c:v>4.9479096019149624</c:v>
                </c:pt>
                <c:pt idx="447">
                  <c:v>4.8939733423185876</c:v>
                </c:pt>
                <c:pt idx="448">
                  <c:v>4.8401664816084002</c:v>
                </c:pt>
                <c:pt idx="449">
                  <c:v>4.7864977299782643</c:v>
                </c:pt>
                <c:pt idx="450">
                  <c:v>4.7329755799437425</c:v>
                </c:pt>
                <c:pt idx="451">
                  <c:v>4.6796083087137079</c:v>
                </c:pt>
                <c:pt idx="452">
                  <c:v>4.6264039805287442</c:v>
                </c:pt>
                <c:pt idx="453">
                  <c:v>4.5733704489720477</c:v>
                </c:pt>
                <c:pt idx="454">
                  <c:v>4.5205153592579173</c:v>
                </c:pt>
                <c:pt idx="455">
                  <c:v>4.4678461505024512</c:v>
                </c:pt>
                <c:pt idx="456">
                  <c:v>4.4153700579805033</c:v>
                </c:pt>
                <c:pt idx="457">
                  <c:v>4.3630941153725322</c:v>
                </c:pt>
                <c:pt idx="458">
                  <c:v>4.3110251570045905</c:v>
                </c:pt>
                <c:pt idx="459">
                  <c:v>4.2591698200841748</c:v>
                </c:pt>
                <c:pt idx="460">
                  <c:v>4.2075345469344576</c:v>
                </c:pt>
                <c:pt idx="461">
                  <c:v>4.1561255872290612</c:v>
                </c:pt>
                <c:pt idx="462">
                  <c:v>4.1049490002290705</c:v>
                </c:pt>
                <c:pt idx="463">
                  <c:v>4.0540106570239871</c:v>
                </c:pt>
                <c:pt idx="464">
                  <c:v>4.0033162427777595</c:v>
                </c:pt>
                <c:pt idx="465">
                  <c:v>3.9528712589810899</c:v>
                </c:pt>
                <c:pt idx="466">
                  <c:v>3.9026810257107307</c:v>
                </c:pt>
                <c:pt idx="467">
                  <c:v>3.8527506838965282</c:v>
                </c:pt>
                <c:pt idx="468">
                  <c:v>3.8030851975965563</c:v>
                </c:pt>
                <c:pt idx="469">
                  <c:v>3.7536893562807538</c:v>
                </c:pt>
                <c:pt idx="470">
                  <c:v>3.7045677771231622</c:v>
                </c:pt>
                <c:pt idx="471">
                  <c:v>3.6557249073027718</c:v>
                </c:pt>
                <c:pt idx="472">
                  <c:v>3.6071650263128756</c:v>
                </c:pt>
                <c:pt idx="473">
                  <c:v>3.5588922482787551</c:v>
                </c:pt>
                <c:pt idx="474">
                  <c:v>3.5109105242833021</c:v>
                </c:pt>
                <c:pt idx="475">
                  <c:v>3.4632236447002418</c:v>
                </c:pt>
                <c:pt idx="476">
                  <c:v>3.4158352415344053</c:v>
                </c:pt>
                <c:pt idx="477">
                  <c:v>3.3687487907685378</c:v>
                </c:pt>
                <c:pt idx="478">
                  <c:v>3.3219676147160007</c:v>
                </c:pt>
                <c:pt idx="479">
                  <c:v>3.2754948843786629</c:v>
                </c:pt>
                <c:pt idx="480">
                  <c:v>3.2293336218092756</c:v>
                </c:pt>
                <c:pt idx="481">
                  <c:v>3.1834867024775741</c:v>
                </c:pt>
                <c:pt idx="482">
                  <c:v>3.1379568576392316</c:v>
                </c:pt>
                <c:pt idx="483">
                  <c:v>3.0927466767069269</c:v>
                </c:pt>
                <c:pt idx="484">
                  <c:v>3.0478586096225282</c:v>
                </c:pt>
                <c:pt idx="485">
                  <c:v>3.0032949692296249</c:v>
                </c:pt>
                <c:pt idx="486">
                  <c:v>2.9590579336454619</c:v>
                </c:pt>
                <c:pt idx="487">
                  <c:v>2.9151495486313124</c:v>
                </c:pt>
                <c:pt idx="488">
                  <c:v>2.8715717299604515</c:v>
                </c:pt>
                <c:pt idx="489">
                  <c:v>2.8283262657827448</c:v>
                </c:pt>
                <c:pt idx="490">
                  <c:v>2.7854148189849237</c:v>
                </c:pt>
                <c:pt idx="491">
                  <c:v>2.7428389295456643</c:v>
                </c:pt>
                <c:pt idx="492">
                  <c:v>2.7006000168844819</c:v>
                </c:pt>
                <c:pt idx="493">
                  <c:v>2.6586993822035954</c:v>
                </c:pt>
                <c:pt idx="494">
                  <c:v>2.6171382108217784</c:v>
                </c:pt>
                <c:pt idx="495">
                  <c:v>2.5759175744993703</c:v>
                </c:pt>
                <c:pt idx="496">
                  <c:v>2.5350384337535239</c:v>
                </c:pt>
                <c:pt idx="497">
                  <c:v>2.4945016401628415</c:v>
                </c:pt>
                <c:pt idx="498">
                  <c:v>2.4543079386605262</c:v>
                </c:pt>
                <c:pt idx="499">
                  <c:v>2.4144579698152331</c:v>
                </c:pt>
                <c:pt idx="500">
                  <c:v>2.3749522720988283</c:v>
                </c:pt>
                <c:pt idx="501">
                  <c:v>2.3357912841402051</c:v>
                </c:pt>
                <c:pt idx="502">
                  <c:v>2.2969753469644409</c:v>
                </c:pt>
                <c:pt idx="503">
                  <c:v>2.2585047062165318</c:v>
                </c:pt>
                <c:pt idx="504">
                  <c:v>2.2203795143689389</c:v>
                </c:pt>
                <c:pt idx="505">
                  <c:v>2.1825998329123282</c:v>
                </c:pt>
                <c:pt idx="506">
                  <c:v>2.1451656345287224</c:v>
                </c:pt>
                <c:pt idx="507">
                  <c:v>2.1080768052465242</c:v>
                </c:pt>
                <c:pt idx="508">
                  <c:v>2.0713331465766727</c:v>
                </c:pt>
                <c:pt idx="509">
                  <c:v>2.034934377629428</c:v>
                </c:pt>
                <c:pt idx="510">
                  <c:v>1.9988801372111213</c:v>
                </c:pt>
                <c:pt idx="511">
                  <c:v>1.9631699859004179</c:v>
                </c:pt>
                <c:pt idx="512">
                  <c:v>1.9278034081034567</c:v>
                </c:pt>
                <c:pt idx="513">
                  <c:v>1.892779814087481</c:v>
                </c:pt>
                <c:pt idx="514">
                  <c:v>1.8580985419923852</c:v>
                </c:pt>
                <c:pt idx="515">
                  <c:v>1.8237588598198169</c:v>
                </c:pt>
                <c:pt idx="516">
                  <c:v>1.7897599673993554</c:v>
                </c:pt>
                <c:pt idx="517">
                  <c:v>1.7561009983314051</c:v>
                </c:pt>
                <c:pt idx="518">
                  <c:v>1.7227810219064015</c:v>
                </c:pt>
                <c:pt idx="519">
                  <c:v>1.689799045000056</c:v>
                </c:pt>
                <c:pt idx="520">
                  <c:v>1.6571540139442007</c:v>
                </c:pt>
                <c:pt idx="521">
                  <c:v>1.6248448163730522</c:v>
                </c:pt>
                <c:pt idx="522">
                  <c:v>1.5928702830445882</c:v>
                </c:pt>
                <c:pt idx="523">
                  <c:v>1.5612291896367285</c:v>
                </c:pt>
                <c:pt idx="524">
                  <c:v>1.5299202585181799</c:v>
                </c:pt>
                <c:pt idx="525">
                  <c:v>1.4989421604937316</c:v>
                </c:pt>
                <c:pt idx="526">
                  <c:v>1.4682935165237403</c:v>
                </c:pt>
                <c:pt idx="527">
                  <c:v>1.437972899417769</c:v>
                </c:pt>
                <c:pt idx="528">
                  <c:v>1.4079788355021332</c:v>
                </c:pt>
                <c:pt idx="529">
                  <c:v>1.3783098062613224</c:v>
                </c:pt>
                <c:pt idx="530">
                  <c:v>1.3489642499531342</c:v>
                </c:pt>
                <c:pt idx="531">
                  <c:v>1.319940563197525</c:v>
                </c:pt>
                <c:pt idx="532">
                  <c:v>1.2912371025390339</c:v>
                </c:pt>
                <c:pt idx="533">
                  <c:v>1.2628521859827924</c:v>
                </c:pt>
                <c:pt idx="534">
                  <c:v>1.2347840945041124</c:v>
                </c:pt>
                <c:pt idx="535">
                  <c:v>1.2070310735316205</c:v>
                </c:pt>
                <c:pt idx="536">
                  <c:v>1.1795913344039626</c:v>
                </c:pt>
                <c:pt idx="537">
                  <c:v>1.1524630558001174</c:v>
                </c:pt>
                <c:pt idx="538">
                  <c:v>1.1256443851433637</c:v>
                </c:pt>
                <c:pt idx="539">
                  <c:v>1.0991334399789778</c:v>
                </c:pt>
                <c:pt idx="540">
                  <c:v>1.0729283093257038</c:v>
                </c:pt>
                <c:pt idx="541">
                  <c:v>1.0470270550011485</c:v>
                </c:pt>
                <c:pt idx="542">
                  <c:v>1.0214277129211276</c:v>
                </c:pt>
                <c:pt idx="543">
                  <c:v>0.99612829437318595</c:v>
                </c:pt>
                <c:pt idx="544">
                  <c:v>0.97112678726430879</c:v>
                </c:pt>
                <c:pt idx="545">
                  <c:v>0.94642115734306209</c:v>
                </c:pt>
                <c:pt idx="546">
                  <c:v>0.92200934939628887</c:v>
                </c:pt>
                <c:pt idx="547">
                  <c:v>0.89788928842049209</c:v>
                </c:pt>
                <c:pt idx="548">
                  <c:v>0.87405888076813021</c:v>
                </c:pt>
                <c:pt idx="549">
                  <c:v>0.8505160152690312</c:v>
                </c:pt>
                <c:pt idx="550">
                  <c:v>0.82725856432701228</c:v>
                </c:pt>
                <c:pt idx="551">
                  <c:v>0.80428438499204802</c:v>
                </c:pt>
                <c:pt idx="552">
                  <c:v>0.78159132000814324</c:v>
                </c:pt>
                <c:pt idx="553">
                  <c:v>0.75917719883708656</c:v>
                </c:pt>
                <c:pt idx="554">
                  <c:v>0.73703983865842204</c:v>
                </c:pt>
                <c:pt idx="555">
                  <c:v>0.71517704534575444</c:v>
                </c:pt>
                <c:pt idx="556">
                  <c:v>0.69358661441975578</c:v>
                </c:pt>
                <c:pt idx="557">
                  <c:v>0.67226633197803665</c:v>
                </c:pt>
                <c:pt idx="558">
                  <c:v>0.65121397560214689</c:v>
                </c:pt>
                <c:pt idx="559">
                  <c:v>0.63042731524203965</c:v>
                </c:pt>
                <c:pt idx="560">
                  <c:v>0.60990411407819778</c:v>
                </c:pt>
                <c:pt idx="561">
                  <c:v>0.58964212936167471</c:v>
                </c:pt>
                <c:pt idx="562">
                  <c:v>0.56963911323243011</c:v>
                </c:pt>
                <c:pt idx="563">
                  <c:v>0.54989281351615382</c:v>
                </c:pt>
                <c:pt idx="564">
                  <c:v>0.53040097449985346</c:v>
                </c:pt>
                <c:pt idx="565">
                  <c:v>0.51116133768658578</c:v>
                </c:pt>
                <c:pt idx="566">
                  <c:v>0.49217164252953083</c:v>
                </c:pt>
                <c:pt idx="567">
                  <c:v>0.47342962714570902</c:v>
                </c:pt>
                <c:pt idx="568">
                  <c:v>0.45493302900975507</c:v>
                </c:pt>
                <c:pt idx="569">
                  <c:v>0.43667958562783227</c:v>
                </c:pt>
                <c:pt idx="570">
                  <c:v>0.41866703519221993</c:v>
                </c:pt>
                <c:pt idx="571">
                  <c:v>0.40089311721668963</c:v>
                </c:pt>
                <c:pt idx="572">
                  <c:v>0.38335557315307689</c:v>
                </c:pt>
                <c:pt idx="573">
                  <c:v>0.36605214698932542</c:v>
                </c:pt>
                <c:pt idx="574">
                  <c:v>0.34898058582927405</c:v>
                </c:pt>
                <c:pt idx="575">
                  <c:v>0.3321386404545823</c:v>
                </c:pt>
                <c:pt idx="576">
                  <c:v>0.31552406586892801</c:v>
                </c:pt>
                <c:pt idx="577">
                  <c:v>0.29913462182500083</c:v>
                </c:pt>
                <c:pt idx="578">
                  <c:v>0.2829680733344162</c:v>
                </c:pt>
                <c:pt idx="579">
                  <c:v>0.2670221911609012</c:v>
                </c:pt>
                <c:pt idx="580">
                  <c:v>0.25129475229715936</c:v>
                </c:pt>
                <c:pt idx="581">
                  <c:v>0.2357835404255173</c:v>
                </c:pt>
                <c:pt idx="582">
                  <c:v>0.2204863463628417</c:v>
                </c:pt>
                <c:pt idx="583">
                  <c:v>0.20540096848991496</c:v>
                </c:pt>
                <c:pt idx="584">
                  <c:v>0.19052521316559456</c:v>
                </c:pt>
                <c:pt idx="585">
                  <c:v>0.17585689512608127</c:v>
                </c:pt>
                <c:pt idx="586">
                  <c:v>0.16139383786952521</c:v>
                </c:pt>
                <c:pt idx="587">
                  <c:v>0.14713387402635725</c:v>
                </c:pt>
                <c:pt idx="588">
                  <c:v>0.13307484571549999</c:v>
                </c:pt>
                <c:pt idx="589">
                  <c:v>0.11921460488692404</c:v>
                </c:pt>
                <c:pt idx="590">
                  <c:v>0.1055510136506399</c:v>
                </c:pt>
                <c:pt idx="591">
                  <c:v>9.2081944592587561E-2</c:v>
                </c:pt>
                <c:pt idx="592">
                  <c:v>7.8805281077547917E-2</c:v>
                </c:pt>
                <c:pt idx="593">
                  <c:v>6.5718917539504318E-2</c:v>
                </c:pt>
                <c:pt idx="594">
                  <c:v>5.2820759759587332E-2</c:v>
                </c:pt>
                <c:pt idx="595">
                  <c:v>4.0108725131997147E-2</c:v>
                </c:pt>
                <c:pt idx="596">
                  <c:v>4.0096206544726343E-2</c:v>
                </c:pt>
                <c:pt idx="597">
                  <c:v>4.0083688138752294E-2</c:v>
                </c:pt>
                <c:pt idx="598">
                  <c:v>4.0071169914064342E-2</c:v>
                </c:pt>
                <c:pt idx="599">
                  <c:v>4.0058651870662487E-2</c:v>
                </c:pt>
                <c:pt idx="600">
                  <c:v>4.004613400854673E-2</c:v>
                </c:pt>
                <c:pt idx="601">
                  <c:v>4.0033616327720623E-2</c:v>
                </c:pt>
                <c:pt idx="602">
                  <c:v>4.0021098828169954E-2</c:v>
                </c:pt>
                <c:pt idx="603">
                  <c:v>4.0008581509900054E-2</c:v>
                </c:pt>
                <c:pt idx="604">
                  <c:v>3.9996064372909146E-2</c:v>
                </c:pt>
                <c:pt idx="605">
                  <c:v>3.9983547417195453E-2</c:v>
                </c:pt>
                <c:pt idx="606">
                  <c:v>3.9971030642748318E-2</c:v>
                </c:pt>
                <c:pt idx="607">
                  <c:v>3.9958514049576621E-2</c:v>
                </c:pt>
                <c:pt idx="608">
                  <c:v>3.9945997637680364E-2</c:v>
                </c:pt>
                <c:pt idx="609">
                  <c:v>3.9933481407041782E-2</c:v>
                </c:pt>
                <c:pt idx="610">
                  <c:v>3.9920965357675087E-2</c:v>
                </c:pt>
                <c:pt idx="611">
                  <c:v>3.9908449489566067E-2</c:v>
                </c:pt>
                <c:pt idx="612">
                  <c:v>3.9895933802723604E-2</c:v>
                </c:pt>
                <c:pt idx="613">
                  <c:v>3.9883418297135265E-2</c:v>
                </c:pt>
                <c:pt idx="614">
                  <c:v>3.9870902972811706E-2</c:v>
                </c:pt>
                <c:pt idx="615">
                  <c:v>3.9858387829744046E-2</c:v>
                </c:pt>
                <c:pt idx="616">
                  <c:v>3.9845872867921628E-2</c:v>
                </c:pt>
                <c:pt idx="617">
                  <c:v>3.9833358087349779E-2</c:v>
                </c:pt>
                <c:pt idx="618">
                  <c:v>3.9820843488035607E-2</c:v>
                </c:pt>
                <c:pt idx="619">
                  <c:v>3.9808329069963122E-2</c:v>
                </c:pt>
                <c:pt idx="620">
                  <c:v>3.9795814833141208E-2</c:v>
                </c:pt>
                <c:pt idx="621">
                  <c:v>3.9783300777553876E-2</c:v>
                </c:pt>
                <c:pt idx="622">
                  <c:v>3.9770786903211786E-2</c:v>
                </c:pt>
                <c:pt idx="623">
                  <c:v>3.9758273210114936E-2</c:v>
                </c:pt>
                <c:pt idx="624">
                  <c:v>3.9745759698249117E-2</c:v>
                </c:pt>
                <c:pt idx="625">
                  <c:v>3.973324636761788E-2</c:v>
                </c:pt>
                <c:pt idx="626">
                  <c:v>3.9720733218221227E-2</c:v>
                </c:pt>
                <c:pt idx="627">
                  <c:v>3.9708220250053827E-2</c:v>
                </c:pt>
                <c:pt idx="628">
                  <c:v>3.9695707463117458E-2</c:v>
                </c:pt>
                <c:pt idx="629">
                  <c:v>3.9683194857408566E-2</c:v>
                </c:pt>
                <c:pt idx="630">
                  <c:v>3.9670682432925375E-2</c:v>
                </c:pt>
                <c:pt idx="631">
                  <c:v>3.9658170189662556E-2</c:v>
                </c:pt>
                <c:pt idx="632">
                  <c:v>3.9645658127627215E-2</c:v>
                </c:pt>
                <c:pt idx="633">
                  <c:v>3.9633146246799811E-2</c:v>
                </c:pt>
                <c:pt idx="634">
                  <c:v>3.9620634547196332E-2</c:v>
                </c:pt>
                <c:pt idx="635">
                  <c:v>3.9608123028804343E-2</c:v>
                </c:pt>
                <c:pt idx="636">
                  <c:v>3.9595611691627397E-2</c:v>
                </c:pt>
                <c:pt idx="637">
                  <c:v>3.9583100535663718E-2</c:v>
                </c:pt>
                <c:pt idx="638">
                  <c:v>3.9570589560909752E-2</c:v>
                </c:pt>
                <c:pt idx="639">
                  <c:v>3.9558078767356619E-2</c:v>
                </c:pt>
                <c:pt idx="640">
                  <c:v>3.9545568155006094E-2</c:v>
                </c:pt>
                <c:pt idx="641">
                  <c:v>3.953305772386706E-2</c:v>
                </c:pt>
                <c:pt idx="642">
                  <c:v>3.9520547473927081E-2</c:v>
                </c:pt>
                <c:pt idx="643">
                  <c:v>3.9508037405182606E-2</c:v>
                </c:pt>
                <c:pt idx="644">
                  <c:v>3.9495527517633633E-2</c:v>
                </c:pt>
                <c:pt idx="645">
                  <c:v>3.948301781128194E-2</c:v>
                </c:pt>
                <c:pt idx="646">
                  <c:v>3.9470508286122197E-2</c:v>
                </c:pt>
                <c:pt idx="647">
                  <c:v>3.9457998942150851E-2</c:v>
                </c:pt>
                <c:pt idx="648">
                  <c:v>3.9445489779373233E-2</c:v>
                </c:pt>
                <c:pt idx="649">
                  <c:v>3.9432980797776906E-2</c:v>
                </c:pt>
                <c:pt idx="650">
                  <c:v>3.9420471997370754E-2</c:v>
                </c:pt>
                <c:pt idx="651">
                  <c:v>3.9407963378149446E-2</c:v>
                </c:pt>
                <c:pt idx="652">
                  <c:v>3.9395454940096997E-2</c:v>
                </c:pt>
                <c:pt idx="653">
                  <c:v>3.9382946683236497E-2</c:v>
                </c:pt>
                <c:pt idx="654">
                  <c:v>3.9370438607541303E-2</c:v>
                </c:pt>
                <c:pt idx="655">
                  <c:v>3.9357930713025624E-2</c:v>
                </c:pt>
                <c:pt idx="656">
                  <c:v>3.9345422999682356E-2</c:v>
                </c:pt>
                <c:pt idx="657">
                  <c:v>3.9332915467509721E-2</c:v>
                </c:pt>
                <c:pt idx="658">
                  <c:v>3.9320408116505945E-2</c:v>
                </c:pt>
                <c:pt idx="659">
                  <c:v>3.9307900946665697E-2</c:v>
                </c:pt>
                <c:pt idx="660">
                  <c:v>3.9295393957990754E-2</c:v>
                </c:pt>
                <c:pt idx="661">
                  <c:v>3.928288715047934E-2</c:v>
                </c:pt>
                <c:pt idx="662">
                  <c:v>3.9270380524127901E-2</c:v>
                </c:pt>
                <c:pt idx="663">
                  <c:v>3.9257874078934663E-2</c:v>
                </c:pt>
                <c:pt idx="664">
                  <c:v>3.92453678149014E-2</c:v>
                </c:pt>
                <c:pt idx="665">
                  <c:v>3.9232861732019231E-2</c:v>
                </c:pt>
                <c:pt idx="666">
                  <c:v>3.9220355830289932E-2</c:v>
                </c:pt>
                <c:pt idx="667">
                  <c:v>3.9207850109709952E-2</c:v>
                </c:pt>
                <c:pt idx="668">
                  <c:v>3.9195344570275736E-2</c:v>
                </c:pt>
                <c:pt idx="669">
                  <c:v>3.9182839211992615E-2</c:v>
                </c:pt>
                <c:pt idx="670">
                  <c:v>3.9170334034853482E-2</c:v>
                </c:pt>
                <c:pt idx="671">
                  <c:v>3.9157829038854786E-2</c:v>
                </c:pt>
                <c:pt idx="672">
                  <c:v>3.9145324223996525E-2</c:v>
                </c:pt>
                <c:pt idx="673">
                  <c:v>3.9132819590275147E-2</c:v>
                </c:pt>
                <c:pt idx="674">
                  <c:v>3.912031513769243E-2</c:v>
                </c:pt>
                <c:pt idx="675">
                  <c:v>3.9107810866243042E-2</c:v>
                </c:pt>
                <c:pt idx="676">
                  <c:v>3.9095306775921657E-2</c:v>
                </c:pt>
                <c:pt idx="677">
                  <c:v>3.9082802866740707E-2</c:v>
                </c:pt>
                <c:pt idx="678">
                  <c:v>3.9070299138680653E-2</c:v>
                </c:pt>
                <c:pt idx="679">
                  <c:v>3.9057795591745048E-2</c:v>
                </c:pt>
                <c:pt idx="680">
                  <c:v>3.9045292225932116E-2</c:v>
                </c:pt>
                <c:pt idx="681">
                  <c:v>3.9032789041248961E-2</c:v>
                </c:pt>
                <c:pt idx="682">
                  <c:v>3.9020286037679597E-2</c:v>
                </c:pt>
                <c:pt idx="683">
                  <c:v>3.9007783215232905E-2</c:v>
                </c:pt>
                <c:pt idx="684">
                  <c:v>3.8995280573898228E-2</c:v>
                </c:pt>
                <c:pt idx="685">
                  <c:v>3.8982778113677341E-2</c:v>
                </c:pt>
                <c:pt idx="686">
                  <c:v>3.8970275834572021E-2</c:v>
                </c:pt>
                <c:pt idx="687">
                  <c:v>3.8957773736573387E-2</c:v>
                </c:pt>
                <c:pt idx="688">
                  <c:v>3.8945271819683214E-2</c:v>
                </c:pt>
                <c:pt idx="689">
                  <c:v>3.8932770083899726E-2</c:v>
                </c:pt>
                <c:pt idx="690">
                  <c:v>3.8920268529221147E-2</c:v>
                </c:pt>
                <c:pt idx="691">
                  <c:v>3.8907767155642148E-2</c:v>
                </c:pt>
                <c:pt idx="692">
                  <c:v>3.8895265963164505E-2</c:v>
                </c:pt>
                <c:pt idx="693">
                  <c:v>3.8882764951779336E-2</c:v>
                </c:pt>
                <c:pt idx="694">
                  <c:v>3.8870264121499076E-2</c:v>
                </c:pt>
                <c:pt idx="695">
                  <c:v>3.8857763472304185E-2</c:v>
                </c:pt>
                <c:pt idx="696">
                  <c:v>3.8845263004203545E-2</c:v>
                </c:pt>
                <c:pt idx="697">
                  <c:v>3.8832762717193603E-2</c:v>
                </c:pt>
                <c:pt idx="698">
                  <c:v>3.8820262611272582E-2</c:v>
                </c:pt>
                <c:pt idx="699">
                  <c:v>3.8807762686436931E-2</c:v>
                </c:pt>
                <c:pt idx="700">
                  <c:v>3.8795262942683095E-2</c:v>
                </c:pt>
                <c:pt idx="701">
                  <c:v>3.8782763380011076E-2</c:v>
                </c:pt>
                <c:pt idx="702">
                  <c:v>3.8770263998419097E-2</c:v>
                </c:pt>
                <c:pt idx="703">
                  <c:v>3.8757764797903604E-2</c:v>
                </c:pt>
                <c:pt idx="704">
                  <c:v>3.8745265778466376E-2</c:v>
                </c:pt>
                <c:pt idx="705">
                  <c:v>3.8732766940094976E-2</c:v>
                </c:pt>
                <c:pt idx="706">
                  <c:v>3.8720268282805392E-2</c:v>
                </c:pt>
                <c:pt idx="707">
                  <c:v>3.8707769806578085E-2</c:v>
                </c:pt>
                <c:pt idx="708">
                  <c:v>3.8695271511425489E-2</c:v>
                </c:pt>
                <c:pt idx="709">
                  <c:v>3.8682773397328063E-2</c:v>
                </c:pt>
                <c:pt idx="710">
                  <c:v>3.8670275464303572E-2</c:v>
                </c:pt>
                <c:pt idx="711">
                  <c:v>3.8657777712337804E-2</c:v>
                </c:pt>
                <c:pt idx="712">
                  <c:v>3.864528014143076E-2</c:v>
                </c:pt>
                <c:pt idx="713">
                  <c:v>3.8632782751580663E-2</c:v>
                </c:pt>
                <c:pt idx="714">
                  <c:v>3.8620285542787514E-2</c:v>
                </c:pt>
                <c:pt idx="715">
                  <c:v>3.8607788515045982E-2</c:v>
                </c:pt>
                <c:pt idx="716">
                  <c:v>3.8595291668359621E-2</c:v>
                </c:pt>
                <c:pt idx="717">
                  <c:v>3.8582795002721326E-2</c:v>
                </c:pt>
                <c:pt idx="718">
                  <c:v>3.8570298518125767E-2</c:v>
                </c:pt>
                <c:pt idx="719">
                  <c:v>3.8557802214576498E-2</c:v>
                </c:pt>
                <c:pt idx="720">
                  <c:v>3.8545306092073517E-2</c:v>
                </c:pt>
                <c:pt idx="721">
                  <c:v>3.8532810150611496E-2</c:v>
                </c:pt>
                <c:pt idx="722">
                  <c:v>3.8520314390188659E-2</c:v>
                </c:pt>
                <c:pt idx="723">
                  <c:v>3.8507818810799677E-2</c:v>
                </c:pt>
                <c:pt idx="724">
                  <c:v>3.8495323412448101E-2</c:v>
                </c:pt>
                <c:pt idx="725">
                  <c:v>3.8482828195128604E-2</c:v>
                </c:pt>
                <c:pt idx="726">
                  <c:v>3.8470333158841186E-2</c:v>
                </c:pt>
                <c:pt idx="727">
                  <c:v>3.8457838303584069E-2</c:v>
                </c:pt>
                <c:pt idx="728">
                  <c:v>3.8445343629355477E-2</c:v>
                </c:pt>
                <c:pt idx="729">
                  <c:v>3.8432849136142977E-2</c:v>
                </c:pt>
                <c:pt idx="730">
                  <c:v>3.8420354823962555E-2</c:v>
                </c:pt>
                <c:pt idx="731">
                  <c:v>3.8407860692803553E-2</c:v>
                </c:pt>
                <c:pt idx="732">
                  <c:v>3.8395366742658865E-2</c:v>
                </c:pt>
                <c:pt idx="733">
                  <c:v>3.8382872973535598E-2</c:v>
                </c:pt>
                <c:pt idx="734">
                  <c:v>3.8370379385424869E-2</c:v>
                </c:pt>
                <c:pt idx="735">
                  <c:v>3.8357885978324902E-2</c:v>
                </c:pt>
                <c:pt idx="736">
                  <c:v>3.8345392752241025E-2</c:v>
                </c:pt>
                <c:pt idx="737">
                  <c:v>3.8332899707160806E-2</c:v>
                </c:pt>
                <c:pt idx="738">
                  <c:v>3.8320406843091348E-2</c:v>
                </c:pt>
                <c:pt idx="739">
                  <c:v>3.8307914160021994E-2</c:v>
                </c:pt>
                <c:pt idx="740">
                  <c:v>3.8295421657959849E-2</c:v>
                </c:pt>
                <c:pt idx="741">
                  <c:v>3.8282929336899585E-2</c:v>
                </c:pt>
                <c:pt idx="742">
                  <c:v>3.8270437196834095E-2</c:v>
                </c:pt>
                <c:pt idx="743">
                  <c:v>3.8257945237766933E-2</c:v>
                </c:pt>
                <c:pt idx="744">
                  <c:v>3.8245453459696321E-2</c:v>
                </c:pt>
                <c:pt idx="745">
                  <c:v>3.8232961862615156E-2</c:v>
                </c:pt>
                <c:pt idx="746">
                  <c:v>3.8220470446526988E-2</c:v>
                </c:pt>
                <c:pt idx="747">
                  <c:v>3.820797921142649E-2</c:v>
                </c:pt>
                <c:pt idx="748">
                  <c:v>3.8195488157315438E-2</c:v>
                </c:pt>
                <c:pt idx="749">
                  <c:v>3.8182997284188502E-2</c:v>
                </c:pt>
                <c:pt idx="750">
                  <c:v>3.8170506592040354E-2</c:v>
                </c:pt>
                <c:pt idx="751">
                  <c:v>3.8158016080874546E-2</c:v>
                </c:pt>
                <c:pt idx="752">
                  <c:v>3.8145525750692855E-2</c:v>
                </c:pt>
                <c:pt idx="753">
                  <c:v>3.813303560147574E-2</c:v>
                </c:pt>
                <c:pt idx="754">
                  <c:v>3.8120545633246294E-2</c:v>
                </c:pt>
                <c:pt idx="755">
                  <c:v>3.8108055845988531E-2</c:v>
                </c:pt>
                <c:pt idx="756">
                  <c:v>3.8095566239690015E-2</c:v>
                </c:pt>
                <c:pt idx="757">
                  <c:v>3.8083076814368511E-2</c:v>
                </c:pt>
                <c:pt idx="758">
                  <c:v>3.8070587570011583E-2</c:v>
                </c:pt>
                <c:pt idx="759">
                  <c:v>3.8058098506615679E-2</c:v>
                </c:pt>
                <c:pt idx="760">
                  <c:v>3.804560962418968E-2</c:v>
                </c:pt>
                <c:pt idx="761">
                  <c:v>3.8033120922719377E-2</c:v>
                </c:pt>
                <c:pt idx="762">
                  <c:v>3.8020632402211874E-2</c:v>
                </c:pt>
                <c:pt idx="763">
                  <c:v>3.800814406265296E-2</c:v>
                </c:pt>
                <c:pt idx="764">
                  <c:v>3.7995655904056846E-2</c:v>
                </c:pt>
                <c:pt idx="765">
                  <c:v>3.7983167926407546E-2</c:v>
                </c:pt>
                <c:pt idx="766">
                  <c:v>3.7970680129706835E-2</c:v>
                </c:pt>
                <c:pt idx="767">
                  <c:v>3.7958192513960043E-2</c:v>
                </c:pt>
                <c:pt idx="768">
                  <c:v>3.794570507916184E-2</c:v>
                </c:pt>
                <c:pt idx="769">
                  <c:v>3.7933217825303345E-2</c:v>
                </c:pt>
                <c:pt idx="770">
                  <c:v>3.7920730752386334E-2</c:v>
                </c:pt>
                <c:pt idx="771">
                  <c:v>3.7908243860407254E-2</c:v>
                </c:pt>
                <c:pt idx="772">
                  <c:v>3.7895757149371434E-2</c:v>
                </c:pt>
                <c:pt idx="773">
                  <c:v>3.7883270619271769E-2</c:v>
                </c:pt>
                <c:pt idx="774">
                  <c:v>3.7870784270104707E-2</c:v>
                </c:pt>
                <c:pt idx="775">
                  <c:v>3.7858298101868471E-2</c:v>
                </c:pt>
                <c:pt idx="776">
                  <c:v>3.7845812114564836E-2</c:v>
                </c:pt>
                <c:pt idx="777">
                  <c:v>3.7833326308192028E-2</c:v>
                </c:pt>
                <c:pt idx="778">
                  <c:v>3.782084068274294E-2</c:v>
                </c:pt>
                <c:pt idx="779">
                  <c:v>3.780835523821402E-2</c:v>
                </c:pt>
                <c:pt idx="780">
                  <c:v>3.7795869974612373E-2</c:v>
                </c:pt>
                <c:pt idx="781">
                  <c:v>3.7783384891929117E-2</c:v>
                </c:pt>
                <c:pt idx="782">
                  <c:v>3.7770899990164253E-2</c:v>
                </c:pt>
                <c:pt idx="783">
                  <c:v>3.775841526931778E-2</c:v>
                </c:pt>
                <c:pt idx="784">
                  <c:v>3.7745930729380817E-2</c:v>
                </c:pt>
                <c:pt idx="785">
                  <c:v>3.7733446370358692E-2</c:v>
                </c:pt>
                <c:pt idx="786">
                  <c:v>3.7720962192247853E-2</c:v>
                </c:pt>
                <c:pt idx="787">
                  <c:v>3.7708478195037642E-2</c:v>
                </c:pt>
                <c:pt idx="788">
                  <c:v>3.7695994378744047E-2</c:v>
                </c:pt>
                <c:pt idx="789">
                  <c:v>3.7683510743349302E-2</c:v>
                </c:pt>
                <c:pt idx="790">
                  <c:v>3.7671027288853409E-2</c:v>
                </c:pt>
                <c:pt idx="791">
                  <c:v>3.7658544015263473E-2</c:v>
                </c:pt>
                <c:pt idx="792">
                  <c:v>3.7646060922565283E-2</c:v>
                </c:pt>
                <c:pt idx="793">
                  <c:v>3.7633578010767721E-2</c:v>
                </c:pt>
                <c:pt idx="794">
                  <c:v>3.7621095279861905E-2</c:v>
                </c:pt>
                <c:pt idx="795">
                  <c:v>3.7608612729849611E-2</c:v>
                </c:pt>
                <c:pt idx="796">
                  <c:v>3.759613036072551E-2</c:v>
                </c:pt>
                <c:pt idx="797">
                  <c:v>3.7583648172489603E-2</c:v>
                </c:pt>
                <c:pt idx="798">
                  <c:v>3.7571166165141889E-2</c:v>
                </c:pt>
                <c:pt idx="799">
                  <c:v>3.7558684338673487E-2</c:v>
                </c:pt>
                <c:pt idx="800">
                  <c:v>3.7546202693091502E-2</c:v>
                </c:pt>
                <c:pt idx="801">
                  <c:v>3.7533721228388828E-2</c:v>
                </c:pt>
                <c:pt idx="802">
                  <c:v>3.7521239944560136E-2</c:v>
                </c:pt>
                <c:pt idx="803">
                  <c:v>3.7508758841612533E-2</c:v>
                </c:pt>
                <c:pt idx="804">
                  <c:v>3.7496277919533583E-2</c:v>
                </c:pt>
                <c:pt idx="805">
                  <c:v>3.7483797178323286E-2</c:v>
                </c:pt>
                <c:pt idx="806">
                  <c:v>3.7471316617992301E-2</c:v>
                </c:pt>
                <c:pt idx="807">
                  <c:v>3.745883623852464E-2</c:v>
                </c:pt>
                <c:pt idx="808">
                  <c:v>3.7446356039923856E-2</c:v>
                </c:pt>
                <c:pt idx="809">
                  <c:v>3.7433876022181067E-2</c:v>
                </c:pt>
                <c:pt idx="810">
                  <c:v>3.7421396185301603E-2</c:v>
                </c:pt>
                <c:pt idx="811">
                  <c:v>3.7408916529280134E-2</c:v>
                </c:pt>
                <c:pt idx="812">
                  <c:v>3.7396437054125542E-2</c:v>
                </c:pt>
                <c:pt idx="813">
                  <c:v>3.7383957759816511E-2</c:v>
                </c:pt>
                <c:pt idx="814">
                  <c:v>3.7371478646367251E-2</c:v>
                </c:pt>
                <c:pt idx="815">
                  <c:v>3.7358999713765328E-2</c:v>
                </c:pt>
                <c:pt idx="816">
                  <c:v>3.7346520962016072E-2</c:v>
                </c:pt>
                <c:pt idx="817">
                  <c:v>3.7334042391112376E-2</c:v>
                </c:pt>
                <c:pt idx="818">
                  <c:v>3.7321564001052465E-2</c:v>
                </c:pt>
                <c:pt idx="819">
                  <c:v>3.7309085791839891E-2</c:v>
                </c:pt>
                <c:pt idx="820">
                  <c:v>3.7296607763467549E-2</c:v>
                </c:pt>
                <c:pt idx="821">
                  <c:v>3.7284129915937214E-2</c:v>
                </c:pt>
                <c:pt idx="822">
                  <c:v>3.7271652249240006E-2</c:v>
                </c:pt>
                <c:pt idx="823">
                  <c:v>3.7259174763383029E-2</c:v>
                </c:pt>
                <c:pt idx="824">
                  <c:v>3.7246697458355627E-2</c:v>
                </c:pt>
                <c:pt idx="825">
                  <c:v>3.7234220334157797E-2</c:v>
                </c:pt>
                <c:pt idx="826">
                  <c:v>3.7221743390791318E-2</c:v>
                </c:pt>
                <c:pt idx="827">
                  <c:v>3.7209266628254412E-2</c:v>
                </c:pt>
                <c:pt idx="828">
                  <c:v>3.719679004654175E-2</c:v>
                </c:pt>
                <c:pt idx="829">
                  <c:v>3.718431364564978E-2</c:v>
                </c:pt>
                <c:pt idx="830">
                  <c:v>3.7171837425580279E-2</c:v>
                </c:pt>
                <c:pt idx="831">
                  <c:v>3.715936138632614E-2</c:v>
                </c:pt>
                <c:pt idx="832">
                  <c:v>3.7146885527896245E-2</c:v>
                </c:pt>
                <c:pt idx="833">
                  <c:v>3.7134409850281713E-2</c:v>
                </c:pt>
                <c:pt idx="834">
                  <c:v>3.7121934353477215E-2</c:v>
                </c:pt>
                <c:pt idx="835">
                  <c:v>3.7109459037484527E-2</c:v>
                </c:pt>
                <c:pt idx="836">
                  <c:v>3.7096983902300096E-2</c:v>
                </c:pt>
                <c:pt idx="837">
                  <c:v>3.7084508947923922E-2</c:v>
                </c:pt>
                <c:pt idx="838">
                  <c:v>3.70720341743489E-2</c:v>
                </c:pt>
                <c:pt idx="839">
                  <c:v>3.7059559581578583E-2</c:v>
                </c:pt>
                <c:pt idx="840">
                  <c:v>3.7047085169609417E-2</c:v>
                </c:pt>
                <c:pt idx="841">
                  <c:v>3.7034610938444956E-2</c:v>
                </c:pt>
                <c:pt idx="842">
                  <c:v>3.7022136888069213E-2</c:v>
                </c:pt>
                <c:pt idx="843">
                  <c:v>3.7009663018496397E-2</c:v>
                </c:pt>
                <c:pt idx="844">
                  <c:v>3.6997189329710523E-2</c:v>
                </c:pt>
                <c:pt idx="845">
                  <c:v>3.6984715821724023E-2</c:v>
                </c:pt>
                <c:pt idx="846">
                  <c:v>3.6972242494513807E-2</c:v>
                </c:pt>
                <c:pt idx="847">
                  <c:v>3.6959769348095861E-2</c:v>
                </c:pt>
                <c:pt idx="848">
                  <c:v>3.6947296382464856E-2</c:v>
                </c:pt>
                <c:pt idx="849">
                  <c:v>3.693482359761191E-2</c:v>
                </c:pt>
                <c:pt idx="850">
                  <c:v>3.6922350993549458E-2</c:v>
                </c:pt>
                <c:pt idx="851">
                  <c:v>3.6909878570257959E-2</c:v>
                </c:pt>
                <c:pt idx="852">
                  <c:v>3.689740632774452E-2</c:v>
                </c:pt>
                <c:pt idx="853">
                  <c:v>3.6884934266007363E-2</c:v>
                </c:pt>
                <c:pt idx="854">
                  <c:v>3.6872462385044713E-2</c:v>
                </c:pt>
                <c:pt idx="855">
                  <c:v>3.6859990684847688E-2</c:v>
                </c:pt>
                <c:pt idx="856">
                  <c:v>3.6847519165421616E-2</c:v>
                </c:pt>
                <c:pt idx="857">
                  <c:v>3.6835047826766498E-2</c:v>
                </c:pt>
                <c:pt idx="858">
                  <c:v>3.6822576668868123E-2</c:v>
                </c:pt>
                <c:pt idx="859">
                  <c:v>3.6810105691738926E-2</c:v>
                </c:pt>
                <c:pt idx="860">
                  <c:v>3.6797634895370024E-2</c:v>
                </c:pt>
                <c:pt idx="861">
                  <c:v>3.6785164279754312E-2</c:v>
                </c:pt>
                <c:pt idx="862">
                  <c:v>3.6772693844906001E-2</c:v>
                </c:pt>
                <c:pt idx="863">
                  <c:v>3.6760223590803776E-2</c:v>
                </c:pt>
                <c:pt idx="864">
                  <c:v>3.6747753517452963E-2</c:v>
                </c:pt>
                <c:pt idx="865">
                  <c:v>3.6735283624858894E-2</c:v>
                </c:pt>
                <c:pt idx="866">
                  <c:v>3.672281391301091E-2</c:v>
                </c:pt>
                <c:pt idx="867">
                  <c:v>3.671034438190901E-2</c:v>
                </c:pt>
                <c:pt idx="868">
                  <c:v>3.6697875031554972E-2</c:v>
                </c:pt>
                <c:pt idx="869">
                  <c:v>3.668540586193636E-2</c:v>
                </c:pt>
                <c:pt idx="870">
                  <c:v>3.6672936873063833E-2</c:v>
                </c:pt>
                <c:pt idx="871">
                  <c:v>3.6660468064924956E-2</c:v>
                </c:pt>
                <c:pt idx="872">
                  <c:v>3.6647999437525058E-2</c:v>
                </c:pt>
                <c:pt idx="873">
                  <c:v>3.6635530990858811E-2</c:v>
                </c:pt>
                <c:pt idx="874">
                  <c:v>3.6623062724926214E-2</c:v>
                </c:pt>
                <c:pt idx="875">
                  <c:v>3.6610594639725491E-2</c:v>
                </c:pt>
                <c:pt idx="876">
                  <c:v>3.6598126735251313E-2</c:v>
                </c:pt>
                <c:pt idx="877">
                  <c:v>3.6585659011510785E-2</c:v>
                </c:pt>
                <c:pt idx="878">
                  <c:v>3.6573191468482591E-2</c:v>
                </c:pt>
                <c:pt idx="879">
                  <c:v>3.6560724106182718E-2</c:v>
                </c:pt>
                <c:pt idx="880">
                  <c:v>3.6548256924605838E-2</c:v>
                </c:pt>
                <c:pt idx="881">
                  <c:v>3.6535789923744844E-2</c:v>
                </c:pt>
                <c:pt idx="882">
                  <c:v>3.652332310359796E-2</c:v>
                </c:pt>
                <c:pt idx="883">
                  <c:v>3.6510856464166963E-2</c:v>
                </c:pt>
                <c:pt idx="884">
                  <c:v>3.6498390005450077E-2</c:v>
                </c:pt>
                <c:pt idx="885">
                  <c:v>3.6485923727441971E-2</c:v>
                </c:pt>
                <c:pt idx="886">
                  <c:v>3.6473457630140871E-2</c:v>
                </c:pt>
                <c:pt idx="887">
                  <c:v>3.6460991713550328E-2</c:v>
                </c:pt>
                <c:pt idx="888">
                  <c:v>3.6448525977659685E-2</c:v>
                </c:pt>
                <c:pt idx="889">
                  <c:v>3.6436060422468941E-2</c:v>
                </c:pt>
                <c:pt idx="890">
                  <c:v>3.6423595047988755E-2</c:v>
                </c:pt>
                <c:pt idx="891">
                  <c:v>3.6411129854196034E-2</c:v>
                </c:pt>
                <c:pt idx="892">
                  <c:v>3.6398664841106765E-2</c:v>
                </c:pt>
                <c:pt idx="893">
                  <c:v>3.6386200008704961E-2</c:v>
                </c:pt>
                <c:pt idx="894">
                  <c:v>3.637373535700128E-2</c:v>
                </c:pt>
                <c:pt idx="895">
                  <c:v>3.6361270885981511E-2</c:v>
                </c:pt>
                <c:pt idx="896">
                  <c:v>3.634880659565809E-2</c:v>
                </c:pt>
                <c:pt idx="897">
                  <c:v>3.6336342486015027E-2</c:v>
                </c:pt>
                <c:pt idx="898">
                  <c:v>3.6323878557062983E-2</c:v>
                </c:pt>
                <c:pt idx="899">
                  <c:v>3.6311414808782416E-2</c:v>
                </c:pt>
                <c:pt idx="900">
                  <c:v>3.6298951241187538E-2</c:v>
                </c:pt>
                <c:pt idx="901">
                  <c:v>3.6286487854269467E-2</c:v>
                </c:pt>
                <c:pt idx="902">
                  <c:v>3.627402464802465E-2</c:v>
                </c:pt>
                <c:pt idx="903">
                  <c:v>3.6261561622463745E-2</c:v>
                </c:pt>
                <c:pt idx="904">
                  <c:v>3.6249098777567212E-2</c:v>
                </c:pt>
                <c:pt idx="905">
                  <c:v>3.6236636113335052E-2</c:v>
                </c:pt>
                <c:pt idx="906">
                  <c:v>3.6224173629779699E-2</c:v>
                </c:pt>
                <c:pt idx="907">
                  <c:v>3.6211711326886942E-2</c:v>
                </c:pt>
                <c:pt idx="908">
                  <c:v>3.6199249204662109E-2</c:v>
                </c:pt>
                <c:pt idx="909">
                  <c:v>3.6186787263098097E-2</c:v>
                </c:pt>
                <c:pt idx="910">
                  <c:v>3.6174325502193128E-2</c:v>
                </c:pt>
                <c:pt idx="911">
                  <c:v>3.6161863921945425E-2</c:v>
                </c:pt>
                <c:pt idx="912">
                  <c:v>3.6149402522353213E-2</c:v>
                </c:pt>
                <c:pt idx="913">
                  <c:v>3.6136941303412939E-2</c:v>
                </c:pt>
                <c:pt idx="914">
                  <c:v>3.6124480265124603E-2</c:v>
                </c:pt>
                <c:pt idx="915">
                  <c:v>3.6112019407486429E-2</c:v>
                </c:pt>
                <c:pt idx="916">
                  <c:v>3.6099558730496639E-2</c:v>
                </c:pt>
                <c:pt idx="917">
                  <c:v>3.6087098234157011E-2</c:v>
                </c:pt>
                <c:pt idx="918">
                  <c:v>3.6074637918458663E-2</c:v>
                </c:pt>
                <c:pt idx="919">
                  <c:v>3.6062177783401594E-2</c:v>
                </c:pt>
                <c:pt idx="920">
                  <c:v>3.60497178289787E-2</c:v>
                </c:pt>
                <c:pt idx="921">
                  <c:v>3.6037258055198862E-2</c:v>
                </c:pt>
                <c:pt idx="922">
                  <c:v>3.6024798462056751E-2</c:v>
                </c:pt>
                <c:pt idx="923">
                  <c:v>3.6012339049541708E-2</c:v>
                </c:pt>
                <c:pt idx="924">
                  <c:v>3.5999879817664393E-2</c:v>
                </c:pt>
                <c:pt idx="925">
                  <c:v>3.5987420766415923E-2</c:v>
                </c:pt>
                <c:pt idx="926">
                  <c:v>3.5974961895794522E-2</c:v>
                </c:pt>
                <c:pt idx="927">
                  <c:v>3.596250320579486E-2</c:v>
                </c:pt>
                <c:pt idx="928">
                  <c:v>3.5950044696420491E-2</c:v>
                </c:pt>
                <c:pt idx="929">
                  <c:v>3.5937586367671415E-2</c:v>
                </c:pt>
                <c:pt idx="930">
                  <c:v>3.5925128219536973E-2</c:v>
                </c:pt>
                <c:pt idx="931">
                  <c:v>3.5912670252020717E-2</c:v>
                </c:pt>
                <c:pt idx="932">
                  <c:v>3.590021246512265E-2</c:v>
                </c:pt>
                <c:pt idx="933">
                  <c:v>3.5887754858835663E-2</c:v>
                </c:pt>
                <c:pt idx="934">
                  <c:v>3.5875297433159758E-2</c:v>
                </c:pt>
                <c:pt idx="935">
                  <c:v>3.5862840188096712E-2</c:v>
                </c:pt>
                <c:pt idx="936">
                  <c:v>3.5850383123639418E-2</c:v>
                </c:pt>
                <c:pt idx="937">
                  <c:v>3.5837926239787876E-2</c:v>
                </c:pt>
                <c:pt idx="938">
                  <c:v>3.5825469536543864E-2</c:v>
                </c:pt>
                <c:pt idx="939">
                  <c:v>3.5813013013894945E-2</c:v>
                </c:pt>
                <c:pt idx="940">
                  <c:v>3.5800556671846451E-2</c:v>
                </c:pt>
                <c:pt idx="941">
                  <c:v>3.5788100510393051E-2</c:v>
                </c:pt>
                <c:pt idx="942">
                  <c:v>3.577564452954185E-2</c:v>
                </c:pt>
                <c:pt idx="943">
                  <c:v>3.5763188729278639E-2</c:v>
                </c:pt>
                <c:pt idx="944">
                  <c:v>3.5750733109606969E-2</c:v>
                </c:pt>
                <c:pt idx="945">
                  <c:v>3.5738277670526841E-2</c:v>
                </c:pt>
                <c:pt idx="946">
                  <c:v>3.5725822412032926E-2</c:v>
                </c:pt>
                <c:pt idx="947">
                  <c:v>3.5713367334125223E-2</c:v>
                </c:pt>
                <c:pt idx="948">
                  <c:v>3.5700912436801957E-2</c:v>
                </c:pt>
                <c:pt idx="949">
                  <c:v>3.5688457720052469E-2</c:v>
                </c:pt>
                <c:pt idx="950">
                  <c:v>3.5676003183894522E-2</c:v>
                </c:pt>
                <c:pt idx="951">
                  <c:v>3.5663548828301472E-2</c:v>
                </c:pt>
                <c:pt idx="952">
                  <c:v>3.5651094653291082E-2</c:v>
                </c:pt>
                <c:pt idx="953">
                  <c:v>3.5638640658849141E-2</c:v>
                </c:pt>
                <c:pt idx="954">
                  <c:v>3.5626186844979202E-2</c:v>
                </c:pt>
                <c:pt idx="955">
                  <c:v>3.5613733211681264E-2</c:v>
                </c:pt>
                <c:pt idx="956">
                  <c:v>3.560127975895E-2</c:v>
                </c:pt>
                <c:pt idx="957">
                  <c:v>3.5588826486783631E-2</c:v>
                </c:pt>
                <c:pt idx="958">
                  <c:v>3.557637339517683E-2</c:v>
                </c:pt>
                <c:pt idx="959">
                  <c:v>3.5563920484134925E-2</c:v>
                </c:pt>
                <c:pt idx="960">
                  <c:v>3.5551467753654364E-2</c:v>
                </c:pt>
                <c:pt idx="961">
                  <c:v>3.5539015203726265E-2</c:v>
                </c:pt>
                <c:pt idx="962">
                  <c:v>3.5526562834354181E-2</c:v>
                </c:pt>
                <c:pt idx="963">
                  <c:v>3.5514110645534558E-2</c:v>
                </c:pt>
                <c:pt idx="964">
                  <c:v>3.5501658637265621E-2</c:v>
                </c:pt>
                <c:pt idx="965">
                  <c:v>3.5489206809549145E-2</c:v>
                </c:pt>
                <c:pt idx="966">
                  <c:v>3.547675516237625E-2</c:v>
                </c:pt>
                <c:pt idx="967">
                  <c:v>3.5464303695750488E-2</c:v>
                </c:pt>
                <c:pt idx="968">
                  <c:v>3.5451852409670082E-2</c:v>
                </c:pt>
                <c:pt idx="969">
                  <c:v>3.5439401304120821E-2</c:v>
                </c:pt>
                <c:pt idx="970">
                  <c:v>3.5426950379122246E-2</c:v>
                </c:pt>
                <c:pt idx="971">
                  <c:v>3.5414499634654817E-2</c:v>
                </c:pt>
                <c:pt idx="972">
                  <c:v>3.540204907071498E-2</c:v>
                </c:pt>
                <c:pt idx="973">
                  <c:v>3.53895986873205E-2</c:v>
                </c:pt>
                <c:pt idx="974">
                  <c:v>3.5377148484450061E-2</c:v>
                </c:pt>
                <c:pt idx="975">
                  <c:v>3.5364698462114319E-2</c:v>
                </c:pt>
                <c:pt idx="976">
                  <c:v>3.5352248620300841E-2</c:v>
                </c:pt>
                <c:pt idx="977">
                  <c:v>3.5339798959009627E-2</c:v>
                </c:pt>
                <c:pt idx="978">
                  <c:v>3.5327349478242454E-2</c:v>
                </c:pt>
                <c:pt idx="979">
                  <c:v>3.531490017799932E-2</c:v>
                </c:pt>
                <c:pt idx="980">
                  <c:v>3.5302451058271345E-2</c:v>
                </c:pt>
                <c:pt idx="981">
                  <c:v>3.5290002119063857E-2</c:v>
                </c:pt>
                <c:pt idx="982">
                  <c:v>3.5277553360369751E-2</c:v>
                </c:pt>
                <c:pt idx="983">
                  <c:v>3.5265104782180146E-2</c:v>
                </c:pt>
                <c:pt idx="984">
                  <c:v>3.5252656384512804E-2</c:v>
                </c:pt>
                <c:pt idx="985">
                  <c:v>3.5240208167351739E-2</c:v>
                </c:pt>
                <c:pt idx="986">
                  <c:v>3.5227760130693397E-2</c:v>
                </c:pt>
                <c:pt idx="987">
                  <c:v>3.5215312274544885E-2</c:v>
                </c:pt>
                <c:pt idx="988">
                  <c:v>3.5202864598890216E-2</c:v>
                </c:pt>
                <c:pt idx="989">
                  <c:v>3.5190417103741822E-2</c:v>
                </c:pt>
                <c:pt idx="990">
                  <c:v>3.5177969789094377E-2</c:v>
                </c:pt>
                <c:pt idx="991">
                  <c:v>3.5165522654940773E-2</c:v>
                </c:pt>
                <c:pt idx="992">
                  <c:v>3.5153075701282788E-2</c:v>
                </c:pt>
                <c:pt idx="993">
                  <c:v>3.5140628928115092E-2</c:v>
                </c:pt>
                <c:pt idx="994">
                  <c:v>3.5128182335439462E-2</c:v>
                </c:pt>
                <c:pt idx="995">
                  <c:v>3.5115735923254121E-2</c:v>
                </c:pt>
                <c:pt idx="996">
                  <c:v>3.5103289691555517E-2</c:v>
                </c:pt>
                <c:pt idx="997">
                  <c:v>3.5090843640338321E-2</c:v>
                </c:pt>
                <c:pt idx="998">
                  <c:v>3.5078397769602532E-2</c:v>
                </c:pt>
                <c:pt idx="999">
                  <c:v>3.5065952079351703E-2</c:v>
                </c:pt>
                <c:pt idx="1000">
                  <c:v>3.50535065695734E-2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3-45DE-97F3-E9553C4910C3}"/>
            </c:ext>
          </c:extLst>
        </c:ser>
        <c:ser>
          <c:idx val="1"/>
          <c:order val="1"/>
          <c:tx>
            <c:strRef>
              <c:f>Courbes!$B$138</c:f>
              <c:strCache>
                <c:ptCount val="1"/>
                <c:pt idx="0">
                  <c:v>Charge vue par un capteur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5.7</c:v>
                </c:pt>
                <c:pt idx="1">
                  <c:v>5.71</c:v>
                </c:pt>
                <c:pt idx="2">
                  <c:v>5.72</c:v>
                </c:pt>
                <c:pt idx="3">
                  <c:v>5.7299999999999995</c:v>
                </c:pt>
                <c:pt idx="4">
                  <c:v>5.7399999999999993</c:v>
                </c:pt>
                <c:pt idx="5">
                  <c:v>5.7499999999999991</c:v>
                </c:pt>
                <c:pt idx="6">
                  <c:v>5.7599999999999989</c:v>
                </c:pt>
                <c:pt idx="7">
                  <c:v>5.7699999999999987</c:v>
                </c:pt>
                <c:pt idx="8">
                  <c:v>5.7799999999999985</c:v>
                </c:pt>
                <c:pt idx="9">
                  <c:v>5.7899999999999983</c:v>
                </c:pt>
                <c:pt idx="10">
                  <c:v>5.799999999999998</c:v>
                </c:pt>
                <c:pt idx="11">
                  <c:v>5.8099999999999978</c:v>
                </c:pt>
                <c:pt idx="12">
                  <c:v>5.8199999999999976</c:v>
                </c:pt>
                <c:pt idx="13">
                  <c:v>5.8299999999999974</c:v>
                </c:pt>
                <c:pt idx="14">
                  <c:v>5.8399999999999972</c:v>
                </c:pt>
                <c:pt idx="15">
                  <c:v>5.849999999999997</c:v>
                </c:pt>
                <c:pt idx="16">
                  <c:v>5.8599999999999968</c:v>
                </c:pt>
                <c:pt idx="17">
                  <c:v>5.8699999999999966</c:v>
                </c:pt>
                <c:pt idx="18">
                  <c:v>5.8799999999999963</c:v>
                </c:pt>
                <c:pt idx="19">
                  <c:v>5.8899999999999961</c:v>
                </c:pt>
                <c:pt idx="20">
                  <c:v>5.8999999999999959</c:v>
                </c:pt>
                <c:pt idx="21">
                  <c:v>5.9099999999999957</c:v>
                </c:pt>
                <c:pt idx="22">
                  <c:v>5.9199999999999955</c:v>
                </c:pt>
                <c:pt idx="23">
                  <c:v>5.9299999999999953</c:v>
                </c:pt>
                <c:pt idx="24">
                  <c:v>5.9399999999999951</c:v>
                </c:pt>
                <c:pt idx="25">
                  <c:v>5.9499999999999948</c:v>
                </c:pt>
                <c:pt idx="26">
                  <c:v>5.9599999999999946</c:v>
                </c:pt>
                <c:pt idx="27">
                  <c:v>5.9699999999999944</c:v>
                </c:pt>
                <c:pt idx="28">
                  <c:v>5.9799999999999942</c:v>
                </c:pt>
                <c:pt idx="29">
                  <c:v>5.989999999999994</c:v>
                </c:pt>
                <c:pt idx="30">
                  <c:v>5.9999999999999938</c:v>
                </c:pt>
                <c:pt idx="31">
                  <c:v>6.0099999999999936</c:v>
                </c:pt>
                <c:pt idx="32">
                  <c:v>6.0199999999999934</c:v>
                </c:pt>
                <c:pt idx="33">
                  <c:v>6.0299999999999931</c:v>
                </c:pt>
                <c:pt idx="34">
                  <c:v>6.0399999999999929</c:v>
                </c:pt>
                <c:pt idx="35">
                  <c:v>6.0499999999999927</c:v>
                </c:pt>
                <c:pt idx="36">
                  <c:v>6.0599999999999925</c:v>
                </c:pt>
                <c:pt idx="37">
                  <c:v>6.0699999999999923</c:v>
                </c:pt>
                <c:pt idx="38">
                  <c:v>6.0799999999999921</c:v>
                </c:pt>
                <c:pt idx="39">
                  <c:v>6.0899999999999919</c:v>
                </c:pt>
                <c:pt idx="40">
                  <c:v>6.0999999999999917</c:v>
                </c:pt>
                <c:pt idx="41">
                  <c:v>6.1099999999999914</c:v>
                </c:pt>
                <c:pt idx="42">
                  <c:v>6.1199999999999912</c:v>
                </c:pt>
                <c:pt idx="43">
                  <c:v>6.129999999999991</c:v>
                </c:pt>
                <c:pt idx="44">
                  <c:v>6.1399999999999908</c:v>
                </c:pt>
                <c:pt idx="45">
                  <c:v>6.1499999999999906</c:v>
                </c:pt>
                <c:pt idx="46">
                  <c:v>6.1599999999999904</c:v>
                </c:pt>
                <c:pt idx="47">
                  <c:v>6.1699999999999902</c:v>
                </c:pt>
                <c:pt idx="48">
                  <c:v>6.1799999999999899</c:v>
                </c:pt>
                <c:pt idx="49">
                  <c:v>6.1899999999999897</c:v>
                </c:pt>
                <c:pt idx="50">
                  <c:v>6.1999999999999895</c:v>
                </c:pt>
                <c:pt idx="51">
                  <c:v>6.2099999999999893</c:v>
                </c:pt>
                <c:pt idx="52">
                  <c:v>6.2199999999999891</c:v>
                </c:pt>
                <c:pt idx="53">
                  <c:v>6.2299999999999889</c:v>
                </c:pt>
                <c:pt idx="54">
                  <c:v>6.2399999999999887</c:v>
                </c:pt>
                <c:pt idx="55">
                  <c:v>6.2499999999999885</c:v>
                </c:pt>
                <c:pt idx="56">
                  <c:v>6.2599999999999882</c:v>
                </c:pt>
                <c:pt idx="57">
                  <c:v>6.269999999999988</c:v>
                </c:pt>
                <c:pt idx="58">
                  <c:v>6.2799999999999878</c:v>
                </c:pt>
                <c:pt idx="59">
                  <c:v>6.2899999999999876</c:v>
                </c:pt>
                <c:pt idx="60">
                  <c:v>6.2999999999999874</c:v>
                </c:pt>
                <c:pt idx="61">
                  <c:v>6.3099999999999872</c:v>
                </c:pt>
                <c:pt idx="62">
                  <c:v>6.319999999999987</c:v>
                </c:pt>
                <c:pt idx="63">
                  <c:v>6.3299999999999867</c:v>
                </c:pt>
                <c:pt idx="64">
                  <c:v>6.3399999999999865</c:v>
                </c:pt>
                <c:pt idx="65">
                  <c:v>6.3499999999999863</c:v>
                </c:pt>
                <c:pt idx="66">
                  <c:v>6.3599999999999861</c:v>
                </c:pt>
                <c:pt idx="67">
                  <c:v>6.3699999999999859</c:v>
                </c:pt>
                <c:pt idx="68">
                  <c:v>6.3799999999999857</c:v>
                </c:pt>
                <c:pt idx="69">
                  <c:v>6.3899999999999855</c:v>
                </c:pt>
                <c:pt idx="70">
                  <c:v>6.3999999999999853</c:v>
                </c:pt>
                <c:pt idx="71">
                  <c:v>6.409999999999985</c:v>
                </c:pt>
                <c:pt idx="72">
                  <c:v>6.4199999999999848</c:v>
                </c:pt>
                <c:pt idx="73">
                  <c:v>6.4299999999999846</c:v>
                </c:pt>
                <c:pt idx="74">
                  <c:v>6.4399999999999844</c:v>
                </c:pt>
                <c:pt idx="75">
                  <c:v>6.4499999999999842</c:v>
                </c:pt>
                <c:pt idx="76">
                  <c:v>6.459999999999984</c:v>
                </c:pt>
                <c:pt idx="77">
                  <c:v>6.4699999999999838</c:v>
                </c:pt>
                <c:pt idx="78">
                  <c:v>6.4799999999999836</c:v>
                </c:pt>
                <c:pt idx="79">
                  <c:v>6.4899999999999833</c:v>
                </c:pt>
                <c:pt idx="80">
                  <c:v>6.4999999999999831</c:v>
                </c:pt>
                <c:pt idx="81">
                  <c:v>6.5099999999999829</c:v>
                </c:pt>
                <c:pt idx="82">
                  <c:v>6.5199999999999827</c:v>
                </c:pt>
                <c:pt idx="83">
                  <c:v>6.5299999999999825</c:v>
                </c:pt>
                <c:pt idx="84">
                  <c:v>6.5399999999999823</c:v>
                </c:pt>
                <c:pt idx="85">
                  <c:v>6.5499999999999821</c:v>
                </c:pt>
                <c:pt idx="86">
                  <c:v>6.5599999999999818</c:v>
                </c:pt>
                <c:pt idx="87">
                  <c:v>6.5699999999999816</c:v>
                </c:pt>
                <c:pt idx="88">
                  <c:v>6.5799999999999814</c:v>
                </c:pt>
                <c:pt idx="89">
                  <c:v>6.5899999999999812</c:v>
                </c:pt>
                <c:pt idx="90">
                  <c:v>6.599999999999981</c:v>
                </c:pt>
                <c:pt idx="91">
                  <c:v>6.6099999999999808</c:v>
                </c:pt>
                <c:pt idx="92">
                  <c:v>6.6199999999999806</c:v>
                </c:pt>
                <c:pt idx="93">
                  <c:v>6.6299999999999804</c:v>
                </c:pt>
                <c:pt idx="94">
                  <c:v>6.6399999999999801</c:v>
                </c:pt>
                <c:pt idx="95">
                  <c:v>6.6499999999999799</c:v>
                </c:pt>
                <c:pt idx="96">
                  <c:v>6.6599999999999797</c:v>
                </c:pt>
                <c:pt idx="97">
                  <c:v>6.6699999999999795</c:v>
                </c:pt>
                <c:pt idx="98">
                  <c:v>6.6799999999999793</c:v>
                </c:pt>
                <c:pt idx="99">
                  <c:v>6.6899999999999791</c:v>
                </c:pt>
                <c:pt idx="100">
                  <c:v>6.6999999999999789</c:v>
                </c:pt>
                <c:pt idx="101">
                  <c:v>6.7099999999999786</c:v>
                </c:pt>
                <c:pt idx="102">
                  <c:v>6.7199999999999784</c:v>
                </c:pt>
                <c:pt idx="103">
                  <c:v>6.7299999999999782</c:v>
                </c:pt>
                <c:pt idx="104">
                  <c:v>6.739999999999978</c:v>
                </c:pt>
                <c:pt idx="105">
                  <c:v>6.7499999999999778</c:v>
                </c:pt>
                <c:pt idx="106">
                  <c:v>6.7599999999999776</c:v>
                </c:pt>
                <c:pt idx="107">
                  <c:v>6.7699999999999774</c:v>
                </c:pt>
                <c:pt idx="108">
                  <c:v>6.7799999999999772</c:v>
                </c:pt>
                <c:pt idx="109">
                  <c:v>6.7899999999999769</c:v>
                </c:pt>
                <c:pt idx="110">
                  <c:v>6.7999999999999767</c:v>
                </c:pt>
                <c:pt idx="111">
                  <c:v>6.8099999999999765</c:v>
                </c:pt>
                <c:pt idx="112">
                  <c:v>6.8199999999999763</c:v>
                </c:pt>
                <c:pt idx="113">
                  <c:v>6.8299999999999761</c:v>
                </c:pt>
                <c:pt idx="114">
                  <c:v>6.8399999999999759</c:v>
                </c:pt>
                <c:pt idx="115">
                  <c:v>6.8499999999999757</c:v>
                </c:pt>
                <c:pt idx="116">
                  <c:v>6.8599999999999755</c:v>
                </c:pt>
                <c:pt idx="117">
                  <c:v>6.8699999999999752</c:v>
                </c:pt>
                <c:pt idx="118">
                  <c:v>6.879999999999975</c:v>
                </c:pt>
                <c:pt idx="119">
                  <c:v>6.8899999999999748</c:v>
                </c:pt>
                <c:pt idx="120">
                  <c:v>6.8999999999999746</c:v>
                </c:pt>
                <c:pt idx="121">
                  <c:v>6.9099999999999744</c:v>
                </c:pt>
                <c:pt idx="122">
                  <c:v>6.9199999999999742</c:v>
                </c:pt>
                <c:pt idx="123">
                  <c:v>6.929999999999974</c:v>
                </c:pt>
                <c:pt idx="124">
                  <c:v>6.9399999999999737</c:v>
                </c:pt>
                <c:pt idx="125">
                  <c:v>6.9499999999999735</c:v>
                </c:pt>
                <c:pt idx="126">
                  <c:v>6.9599999999999733</c:v>
                </c:pt>
                <c:pt idx="127">
                  <c:v>6.9699999999999731</c:v>
                </c:pt>
                <c:pt idx="128">
                  <c:v>6.9799999999999729</c:v>
                </c:pt>
                <c:pt idx="129">
                  <c:v>6.9899999999999727</c:v>
                </c:pt>
                <c:pt idx="130">
                  <c:v>6.9999999999999725</c:v>
                </c:pt>
                <c:pt idx="131">
                  <c:v>7.0099999999999723</c:v>
                </c:pt>
                <c:pt idx="132">
                  <c:v>7.019999999999972</c:v>
                </c:pt>
                <c:pt idx="133">
                  <c:v>7.0299999999999718</c:v>
                </c:pt>
                <c:pt idx="134">
                  <c:v>7.0399999999999716</c:v>
                </c:pt>
                <c:pt idx="135">
                  <c:v>7.0499999999999714</c:v>
                </c:pt>
                <c:pt idx="136">
                  <c:v>7.0599999999999712</c:v>
                </c:pt>
                <c:pt idx="137">
                  <c:v>7.069999999999971</c:v>
                </c:pt>
                <c:pt idx="138">
                  <c:v>7.0799999999999708</c:v>
                </c:pt>
                <c:pt idx="139">
                  <c:v>7.0899999999999705</c:v>
                </c:pt>
                <c:pt idx="140">
                  <c:v>7.0999999999999703</c:v>
                </c:pt>
                <c:pt idx="141">
                  <c:v>7.1099999999999701</c:v>
                </c:pt>
                <c:pt idx="142">
                  <c:v>7.1199999999999699</c:v>
                </c:pt>
                <c:pt idx="143">
                  <c:v>7.1299999999999697</c:v>
                </c:pt>
                <c:pt idx="144">
                  <c:v>7.1399999999999695</c:v>
                </c:pt>
                <c:pt idx="145">
                  <c:v>7.1499999999999693</c:v>
                </c:pt>
                <c:pt idx="146">
                  <c:v>7.1599999999999691</c:v>
                </c:pt>
                <c:pt idx="147">
                  <c:v>7.1699999999999688</c:v>
                </c:pt>
                <c:pt idx="148">
                  <c:v>7.1799999999999686</c:v>
                </c:pt>
                <c:pt idx="149">
                  <c:v>7.1899999999999684</c:v>
                </c:pt>
                <c:pt idx="150">
                  <c:v>7.1999999999999682</c:v>
                </c:pt>
                <c:pt idx="151">
                  <c:v>7.209999999999968</c:v>
                </c:pt>
                <c:pt idx="152">
                  <c:v>7.2199999999999678</c:v>
                </c:pt>
                <c:pt idx="153">
                  <c:v>7.2299999999999676</c:v>
                </c:pt>
                <c:pt idx="154">
                  <c:v>7.2399999999999674</c:v>
                </c:pt>
                <c:pt idx="155">
                  <c:v>7.2499999999999671</c:v>
                </c:pt>
                <c:pt idx="156">
                  <c:v>7.2599999999999669</c:v>
                </c:pt>
                <c:pt idx="157">
                  <c:v>7.2699999999999667</c:v>
                </c:pt>
                <c:pt idx="158">
                  <c:v>7.2799999999999665</c:v>
                </c:pt>
                <c:pt idx="159">
                  <c:v>7.2899999999999663</c:v>
                </c:pt>
                <c:pt idx="160">
                  <c:v>7.2999999999999661</c:v>
                </c:pt>
                <c:pt idx="161">
                  <c:v>7.3099999999999659</c:v>
                </c:pt>
                <c:pt idx="162">
                  <c:v>7.3199999999999656</c:v>
                </c:pt>
                <c:pt idx="163">
                  <c:v>7.3299999999999654</c:v>
                </c:pt>
                <c:pt idx="164">
                  <c:v>7.3399999999999652</c:v>
                </c:pt>
                <c:pt idx="165">
                  <c:v>7.349999999999965</c:v>
                </c:pt>
                <c:pt idx="166">
                  <c:v>7.3599999999999648</c:v>
                </c:pt>
                <c:pt idx="167">
                  <c:v>7.3699999999999646</c:v>
                </c:pt>
                <c:pt idx="168">
                  <c:v>7.3799999999999644</c:v>
                </c:pt>
                <c:pt idx="169">
                  <c:v>7.3899999999999642</c:v>
                </c:pt>
                <c:pt idx="170">
                  <c:v>7.3999999999999639</c:v>
                </c:pt>
                <c:pt idx="171">
                  <c:v>7.4099999999999637</c:v>
                </c:pt>
                <c:pt idx="172">
                  <c:v>7.4199999999999635</c:v>
                </c:pt>
                <c:pt idx="173">
                  <c:v>7.4299999999999633</c:v>
                </c:pt>
                <c:pt idx="174">
                  <c:v>7.4399999999999631</c:v>
                </c:pt>
                <c:pt idx="175">
                  <c:v>7.4499999999999629</c:v>
                </c:pt>
                <c:pt idx="176">
                  <c:v>7.4599999999999627</c:v>
                </c:pt>
                <c:pt idx="177">
                  <c:v>7.4699999999999624</c:v>
                </c:pt>
                <c:pt idx="178">
                  <c:v>7.4799999999999622</c:v>
                </c:pt>
                <c:pt idx="179">
                  <c:v>7.489999999999962</c:v>
                </c:pt>
                <c:pt idx="180">
                  <c:v>7.4999999999999618</c:v>
                </c:pt>
                <c:pt idx="181">
                  <c:v>7.5099999999999616</c:v>
                </c:pt>
                <c:pt idx="182">
                  <c:v>7.5199999999999614</c:v>
                </c:pt>
                <c:pt idx="183">
                  <c:v>7.5299999999999612</c:v>
                </c:pt>
                <c:pt idx="184">
                  <c:v>7.539999999999961</c:v>
                </c:pt>
                <c:pt idx="185">
                  <c:v>7.5499999999999607</c:v>
                </c:pt>
                <c:pt idx="186">
                  <c:v>7.5599999999999605</c:v>
                </c:pt>
                <c:pt idx="187">
                  <c:v>7.5699999999999603</c:v>
                </c:pt>
                <c:pt idx="188">
                  <c:v>7.5799999999999601</c:v>
                </c:pt>
                <c:pt idx="189">
                  <c:v>7.5899999999999599</c:v>
                </c:pt>
                <c:pt idx="190">
                  <c:v>7.5999999999999597</c:v>
                </c:pt>
                <c:pt idx="191">
                  <c:v>7.6099999999999595</c:v>
                </c:pt>
                <c:pt idx="192">
                  <c:v>7.6199999999999593</c:v>
                </c:pt>
                <c:pt idx="193">
                  <c:v>7.629999999999959</c:v>
                </c:pt>
                <c:pt idx="194">
                  <c:v>7.6399999999999588</c:v>
                </c:pt>
                <c:pt idx="195">
                  <c:v>7.6499999999999586</c:v>
                </c:pt>
                <c:pt idx="196">
                  <c:v>7.6599999999999584</c:v>
                </c:pt>
                <c:pt idx="197">
                  <c:v>7.6699999999999582</c:v>
                </c:pt>
                <c:pt idx="198">
                  <c:v>7.679999999999958</c:v>
                </c:pt>
                <c:pt idx="199">
                  <c:v>7.6899999999999578</c:v>
                </c:pt>
                <c:pt idx="200">
                  <c:v>7.6999999999999575</c:v>
                </c:pt>
                <c:pt idx="201">
                  <c:v>7.7999999999999572</c:v>
                </c:pt>
                <c:pt idx="202">
                  <c:v>7.8999999999999568</c:v>
                </c:pt>
                <c:pt idx="203">
                  <c:v>7.9999999999999565</c:v>
                </c:pt>
                <c:pt idx="204">
                  <c:v>8.099999999999957</c:v>
                </c:pt>
                <c:pt idx="205">
                  <c:v>8.1999999999999567</c:v>
                </c:pt>
                <c:pt idx="206">
                  <c:v>8.2999999999999563</c:v>
                </c:pt>
                <c:pt idx="207">
                  <c:v>8.3999999999999559</c:v>
                </c:pt>
                <c:pt idx="208">
                  <c:v>8.4999999999999556</c:v>
                </c:pt>
                <c:pt idx="209">
                  <c:v>8.5999999999999552</c:v>
                </c:pt>
                <c:pt idx="210">
                  <c:v>8.6999999999999549</c:v>
                </c:pt>
                <c:pt idx="211">
                  <c:v>8.7999999999999545</c:v>
                </c:pt>
                <c:pt idx="212">
                  <c:v>8.8999999999999542</c:v>
                </c:pt>
                <c:pt idx="213">
                  <c:v>8.9999999999999538</c:v>
                </c:pt>
                <c:pt idx="214">
                  <c:v>9.0999999999999535</c:v>
                </c:pt>
                <c:pt idx="215">
                  <c:v>9.1999999999999531</c:v>
                </c:pt>
                <c:pt idx="216">
                  <c:v>9.2999999999999527</c:v>
                </c:pt>
                <c:pt idx="217">
                  <c:v>9.3999999999999524</c:v>
                </c:pt>
                <c:pt idx="218">
                  <c:v>9.499999999999952</c:v>
                </c:pt>
                <c:pt idx="219">
                  <c:v>9.5999999999999517</c:v>
                </c:pt>
                <c:pt idx="220">
                  <c:v>9.6999999999999513</c:v>
                </c:pt>
                <c:pt idx="221">
                  <c:v>9.799999999999951</c:v>
                </c:pt>
                <c:pt idx="222">
                  <c:v>9.8999999999999506</c:v>
                </c:pt>
                <c:pt idx="223">
                  <c:v>9.9999999999999503</c:v>
                </c:pt>
                <c:pt idx="224">
                  <c:v>10.09999999999995</c:v>
                </c:pt>
                <c:pt idx="225">
                  <c:v>10.19999999999995</c:v>
                </c:pt>
                <c:pt idx="226">
                  <c:v>10.299999999999949</c:v>
                </c:pt>
                <c:pt idx="227">
                  <c:v>10.399999999999949</c:v>
                </c:pt>
                <c:pt idx="228">
                  <c:v>10.499999999999948</c:v>
                </c:pt>
                <c:pt idx="229">
                  <c:v>10.599999999999948</c:v>
                </c:pt>
                <c:pt idx="230">
                  <c:v>10.699999999999948</c:v>
                </c:pt>
                <c:pt idx="231">
                  <c:v>10.799999999999947</c:v>
                </c:pt>
                <c:pt idx="232">
                  <c:v>10.899999999999947</c:v>
                </c:pt>
                <c:pt idx="233">
                  <c:v>10.999999999999947</c:v>
                </c:pt>
                <c:pt idx="234">
                  <c:v>11.099999999999946</c:v>
                </c:pt>
                <c:pt idx="235">
                  <c:v>11.199999999999946</c:v>
                </c:pt>
                <c:pt idx="236">
                  <c:v>11.299999999999946</c:v>
                </c:pt>
                <c:pt idx="237">
                  <c:v>11.399999999999945</c:v>
                </c:pt>
                <c:pt idx="238">
                  <c:v>11.499999999999945</c:v>
                </c:pt>
                <c:pt idx="239">
                  <c:v>11.599999999999945</c:v>
                </c:pt>
                <c:pt idx="240">
                  <c:v>11.699999999999944</c:v>
                </c:pt>
                <c:pt idx="241">
                  <c:v>11.799999999999944</c:v>
                </c:pt>
                <c:pt idx="242">
                  <c:v>11.899999999999944</c:v>
                </c:pt>
                <c:pt idx="243">
                  <c:v>11.999999999999943</c:v>
                </c:pt>
                <c:pt idx="244">
                  <c:v>12.099999999999943</c:v>
                </c:pt>
                <c:pt idx="245">
                  <c:v>12.199999999999942</c:v>
                </c:pt>
                <c:pt idx="246">
                  <c:v>12.299999999999942</c:v>
                </c:pt>
                <c:pt idx="247">
                  <c:v>12.399999999999942</c:v>
                </c:pt>
                <c:pt idx="248">
                  <c:v>12.499999999999941</c:v>
                </c:pt>
                <c:pt idx="249">
                  <c:v>12.599999999999941</c:v>
                </c:pt>
                <c:pt idx="250">
                  <c:v>12.699999999999941</c:v>
                </c:pt>
                <c:pt idx="251">
                  <c:v>12.79999999999994</c:v>
                </c:pt>
                <c:pt idx="252">
                  <c:v>12.89999999999994</c:v>
                </c:pt>
                <c:pt idx="253">
                  <c:v>12.99999999999994</c:v>
                </c:pt>
                <c:pt idx="254">
                  <c:v>13.099999999999939</c:v>
                </c:pt>
                <c:pt idx="255">
                  <c:v>13.199999999999939</c:v>
                </c:pt>
                <c:pt idx="256">
                  <c:v>13.299999999999939</c:v>
                </c:pt>
                <c:pt idx="257">
                  <c:v>13.399999999999938</c:v>
                </c:pt>
                <c:pt idx="258">
                  <c:v>13.499999999999938</c:v>
                </c:pt>
                <c:pt idx="259">
                  <c:v>13.599999999999937</c:v>
                </c:pt>
                <c:pt idx="260">
                  <c:v>13.699999999999937</c:v>
                </c:pt>
                <c:pt idx="261">
                  <c:v>13.799999999999937</c:v>
                </c:pt>
                <c:pt idx="262">
                  <c:v>13.899999999999936</c:v>
                </c:pt>
                <c:pt idx="263">
                  <c:v>13.999999999999936</c:v>
                </c:pt>
                <c:pt idx="264">
                  <c:v>14.099999999999936</c:v>
                </c:pt>
                <c:pt idx="265">
                  <c:v>14.199999999999935</c:v>
                </c:pt>
                <c:pt idx="266">
                  <c:v>14.299999999999935</c:v>
                </c:pt>
                <c:pt idx="267">
                  <c:v>14.399999999999935</c:v>
                </c:pt>
                <c:pt idx="268">
                  <c:v>14.499999999999934</c:v>
                </c:pt>
                <c:pt idx="269">
                  <c:v>14.599999999999934</c:v>
                </c:pt>
                <c:pt idx="270">
                  <c:v>14.699999999999934</c:v>
                </c:pt>
                <c:pt idx="271">
                  <c:v>14.799999999999933</c:v>
                </c:pt>
                <c:pt idx="272">
                  <c:v>14.899999999999933</c:v>
                </c:pt>
                <c:pt idx="273">
                  <c:v>14.999999999999932</c:v>
                </c:pt>
                <c:pt idx="274">
                  <c:v>15.099999999999932</c:v>
                </c:pt>
                <c:pt idx="275">
                  <c:v>15.199999999999932</c:v>
                </c:pt>
                <c:pt idx="276">
                  <c:v>15.299999999999931</c:v>
                </c:pt>
                <c:pt idx="277">
                  <c:v>15.399999999999931</c:v>
                </c:pt>
                <c:pt idx="278">
                  <c:v>15.499999999999931</c:v>
                </c:pt>
                <c:pt idx="279">
                  <c:v>15.59999999999993</c:v>
                </c:pt>
                <c:pt idx="280">
                  <c:v>15.69999999999993</c:v>
                </c:pt>
                <c:pt idx="281">
                  <c:v>15.79999999999993</c:v>
                </c:pt>
                <c:pt idx="282">
                  <c:v>15.899999999999929</c:v>
                </c:pt>
                <c:pt idx="283">
                  <c:v>15.999999999999929</c:v>
                </c:pt>
                <c:pt idx="284">
                  <c:v>16.09999999999993</c:v>
                </c:pt>
                <c:pt idx="285">
                  <c:v>16.199999999999932</c:v>
                </c:pt>
                <c:pt idx="286">
                  <c:v>16.299999999999933</c:v>
                </c:pt>
                <c:pt idx="287">
                  <c:v>16.399999999999935</c:v>
                </c:pt>
                <c:pt idx="288">
                  <c:v>16.499999999999936</c:v>
                </c:pt>
                <c:pt idx="289">
                  <c:v>16.599999999999937</c:v>
                </c:pt>
                <c:pt idx="290">
                  <c:v>16.699999999999939</c:v>
                </c:pt>
                <c:pt idx="291">
                  <c:v>16.79999999999994</c:v>
                </c:pt>
                <c:pt idx="292">
                  <c:v>16.899999999999942</c:v>
                </c:pt>
                <c:pt idx="293">
                  <c:v>16.999999999999943</c:v>
                </c:pt>
                <c:pt idx="294">
                  <c:v>17.099999999999945</c:v>
                </c:pt>
                <c:pt idx="295">
                  <c:v>17.199999999999946</c:v>
                </c:pt>
                <c:pt idx="296">
                  <c:v>17.299999999999947</c:v>
                </c:pt>
                <c:pt idx="297">
                  <c:v>17.399999999999949</c:v>
                </c:pt>
                <c:pt idx="298">
                  <c:v>17.49999999999995</c:v>
                </c:pt>
                <c:pt idx="299">
                  <c:v>17.599999999999952</c:v>
                </c:pt>
                <c:pt idx="300">
                  <c:v>17.699999999999953</c:v>
                </c:pt>
                <c:pt idx="301">
                  <c:v>17.799999999999955</c:v>
                </c:pt>
                <c:pt idx="302">
                  <c:v>17.899999999999956</c:v>
                </c:pt>
                <c:pt idx="303">
                  <c:v>17.999999999999957</c:v>
                </c:pt>
                <c:pt idx="304">
                  <c:v>18.099999999999959</c:v>
                </c:pt>
                <c:pt idx="305">
                  <c:v>18.19999999999996</c:v>
                </c:pt>
                <c:pt idx="306">
                  <c:v>18.299999999999962</c:v>
                </c:pt>
                <c:pt idx="307">
                  <c:v>18.399999999999963</c:v>
                </c:pt>
                <c:pt idx="308">
                  <c:v>18.499999999999964</c:v>
                </c:pt>
                <c:pt idx="309">
                  <c:v>18.599999999999966</c:v>
                </c:pt>
                <c:pt idx="310">
                  <c:v>18.699999999999967</c:v>
                </c:pt>
                <c:pt idx="311">
                  <c:v>18.799999999999969</c:v>
                </c:pt>
                <c:pt idx="312">
                  <c:v>18.89999999999997</c:v>
                </c:pt>
                <c:pt idx="313">
                  <c:v>18.999999999999972</c:v>
                </c:pt>
                <c:pt idx="314">
                  <c:v>19.099999999999973</c:v>
                </c:pt>
                <c:pt idx="315">
                  <c:v>19.199999999999974</c:v>
                </c:pt>
                <c:pt idx="316">
                  <c:v>19.299999999999976</c:v>
                </c:pt>
                <c:pt idx="317">
                  <c:v>19.399999999999977</c:v>
                </c:pt>
                <c:pt idx="318">
                  <c:v>19.499999999999979</c:v>
                </c:pt>
                <c:pt idx="319">
                  <c:v>19.59999999999998</c:v>
                </c:pt>
                <c:pt idx="320">
                  <c:v>19.699999999999982</c:v>
                </c:pt>
                <c:pt idx="321">
                  <c:v>19.799999999999983</c:v>
                </c:pt>
                <c:pt idx="322">
                  <c:v>19.899999999999984</c:v>
                </c:pt>
                <c:pt idx="323">
                  <c:v>19.999999999999986</c:v>
                </c:pt>
                <c:pt idx="324">
                  <c:v>20.099999999999987</c:v>
                </c:pt>
                <c:pt idx="325">
                  <c:v>20.199999999999989</c:v>
                </c:pt>
                <c:pt idx="326">
                  <c:v>20.29999999999999</c:v>
                </c:pt>
                <c:pt idx="327">
                  <c:v>20.399999999999991</c:v>
                </c:pt>
                <c:pt idx="328">
                  <c:v>20.499999999999993</c:v>
                </c:pt>
                <c:pt idx="329">
                  <c:v>20.599999999999994</c:v>
                </c:pt>
                <c:pt idx="330">
                  <c:v>20.699999999999996</c:v>
                </c:pt>
                <c:pt idx="331">
                  <c:v>20.799999999999997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21.200000000000003</c:v>
                </c:pt>
                <c:pt idx="336">
                  <c:v>21.300000000000004</c:v>
                </c:pt>
                <c:pt idx="337">
                  <c:v>21.400000000000006</c:v>
                </c:pt>
                <c:pt idx="338">
                  <c:v>21.500000000000007</c:v>
                </c:pt>
                <c:pt idx="339">
                  <c:v>21.600000000000009</c:v>
                </c:pt>
                <c:pt idx="340">
                  <c:v>21.70000000000001</c:v>
                </c:pt>
                <c:pt idx="341">
                  <c:v>21.800000000000011</c:v>
                </c:pt>
                <c:pt idx="342">
                  <c:v>21.900000000000013</c:v>
                </c:pt>
                <c:pt idx="343">
                  <c:v>22.000000000000014</c:v>
                </c:pt>
                <c:pt idx="344">
                  <c:v>22.100000000000016</c:v>
                </c:pt>
                <c:pt idx="345">
                  <c:v>22.200000000000017</c:v>
                </c:pt>
                <c:pt idx="346">
                  <c:v>22.300000000000018</c:v>
                </c:pt>
                <c:pt idx="347">
                  <c:v>22.40000000000002</c:v>
                </c:pt>
                <c:pt idx="348">
                  <c:v>22.500000000000021</c:v>
                </c:pt>
                <c:pt idx="349">
                  <c:v>22.600000000000023</c:v>
                </c:pt>
                <c:pt idx="350">
                  <c:v>22.700000000000024</c:v>
                </c:pt>
                <c:pt idx="351">
                  <c:v>22.800000000000026</c:v>
                </c:pt>
                <c:pt idx="352">
                  <c:v>22.900000000000027</c:v>
                </c:pt>
                <c:pt idx="353">
                  <c:v>23.000000000000028</c:v>
                </c:pt>
                <c:pt idx="354">
                  <c:v>23.10000000000003</c:v>
                </c:pt>
                <c:pt idx="355">
                  <c:v>23.200000000000031</c:v>
                </c:pt>
                <c:pt idx="356">
                  <c:v>23.300000000000033</c:v>
                </c:pt>
                <c:pt idx="357">
                  <c:v>23.400000000000034</c:v>
                </c:pt>
                <c:pt idx="358">
                  <c:v>23.500000000000036</c:v>
                </c:pt>
                <c:pt idx="359">
                  <c:v>23.600000000000037</c:v>
                </c:pt>
                <c:pt idx="360">
                  <c:v>23.700000000000038</c:v>
                </c:pt>
                <c:pt idx="361">
                  <c:v>23.80000000000004</c:v>
                </c:pt>
                <c:pt idx="362">
                  <c:v>23.900000000000041</c:v>
                </c:pt>
                <c:pt idx="363">
                  <c:v>24.000000000000043</c:v>
                </c:pt>
                <c:pt idx="364">
                  <c:v>24.100000000000044</c:v>
                </c:pt>
                <c:pt idx="365">
                  <c:v>24.200000000000045</c:v>
                </c:pt>
                <c:pt idx="366">
                  <c:v>24.300000000000047</c:v>
                </c:pt>
                <c:pt idx="367">
                  <c:v>24.400000000000048</c:v>
                </c:pt>
                <c:pt idx="368">
                  <c:v>24.50000000000005</c:v>
                </c:pt>
                <c:pt idx="369">
                  <c:v>24.600000000000051</c:v>
                </c:pt>
                <c:pt idx="370">
                  <c:v>24.700000000000053</c:v>
                </c:pt>
                <c:pt idx="371">
                  <c:v>24.800000000000054</c:v>
                </c:pt>
                <c:pt idx="372">
                  <c:v>24.900000000000055</c:v>
                </c:pt>
                <c:pt idx="373">
                  <c:v>25.000000000000057</c:v>
                </c:pt>
                <c:pt idx="374">
                  <c:v>25.100000000000058</c:v>
                </c:pt>
                <c:pt idx="375">
                  <c:v>25.20000000000006</c:v>
                </c:pt>
                <c:pt idx="376">
                  <c:v>25.300000000000061</c:v>
                </c:pt>
                <c:pt idx="377">
                  <c:v>25.400000000000063</c:v>
                </c:pt>
                <c:pt idx="378">
                  <c:v>25.500000000000064</c:v>
                </c:pt>
                <c:pt idx="379">
                  <c:v>25.600000000000065</c:v>
                </c:pt>
                <c:pt idx="380">
                  <c:v>25.700000000000067</c:v>
                </c:pt>
                <c:pt idx="381">
                  <c:v>25.800000000000068</c:v>
                </c:pt>
                <c:pt idx="382">
                  <c:v>25.90000000000007</c:v>
                </c:pt>
                <c:pt idx="383">
                  <c:v>26.000000000000071</c:v>
                </c:pt>
                <c:pt idx="384">
                  <c:v>26.100000000000072</c:v>
                </c:pt>
                <c:pt idx="385">
                  <c:v>26.200000000000074</c:v>
                </c:pt>
                <c:pt idx="386">
                  <c:v>26.300000000000075</c:v>
                </c:pt>
                <c:pt idx="387">
                  <c:v>26.400000000000077</c:v>
                </c:pt>
                <c:pt idx="388">
                  <c:v>26.500000000000078</c:v>
                </c:pt>
                <c:pt idx="389">
                  <c:v>26.60000000000008</c:v>
                </c:pt>
                <c:pt idx="390">
                  <c:v>26.700000000000081</c:v>
                </c:pt>
                <c:pt idx="391">
                  <c:v>26.800000000000082</c:v>
                </c:pt>
                <c:pt idx="392">
                  <c:v>26.900000000000084</c:v>
                </c:pt>
                <c:pt idx="393">
                  <c:v>27.000000000000085</c:v>
                </c:pt>
                <c:pt idx="394">
                  <c:v>27.100000000000087</c:v>
                </c:pt>
                <c:pt idx="395">
                  <c:v>27.200000000000088</c:v>
                </c:pt>
                <c:pt idx="396">
                  <c:v>27.30000000000009</c:v>
                </c:pt>
                <c:pt idx="397">
                  <c:v>27.400000000000091</c:v>
                </c:pt>
                <c:pt idx="398">
                  <c:v>27.500000000000092</c:v>
                </c:pt>
                <c:pt idx="399">
                  <c:v>27.600000000000094</c:v>
                </c:pt>
                <c:pt idx="400">
                  <c:v>27.700000000000095</c:v>
                </c:pt>
                <c:pt idx="401">
                  <c:v>27.800000000000097</c:v>
                </c:pt>
                <c:pt idx="402">
                  <c:v>27.900000000000098</c:v>
                </c:pt>
                <c:pt idx="403">
                  <c:v>28.000000000000099</c:v>
                </c:pt>
                <c:pt idx="404">
                  <c:v>28.100000000000101</c:v>
                </c:pt>
                <c:pt idx="405">
                  <c:v>28.200000000000102</c:v>
                </c:pt>
                <c:pt idx="406">
                  <c:v>28.300000000000104</c:v>
                </c:pt>
                <c:pt idx="407">
                  <c:v>28.400000000000105</c:v>
                </c:pt>
                <c:pt idx="408">
                  <c:v>28.500000000000107</c:v>
                </c:pt>
                <c:pt idx="409">
                  <c:v>28.600000000000108</c:v>
                </c:pt>
                <c:pt idx="410">
                  <c:v>28.700000000000109</c:v>
                </c:pt>
                <c:pt idx="411">
                  <c:v>28.800000000000111</c:v>
                </c:pt>
                <c:pt idx="412">
                  <c:v>28.900000000000112</c:v>
                </c:pt>
                <c:pt idx="413">
                  <c:v>29.000000000000114</c:v>
                </c:pt>
                <c:pt idx="414">
                  <c:v>29.100000000000115</c:v>
                </c:pt>
                <c:pt idx="415">
                  <c:v>29.200000000000117</c:v>
                </c:pt>
                <c:pt idx="416">
                  <c:v>29.300000000000118</c:v>
                </c:pt>
                <c:pt idx="417">
                  <c:v>29.400000000000119</c:v>
                </c:pt>
                <c:pt idx="418">
                  <c:v>29.500000000000121</c:v>
                </c:pt>
                <c:pt idx="419">
                  <c:v>29.600000000000122</c:v>
                </c:pt>
                <c:pt idx="420">
                  <c:v>29.700000000000124</c:v>
                </c:pt>
                <c:pt idx="421">
                  <c:v>29.800000000000125</c:v>
                </c:pt>
                <c:pt idx="422">
                  <c:v>29.900000000000126</c:v>
                </c:pt>
                <c:pt idx="423">
                  <c:v>30.000000000000128</c:v>
                </c:pt>
                <c:pt idx="424">
                  <c:v>30.100000000000129</c:v>
                </c:pt>
                <c:pt idx="425">
                  <c:v>30.200000000000131</c:v>
                </c:pt>
                <c:pt idx="426">
                  <c:v>30.300000000000132</c:v>
                </c:pt>
                <c:pt idx="427">
                  <c:v>30.400000000000134</c:v>
                </c:pt>
                <c:pt idx="428">
                  <c:v>30.500000000000135</c:v>
                </c:pt>
                <c:pt idx="429">
                  <c:v>30.600000000000136</c:v>
                </c:pt>
                <c:pt idx="430">
                  <c:v>30.700000000000138</c:v>
                </c:pt>
                <c:pt idx="431">
                  <c:v>30.800000000000139</c:v>
                </c:pt>
                <c:pt idx="432">
                  <c:v>30.900000000000141</c:v>
                </c:pt>
                <c:pt idx="433">
                  <c:v>31.000000000000142</c:v>
                </c:pt>
                <c:pt idx="434">
                  <c:v>31.100000000000144</c:v>
                </c:pt>
                <c:pt idx="435">
                  <c:v>31.200000000000145</c:v>
                </c:pt>
                <c:pt idx="436">
                  <c:v>31.300000000000146</c:v>
                </c:pt>
                <c:pt idx="437">
                  <c:v>31.400000000000148</c:v>
                </c:pt>
                <c:pt idx="438">
                  <c:v>31.500000000000149</c:v>
                </c:pt>
                <c:pt idx="439">
                  <c:v>31.600000000000151</c:v>
                </c:pt>
                <c:pt idx="440">
                  <c:v>31.700000000000152</c:v>
                </c:pt>
                <c:pt idx="441">
                  <c:v>31.800000000000153</c:v>
                </c:pt>
                <c:pt idx="442">
                  <c:v>31.900000000000155</c:v>
                </c:pt>
                <c:pt idx="443">
                  <c:v>32.000000000000156</c:v>
                </c:pt>
                <c:pt idx="444">
                  <c:v>32.100000000000158</c:v>
                </c:pt>
                <c:pt idx="445">
                  <c:v>32.200000000000159</c:v>
                </c:pt>
                <c:pt idx="446">
                  <c:v>32.300000000000161</c:v>
                </c:pt>
                <c:pt idx="447">
                  <c:v>32.400000000000162</c:v>
                </c:pt>
                <c:pt idx="448">
                  <c:v>32.500000000000163</c:v>
                </c:pt>
                <c:pt idx="449">
                  <c:v>32.600000000000165</c:v>
                </c:pt>
                <c:pt idx="450">
                  <c:v>32.700000000000166</c:v>
                </c:pt>
                <c:pt idx="451">
                  <c:v>32.800000000000168</c:v>
                </c:pt>
                <c:pt idx="452">
                  <c:v>32.900000000000169</c:v>
                </c:pt>
                <c:pt idx="453">
                  <c:v>33.000000000000171</c:v>
                </c:pt>
                <c:pt idx="454">
                  <c:v>33.100000000000172</c:v>
                </c:pt>
                <c:pt idx="455">
                  <c:v>33.200000000000173</c:v>
                </c:pt>
                <c:pt idx="456">
                  <c:v>33.300000000000175</c:v>
                </c:pt>
                <c:pt idx="457">
                  <c:v>33.400000000000176</c:v>
                </c:pt>
                <c:pt idx="458">
                  <c:v>33.500000000000178</c:v>
                </c:pt>
                <c:pt idx="459">
                  <c:v>33.600000000000179</c:v>
                </c:pt>
                <c:pt idx="460">
                  <c:v>33.70000000000018</c:v>
                </c:pt>
                <c:pt idx="461">
                  <c:v>33.800000000000182</c:v>
                </c:pt>
                <c:pt idx="462">
                  <c:v>33.900000000000183</c:v>
                </c:pt>
                <c:pt idx="463">
                  <c:v>34.000000000000185</c:v>
                </c:pt>
                <c:pt idx="464">
                  <c:v>34.100000000000186</c:v>
                </c:pt>
                <c:pt idx="465">
                  <c:v>34.200000000000188</c:v>
                </c:pt>
                <c:pt idx="466">
                  <c:v>34.300000000000189</c:v>
                </c:pt>
                <c:pt idx="467">
                  <c:v>34.40000000000019</c:v>
                </c:pt>
                <c:pt idx="468">
                  <c:v>34.500000000000192</c:v>
                </c:pt>
                <c:pt idx="469">
                  <c:v>34.600000000000193</c:v>
                </c:pt>
                <c:pt idx="470">
                  <c:v>34.700000000000195</c:v>
                </c:pt>
                <c:pt idx="471">
                  <c:v>34.800000000000196</c:v>
                </c:pt>
                <c:pt idx="472">
                  <c:v>34.900000000000198</c:v>
                </c:pt>
                <c:pt idx="473">
                  <c:v>35.000000000000199</c:v>
                </c:pt>
                <c:pt idx="474">
                  <c:v>35.1000000000002</c:v>
                </c:pt>
                <c:pt idx="475">
                  <c:v>35.200000000000202</c:v>
                </c:pt>
                <c:pt idx="476">
                  <c:v>35.300000000000203</c:v>
                </c:pt>
                <c:pt idx="477">
                  <c:v>35.400000000000205</c:v>
                </c:pt>
                <c:pt idx="478">
                  <c:v>35.500000000000206</c:v>
                </c:pt>
                <c:pt idx="479">
                  <c:v>35.600000000000207</c:v>
                </c:pt>
                <c:pt idx="480">
                  <c:v>35.700000000000209</c:v>
                </c:pt>
                <c:pt idx="481">
                  <c:v>35.80000000000021</c:v>
                </c:pt>
                <c:pt idx="482">
                  <c:v>35.900000000000212</c:v>
                </c:pt>
                <c:pt idx="483">
                  <c:v>36.000000000000213</c:v>
                </c:pt>
                <c:pt idx="484">
                  <c:v>36.100000000000215</c:v>
                </c:pt>
                <c:pt idx="485">
                  <c:v>36.200000000000216</c:v>
                </c:pt>
                <c:pt idx="486">
                  <c:v>36.300000000000217</c:v>
                </c:pt>
                <c:pt idx="487">
                  <c:v>36.400000000000219</c:v>
                </c:pt>
                <c:pt idx="488">
                  <c:v>36.50000000000022</c:v>
                </c:pt>
                <c:pt idx="489">
                  <c:v>36.600000000000222</c:v>
                </c:pt>
                <c:pt idx="490">
                  <c:v>36.700000000000223</c:v>
                </c:pt>
                <c:pt idx="491">
                  <c:v>36.800000000000225</c:v>
                </c:pt>
                <c:pt idx="492">
                  <c:v>36.900000000000226</c:v>
                </c:pt>
                <c:pt idx="493">
                  <c:v>37.000000000000227</c:v>
                </c:pt>
                <c:pt idx="494">
                  <c:v>37.100000000000229</c:v>
                </c:pt>
                <c:pt idx="495">
                  <c:v>37.20000000000023</c:v>
                </c:pt>
                <c:pt idx="496">
                  <c:v>37.300000000000232</c:v>
                </c:pt>
                <c:pt idx="497">
                  <c:v>37.400000000000233</c:v>
                </c:pt>
                <c:pt idx="498">
                  <c:v>37.500000000000234</c:v>
                </c:pt>
                <c:pt idx="499">
                  <c:v>37.600000000000236</c:v>
                </c:pt>
                <c:pt idx="500">
                  <c:v>37.700000000000237</c:v>
                </c:pt>
                <c:pt idx="501">
                  <c:v>37.800000000000239</c:v>
                </c:pt>
                <c:pt idx="502">
                  <c:v>37.90000000000024</c:v>
                </c:pt>
                <c:pt idx="503">
                  <c:v>38.000000000000242</c:v>
                </c:pt>
                <c:pt idx="504">
                  <c:v>38.100000000000243</c:v>
                </c:pt>
                <c:pt idx="505">
                  <c:v>38.200000000000244</c:v>
                </c:pt>
                <c:pt idx="506">
                  <c:v>38.300000000000246</c:v>
                </c:pt>
                <c:pt idx="507">
                  <c:v>38.400000000000247</c:v>
                </c:pt>
                <c:pt idx="508">
                  <c:v>38.500000000000249</c:v>
                </c:pt>
                <c:pt idx="509">
                  <c:v>38.60000000000025</c:v>
                </c:pt>
                <c:pt idx="510">
                  <c:v>38.700000000000252</c:v>
                </c:pt>
                <c:pt idx="511">
                  <c:v>38.800000000000253</c:v>
                </c:pt>
                <c:pt idx="512">
                  <c:v>38.900000000000254</c:v>
                </c:pt>
                <c:pt idx="513">
                  <c:v>39.000000000000256</c:v>
                </c:pt>
                <c:pt idx="514">
                  <c:v>39.100000000000257</c:v>
                </c:pt>
                <c:pt idx="515">
                  <c:v>39.200000000000259</c:v>
                </c:pt>
                <c:pt idx="516">
                  <c:v>39.30000000000026</c:v>
                </c:pt>
                <c:pt idx="517">
                  <c:v>39.400000000000261</c:v>
                </c:pt>
                <c:pt idx="518">
                  <c:v>39.500000000000263</c:v>
                </c:pt>
                <c:pt idx="519">
                  <c:v>39.600000000000264</c:v>
                </c:pt>
                <c:pt idx="520">
                  <c:v>39.700000000000266</c:v>
                </c:pt>
                <c:pt idx="521">
                  <c:v>39.800000000000267</c:v>
                </c:pt>
                <c:pt idx="522">
                  <c:v>39.900000000000269</c:v>
                </c:pt>
                <c:pt idx="523">
                  <c:v>40.00000000000027</c:v>
                </c:pt>
                <c:pt idx="524">
                  <c:v>40.100000000000271</c:v>
                </c:pt>
                <c:pt idx="525">
                  <c:v>40.200000000000273</c:v>
                </c:pt>
                <c:pt idx="526">
                  <c:v>40.300000000000274</c:v>
                </c:pt>
                <c:pt idx="527">
                  <c:v>40.400000000000276</c:v>
                </c:pt>
                <c:pt idx="528">
                  <c:v>40.500000000000277</c:v>
                </c:pt>
                <c:pt idx="529">
                  <c:v>40.600000000000279</c:v>
                </c:pt>
                <c:pt idx="530">
                  <c:v>40.70000000000028</c:v>
                </c:pt>
                <c:pt idx="531">
                  <c:v>40.800000000000281</c:v>
                </c:pt>
                <c:pt idx="532">
                  <c:v>40.900000000000283</c:v>
                </c:pt>
                <c:pt idx="533">
                  <c:v>41.000000000000284</c:v>
                </c:pt>
                <c:pt idx="534">
                  <c:v>41.100000000000286</c:v>
                </c:pt>
                <c:pt idx="535">
                  <c:v>41.200000000000287</c:v>
                </c:pt>
                <c:pt idx="536">
                  <c:v>41.300000000000288</c:v>
                </c:pt>
                <c:pt idx="537">
                  <c:v>41.40000000000029</c:v>
                </c:pt>
                <c:pt idx="538">
                  <c:v>41.500000000000291</c:v>
                </c:pt>
                <c:pt idx="539">
                  <c:v>41.600000000000293</c:v>
                </c:pt>
                <c:pt idx="540">
                  <c:v>41.700000000000294</c:v>
                </c:pt>
                <c:pt idx="541">
                  <c:v>41.800000000000296</c:v>
                </c:pt>
                <c:pt idx="542">
                  <c:v>41.900000000000297</c:v>
                </c:pt>
                <c:pt idx="543">
                  <c:v>42.000000000000298</c:v>
                </c:pt>
                <c:pt idx="544">
                  <c:v>42.1000000000003</c:v>
                </c:pt>
                <c:pt idx="545">
                  <c:v>42.200000000000301</c:v>
                </c:pt>
                <c:pt idx="546">
                  <c:v>42.300000000000303</c:v>
                </c:pt>
                <c:pt idx="547">
                  <c:v>42.400000000000304</c:v>
                </c:pt>
                <c:pt idx="548">
                  <c:v>42.500000000000306</c:v>
                </c:pt>
                <c:pt idx="549">
                  <c:v>42.600000000000307</c:v>
                </c:pt>
                <c:pt idx="550">
                  <c:v>42.700000000000308</c:v>
                </c:pt>
                <c:pt idx="551">
                  <c:v>42.80000000000031</c:v>
                </c:pt>
                <c:pt idx="552">
                  <c:v>42.900000000000311</c:v>
                </c:pt>
                <c:pt idx="553">
                  <c:v>43.000000000000313</c:v>
                </c:pt>
                <c:pt idx="554">
                  <c:v>43.100000000000314</c:v>
                </c:pt>
                <c:pt idx="555">
                  <c:v>43.200000000000315</c:v>
                </c:pt>
                <c:pt idx="556">
                  <c:v>43.300000000000317</c:v>
                </c:pt>
                <c:pt idx="557">
                  <c:v>43.400000000000318</c:v>
                </c:pt>
                <c:pt idx="558">
                  <c:v>43.50000000000032</c:v>
                </c:pt>
                <c:pt idx="559">
                  <c:v>43.600000000000321</c:v>
                </c:pt>
                <c:pt idx="560">
                  <c:v>43.700000000000323</c:v>
                </c:pt>
                <c:pt idx="561">
                  <c:v>43.800000000000324</c:v>
                </c:pt>
                <c:pt idx="562">
                  <c:v>43.900000000000325</c:v>
                </c:pt>
                <c:pt idx="563">
                  <c:v>44.000000000000327</c:v>
                </c:pt>
                <c:pt idx="564">
                  <c:v>44.100000000000328</c:v>
                </c:pt>
                <c:pt idx="565">
                  <c:v>44.20000000000033</c:v>
                </c:pt>
                <c:pt idx="566">
                  <c:v>44.300000000000331</c:v>
                </c:pt>
                <c:pt idx="567">
                  <c:v>44.400000000000333</c:v>
                </c:pt>
                <c:pt idx="568">
                  <c:v>44.500000000000334</c:v>
                </c:pt>
                <c:pt idx="569">
                  <c:v>44.600000000000335</c:v>
                </c:pt>
                <c:pt idx="570">
                  <c:v>44.700000000000337</c:v>
                </c:pt>
                <c:pt idx="571">
                  <c:v>44.800000000000338</c:v>
                </c:pt>
                <c:pt idx="572">
                  <c:v>44.90000000000034</c:v>
                </c:pt>
                <c:pt idx="573">
                  <c:v>45.000000000000341</c:v>
                </c:pt>
                <c:pt idx="574">
                  <c:v>45.100000000000342</c:v>
                </c:pt>
                <c:pt idx="575">
                  <c:v>45.200000000000344</c:v>
                </c:pt>
                <c:pt idx="576">
                  <c:v>45.300000000000345</c:v>
                </c:pt>
                <c:pt idx="577">
                  <c:v>45.400000000000347</c:v>
                </c:pt>
                <c:pt idx="578">
                  <c:v>45.500000000000348</c:v>
                </c:pt>
                <c:pt idx="579">
                  <c:v>45.60000000000035</c:v>
                </c:pt>
                <c:pt idx="580">
                  <c:v>45.700000000000351</c:v>
                </c:pt>
                <c:pt idx="581">
                  <c:v>45.800000000000352</c:v>
                </c:pt>
                <c:pt idx="582">
                  <c:v>45.900000000000354</c:v>
                </c:pt>
                <c:pt idx="583">
                  <c:v>46.000000000000355</c:v>
                </c:pt>
                <c:pt idx="584">
                  <c:v>46.100000000000357</c:v>
                </c:pt>
                <c:pt idx="585">
                  <c:v>46.200000000000358</c:v>
                </c:pt>
                <c:pt idx="586">
                  <c:v>46.30000000000036</c:v>
                </c:pt>
                <c:pt idx="587">
                  <c:v>46.400000000000361</c:v>
                </c:pt>
                <c:pt idx="588">
                  <c:v>46.500000000000362</c:v>
                </c:pt>
                <c:pt idx="589">
                  <c:v>46.600000000000364</c:v>
                </c:pt>
                <c:pt idx="590">
                  <c:v>46.700000000000365</c:v>
                </c:pt>
                <c:pt idx="591">
                  <c:v>46.800000000000367</c:v>
                </c:pt>
                <c:pt idx="592">
                  <c:v>46.900000000000368</c:v>
                </c:pt>
                <c:pt idx="593">
                  <c:v>47.000000000000369</c:v>
                </c:pt>
                <c:pt idx="594">
                  <c:v>47.100000000000371</c:v>
                </c:pt>
                <c:pt idx="595">
                  <c:v>47.100100000000374</c:v>
                </c:pt>
                <c:pt idx="596">
                  <c:v>47.100200000000378</c:v>
                </c:pt>
                <c:pt idx="597">
                  <c:v>47.100300000000381</c:v>
                </c:pt>
                <c:pt idx="598">
                  <c:v>47.100400000000384</c:v>
                </c:pt>
                <c:pt idx="599">
                  <c:v>47.100500000000388</c:v>
                </c:pt>
                <c:pt idx="600">
                  <c:v>47.100600000000391</c:v>
                </c:pt>
                <c:pt idx="601">
                  <c:v>47.100700000000394</c:v>
                </c:pt>
                <c:pt idx="602">
                  <c:v>47.100800000000397</c:v>
                </c:pt>
                <c:pt idx="603">
                  <c:v>47.100900000000401</c:v>
                </c:pt>
                <c:pt idx="604">
                  <c:v>47.101000000000404</c:v>
                </c:pt>
                <c:pt idx="605">
                  <c:v>47.101100000000407</c:v>
                </c:pt>
                <c:pt idx="606">
                  <c:v>47.101200000000411</c:v>
                </c:pt>
                <c:pt idx="607">
                  <c:v>47.101300000000414</c:v>
                </c:pt>
                <c:pt idx="608">
                  <c:v>47.101400000000417</c:v>
                </c:pt>
                <c:pt idx="609">
                  <c:v>47.101500000000421</c:v>
                </c:pt>
                <c:pt idx="610">
                  <c:v>47.101600000000424</c:v>
                </c:pt>
                <c:pt idx="611">
                  <c:v>47.101700000000427</c:v>
                </c:pt>
                <c:pt idx="612">
                  <c:v>47.101800000000431</c:v>
                </c:pt>
                <c:pt idx="613">
                  <c:v>47.101900000000434</c:v>
                </c:pt>
                <c:pt idx="614">
                  <c:v>47.102000000000437</c:v>
                </c:pt>
                <c:pt idx="615">
                  <c:v>47.102100000000441</c:v>
                </c:pt>
                <c:pt idx="616">
                  <c:v>47.102200000000444</c:v>
                </c:pt>
                <c:pt idx="617">
                  <c:v>47.102300000000447</c:v>
                </c:pt>
                <c:pt idx="618">
                  <c:v>47.102400000000451</c:v>
                </c:pt>
                <c:pt idx="619">
                  <c:v>47.102500000000454</c:v>
                </c:pt>
                <c:pt idx="620">
                  <c:v>47.102600000000457</c:v>
                </c:pt>
                <c:pt idx="621">
                  <c:v>47.102700000000461</c:v>
                </c:pt>
                <c:pt idx="622">
                  <c:v>47.102800000000464</c:v>
                </c:pt>
                <c:pt idx="623">
                  <c:v>47.102900000000467</c:v>
                </c:pt>
                <c:pt idx="624">
                  <c:v>47.10300000000047</c:v>
                </c:pt>
                <c:pt idx="625">
                  <c:v>47.103100000000474</c:v>
                </c:pt>
                <c:pt idx="626">
                  <c:v>47.103200000000477</c:v>
                </c:pt>
                <c:pt idx="627">
                  <c:v>47.10330000000048</c:v>
                </c:pt>
                <c:pt idx="628">
                  <c:v>47.103400000000484</c:v>
                </c:pt>
                <c:pt idx="629">
                  <c:v>47.103500000000487</c:v>
                </c:pt>
                <c:pt idx="630">
                  <c:v>47.10360000000049</c:v>
                </c:pt>
                <c:pt idx="631">
                  <c:v>47.103700000000494</c:v>
                </c:pt>
                <c:pt idx="632">
                  <c:v>47.103800000000497</c:v>
                </c:pt>
                <c:pt idx="633">
                  <c:v>47.1039000000005</c:v>
                </c:pt>
                <c:pt idx="634">
                  <c:v>47.104000000000504</c:v>
                </c:pt>
                <c:pt idx="635">
                  <c:v>47.104100000000507</c:v>
                </c:pt>
                <c:pt idx="636">
                  <c:v>47.10420000000051</c:v>
                </c:pt>
                <c:pt idx="637">
                  <c:v>47.104300000000514</c:v>
                </c:pt>
                <c:pt idx="638">
                  <c:v>47.104400000000517</c:v>
                </c:pt>
                <c:pt idx="639">
                  <c:v>47.10450000000052</c:v>
                </c:pt>
                <c:pt idx="640">
                  <c:v>47.104600000000524</c:v>
                </c:pt>
                <c:pt idx="641">
                  <c:v>47.104700000000527</c:v>
                </c:pt>
                <c:pt idx="642">
                  <c:v>47.10480000000053</c:v>
                </c:pt>
                <c:pt idx="643">
                  <c:v>47.104900000000534</c:v>
                </c:pt>
                <c:pt idx="644">
                  <c:v>47.105000000000537</c:v>
                </c:pt>
                <c:pt idx="645">
                  <c:v>47.10510000000054</c:v>
                </c:pt>
                <c:pt idx="646">
                  <c:v>47.105200000000544</c:v>
                </c:pt>
                <c:pt idx="647">
                  <c:v>47.105300000000547</c:v>
                </c:pt>
                <c:pt idx="648">
                  <c:v>47.10540000000055</c:v>
                </c:pt>
                <c:pt idx="649">
                  <c:v>47.105500000000553</c:v>
                </c:pt>
                <c:pt idx="650">
                  <c:v>47.105600000000557</c:v>
                </c:pt>
                <c:pt idx="651">
                  <c:v>47.10570000000056</c:v>
                </c:pt>
                <c:pt idx="652">
                  <c:v>47.105800000000563</c:v>
                </c:pt>
                <c:pt idx="653">
                  <c:v>47.105900000000567</c:v>
                </c:pt>
                <c:pt idx="654">
                  <c:v>47.10600000000057</c:v>
                </c:pt>
                <c:pt idx="655">
                  <c:v>47.106100000000573</c:v>
                </c:pt>
                <c:pt idx="656">
                  <c:v>47.106200000000577</c:v>
                </c:pt>
                <c:pt idx="657">
                  <c:v>47.10630000000058</c:v>
                </c:pt>
                <c:pt idx="658">
                  <c:v>47.106400000000583</c:v>
                </c:pt>
                <c:pt idx="659">
                  <c:v>47.106500000000587</c:v>
                </c:pt>
                <c:pt idx="660">
                  <c:v>47.10660000000059</c:v>
                </c:pt>
                <c:pt idx="661">
                  <c:v>47.106700000000593</c:v>
                </c:pt>
                <c:pt idx="662">
                  <c:v>47.106800000000597</c:v>
                </c:pt>
                <c:pt idx="663">
                  <c:v>47.1069000000006</c:v>
                </c:pt>
                <c:pt idx="664">
                  <c:v>47.107000000000603</c:v>
                </c:pt>
                <c:pt idx="665">
                  <c:v>47.107100000000607</c:v>
                </c:pt>
                <c:pt idx="666">
                  <c:v>47.10720000000061</c:v>
                </c:pt>
                <c:pt idx="667">
                  <c:v>47.107300000000613</c:v>
                </c:pt>
                <c:pt idx="668">
                  <c:v>47.107400000000617</c:v>
                </c:pt>
                <c:pt idx="669">
                  <c:v>47.10750000000062</c:v>
                </c:pt>
                <c:pt idx="670">
                  <c:v>47.107600000000623</c:v>
                </c:pt>
                <c:pt idx="671">
                  <c:v>47.107700000000627</c:v>
                </c:pt>
                <c:pt idx="672">
                  <c:v>47.10780000000063</c:v>
                </c:pt>
                <c:pt idx="673">
                  <c:v>47.107900000000633</c:v>
                </c:pt>
                <c:pt idx="674">
                  <c:v>47.108000000000636</c:v>
                </c:pt>
                <c:pt idx="675">
                  <c:v>47.10810000000064</c:v>
                </c:pt>
                <c:pt idx="676">
                  <c:v>47.108200000000643</c:v>
                </c:pt>
                <c:pt idx="677">
                  <c:v>47.108300000000646</c:v>
                </c:pt>
                <c:pt idx="678">
                  <c:v>47.10840000000065</c:v>
                </c:pt>
                <c:pt idx="679">
                  <c:v>47.108500000000653</c:v>
                </c:pt>
                <c:pt idx="680">
                  <c:v>47.108600000000656</c:v>
                </c:pt>
                <c:pt idx="681">
                  <c:v>47.10870000000066</c:v>
                </c:pt>
                <c:pt idx="682">
                  <c:v>47.108800000000663</c:v>
                </c:pt>
                <c:pt idx="683">
                  <c:v>47.108900000000666</c:v>
                </c:pt>
                <c:pt idx="684">
                  <c:v>47.10900000000067</c:v>
                </c:pt>
                <c:pt idx="685">
                  <c:v>47.109100000000673</c:v>
                </c:pt>
                <c:pt idx="686">
                  <c:v>47.109200000000676</c:v>
                </c:pt>
                <c:pt idx="687">
                  <c:v>47.10930000000068</c:v>
                </c:pt>
                <c:pt idx="688">
                  <c:v>47.109400000000683</c:v>
                </c:pt>
                <c:pt idx="689">
                  <c:v>47.109500000000686</c:v>
                </c:pt>
                <c:pt idx="690">
                  <c:v>47.10960000000069</c:v>
                </c:pt>
                <c:pt idx="691">
                  <c:v>47.109700000000693</c:v>
                </c:pt>
                <c:pt idx="692">
                  <c:v>47.109800000000696</c:v>
                </c:pt>
                <c:pt idx="693">
                  <c:v>47.1099000000007</c:v>
                </c:pt>
                <c:pt idx="694">
                  <c:v>47.110000000000703</c:v>
                </c:pt>
                <c:pt idx="695">
                  <c:v>47.110100000000706</c:v>
                </c:pt>
                <c:pt idx="696">
                  <c:v>47.11020000000071</c:v>
                </c:pt>
                <c:pt idx="697">
                  <c:v>47.110300000000713</c:v>
                </c:pt>
                <c:pt idx="698">
                  <c:v>47.110400000000716</c:v>
                </c:pt>
                <c:pt idx="699">
                  <c:v>47.110500000000719</c:v>
                </c:pt>
                <c:pt idx="700">
                  <c:v>47.110600000000723</c:v>
                </c:pt>
                <c:pt idx="701">
                  <c:v>47.110700000000726</c:v>
                </c:pt>
                <c:pt idx="702">
                  <c:v>47.110800000000729</c:v>
                </c:pt>
                <c:pt idx="703">
                  <c:v>47.110900000000733</c:v>
                </c:pt>
                <c:pt idx="704">
                  <c:v>47.111000000000736</c:v>
                </c:pt>
                <c:pt idx="705">
                  <c:v>47.111100000000739</c:v>
                </c:pt>
                <c:pt idx="706">
                  <c:v>47.111200000000743</c:v>
                </c:pt>
                <c:pt idx="707">
                  <c:v>47.111300000000746</c:v>
                </c:pt>
                <c:pt idx="708">
                  <c:v>47.111400000000749</c:v>
                </c:pt>
                <c:pt idx="709">
                  <c:v>47.111500000000753</c:v>
                </c:pt>
                <c:pt idx="710">
                  <c:v>47.111600000000756</c:v>
                </c:pt>
                <c:pt idx="711">
                  <c:v>47.111700000000759</c:v>
                </c:pt>
                <c:pt idx="712">
                  <c:v>47.111800000000763</c:v>
                </c:pt>
                <c:pt idx="713">
                  <c:v>47.111900000000766</c:v>
                </c:pt>
                <c:pt idx="714">
                  <c:v>47.112000000000769</c:v>
                </c:pt>
                <c:pt idx="715">
                  <c:v>47.112100000000773</c:v>
                </c:pt>
                <c:pt idx="716">
                  <c:v>47.112200000000776</c:v>
                </c:pt>
                <c:pt idx="717">
                  <c:v>47.112300000000779</c:v>
                </c:pt>
                <c:pt idx="718">
                  <c:v>47.112400000000783</c:v>
                </c:pt>
                <c:pt idx="719">
                  <c:v>47.112500000000786</c:v>
                </c:pt>
                <c:pt idx="720">
                  <c:v>47.112600000000789</c:v>
                </c:pt>
                <c:pt idx="721">
                  <c:v>47.112700000000792</c:v>
                </c:pt>
                <c:pt idx="722">
                  <c:v>47.112800000000796</c:v>
                </c:pt>
                <c:pt idx="723">
                  <c:v>47.112900000000799</c:v>
                </c:pt>
                <c:pt idx="724">
                  <c:v>47.113000000000802</c:v>
                </c:pt>
                <c:pt idx="725">
                  <c:v>47.113100000000806</c:v>
                </c:pt>
                <c:pt idx="726">
                  <c:v>47.113200000000809</c:v>
                </c:pt>
                <c:pt idx="727">
                  <c:v>47.113300000000812</c:v>
                </c:pt>
                <c:pt idx="728">
                  <c:v>47.113400000000816</c:v>
                </c:pt>
                <c:pt idx="729">
                  <c:v>47.113500000000819</c:v>
                </c:pt>
                <c:pt idx="730">
                  <c:v>47.113600000000822</c:v>
                </c:pt>
                <c:pt idx="731">
                  <c:v>47.113700000000826</c:v>
                </c:pt>
                <c:pt idx="732">
                  <c:v>47.113800000000829</c:v>
                </c:pt>
                <c:pt idx="733">
                  <c:v>47.113900000000832</c:v>
                </c:pt>
                <c:pt idx="734">
                  <c:v>47.114000000000836</c:v>
                </c:pt>
                <c:pt idx="735">
                  <c:v>47.114100000000839</c:v>
                </c:pt>
                <c:pt idx="736">
                  <c:v>47.114200000000842</c:v>
                </c:pt>
                <c:pt idx="737">
                  <c:v>47.114300000000846</c:v>
                </c:pt>
                <c:pt idx="738">
                  <c:v>47.114400000000849</c:v>
                </c:pt>
                <c:pt idx="739">
                  <c:v>47.114500000000852</c:v>
                </c:pt>
                <c:pt idx="740">
                  <c:v>47.114600000000856</c:v>
                </c:pt>
                <c:pt idx="741">
                  <c:v>47.114700000000859</c:v>
                </c:pt>
                <c:pt idx="742">
                  <c:v>47.114800000000862</c:v>
                </c:pt>
                <c:pt idx="743">
                  <c:v>47.114900000000866</c:v>
                </c:pt>
                <c:pt idx="744">
                  <c:v>47.115000000000869</c:v>
                </c:pt>
                <c:pt idx="745">
                  <c:v>47.115100000000872</c:v>
                </c:pt>
                <c:pt idx="746">
                  <c:v>47.115200000000875</c:v>
                </c:pt>
                <c:pt idx="747">
                  <c:v>47.115300000000879</c:v>
                </c:pt>
                <c:pt idx="748">
                  <c:v>47.115400000000882</c:v>
                </c:pt>
                <c:pt idx="749">
                  <c:v>47.115500000000885</c:v>
                </c:pt>
                <c:pt idx="750">
                  <c:v>47.115600000000889</c:v>
                </c:pt>
                <c:pt idx="751">
                  <c:v>47.115700000000892</c:v>
                </c:pt>
                <c:pt idx="752">
                  <c:v>47.115800000000895</c:v>
                </c:pt>
                <c:pt idx="753">
                  <c:v>47.115900000000899</c:v>
                </c:pt>
                <c:pt idx="754">
                  <c:v>47.116000000000902</c:v>
                </c:pt>
                <c:pt idx="755">
                  <c:v>47.116100000000905</c:v>
                </c:pt>
                <c:pt idx="756">
                  <c:v>47.116200000000909</c:v>
                </c:pt>
                <c:pt idx="757">
                  <c:v>47.116300000000912</c:v>
                </c:pt>
                <c:pt idx="758">
                  <c:v>47.116400000000915</c:v>
                </c:pt>
                <c:pt idx="759">
                  <c:v>47.116500000000919</c:v>
                </c:pt>
                <c:pt idx="760">
                  <c:v>47.116600000000922</c:v>
                </c:pt>
                <c:pt idx="761">
                  <c:v>47.116700000000925</c:v>
                </c:pt>
                <c:pt idx="762">
                  <c:v>47.116800000000929</c:v>
                </c:pt>
                <c:pt idx="763">
                  <c:v>47.116900000000932</c:v>
                </c:pt>
                <c:pt idx="764">
                  <c:v>47.117000000000935</c:v>
                </c:pt>
                <c:pt idx="765">
                  <c:v>47.117100000000939</c:v>
                </c:pt>
                <c:pt idx="766">
                  <c:v>47.117200000000942</c:v>
                </c:pt>
                <c:pt idx="767">
                  <c:v>47.117300000000945</c:v>
                </c:pt>
                <c:pt idx="768">
                  <c:v>47.117400000000949</c:v>
                </c:pt>
                <c:pt idx="769">
                  <c:v>47.117500000000952</c:v>
                </c:pt>
                <c:pt idx="770">
                  <c:v>47.117600000000955</c:v>
                </c:pt>
                <c:pt idx="771">
                  <c:v>47.117700000000958</c:v>
                </c:pt>
                <c:pt idx="772">
                  <c:v>47.117800000000962</c:v>
                </c:pt>
                <c:pt idx="773">
                  <c:v>47.117900000000965</c:v>
                </c:pt>
                <c:pt idx="774">
                  <c:v>47.118000000000968</c:v>
                </c:pt>
                <c:pt idx="775">
                  <c:v>47.118100000000972</c:v>
                </c:pt>
                <c:pt idx="776">
                  <c:v>47.118200000000975</c:v>
                </c:pt>
                <c:pt idx="777">
                  <c:v>47.118300000000978</c:v>
                </c:pt>
                <c:pt idx="778">
                  <c:v>47.118400000000982</c:v>
                </c:pt>
                <c:pt idx="779">
                  <c:v>47.118500000000985</c:v>
                </c:pt>
                <c:pt idx="780">
                  <c:v>47.118600000000988</c:v>
                </c:pt>
                <c:pt idx="781">
                  <c:v>47.118700000000992</c:v>
                </c:pt>
                <c:pt idx="782">
                  <c:v>47.118800000000995</c:v>
                </c:pt>
                <c:pt idx="783">
                  <c:v>47.118900000000998</c:v>
                </c:pt>
                <c:pt idx="784">
                  <c:v>47.119000000001002</c:v>
                </c:pt>
                <c:pt idx="785">
                  <c:v>47.119100000001005</c:v>
                </c:pt>
                <c:pt idx="786">
                  <c:v>47.119200000001008</c:v>
                </c:pt>
                <c:pt idx="787">
                  <c:v>47.119300000001012</c:v>
                </c:pt>
                <c:pt idx="788">
                  <c:v>47.119400000001015</c:v>
                </c:pt>
                <c:pt idx="789">
                  <c:v>47.119500000001018</c:v>
                </c:pt>
                <c:pt idx="790">
                  <c:v>47.119600000001022</c:v>
                </c:pt>
                <c:pt idx="791">
                  <c:v>47.119700000001025</c:v>
                </c:pt>
                <c:pt idx="792">
                  <c:v>47.119800000001028</c:v>
                </c:pt>
                <c:pt idx="793">
                  <c:v>47.119900000001032</c:v>
                </c:pt>
                <c:pt idx="794">
                  <c:v>47.120000000001035</c:v>
                </c:pt>
                <c:pt idx="795">
                  <c:v>47.120100000001038</c:v>
                </c:pt>
                <c:pt idx="796">
                  <c:v>47.120200000001041</c:v>
                </c:pt>
                <c:pt idx="797">
                  <c:v>47.120300000001045</c:v>
                </c:pt>
                <c:pt idx="798">
                  <c:v>47.120400000001048</c:v>
                </c:pt>
                <c:pt idx="799">
                  <c:v>47.120500000001051</c:v>
                </c:pt>
                <c:pt idx="800">
                  <c:v>47.120600000001055</c:v>
                </c:pt>
                <c:pt idx="801">
                  <c:v>47.120700000001058</c:v>
                </c:pt>
                <c:pt idx="802">
                  <c:v>47.120800000001061</c:v>
                </c:pt>
                <c:pt idx="803">
                  <c:v>47.120900000001065</c:v>
                </c:pt>
                <c:pt idx="804">
                  <c:v>47.121000000001068</c:v>
                </c:pt>
                <c:pt idx="805">
                  <c:v>47.121100000001071</c:v>
                </c:pt>
                <c:pt idx="806">
                  <c:v>47.121200000001075</c:v>
                </c:pt>
                <c:pt idx="807">
                  <c:v>47.121300000001078</c:v>
                </c:pt>
                <c:pt idx="808">
                  <c:v>47.121400000001081</c:v>
                </c:pt>
                <c:pt idx="809">
                  <c:v>47.121500000001085</c:v>
                </c:pt>
                <c:pt idx="810">
                  <c:v>47.121600000001088</c:v>
                </c:pt>
                <c:pt idx="811">
                  <c:v>47.121700000001091</c:v>
                </c:pt>
                <c:pt idx="812">
                  <c:v>47.121800000001095</c:v>
                </c:pt>
                <c:pt idx="813">
                  <c:v>47.121900000001098</c:v>
                </c:pt>
                <c:pt idx="814">
                  <c:v>47.122000000001101</c:v>
                </c:pt>
                <c:pt idx="815">
                  <c:v>47.122100000001105</c:v>
                </c:pt>
                <c:pt idx="816">
                  <c:v>47.122200000001108</c:v>
                </c:pt>
                <c:pt idx="817">
                  <c:v>47.122300000001111</c:v>
                </c:pt>
                <c:pt idx="818">
                  <c:v>47.122400000001115</c:v>
                </c:pt>
                <c:pt idx="819">
                  <c:v>47.122500000001118</c:v>
                </c:pt>
                <c:pt idx="820">
                  <c:v>47.122600000001121</c:v>
                </c:pt>
                <c:pt idx="821">
                  <c:v>47.122700000001124</c:v>
                </c:pt>
                <c:pt idx="822">
                  <c:v>47.122800000001128</c:v>
                </c:pt>
                <c:pt idx="823">
                  <c:v>47.122900000001131</c:v>
                </c:pt>
                <c:pt idx="824">
                  <c:v>47.123000000001134</c:v>
                </c:pt>
                <c:pt idx="825">
                  <c:v>47.123100000001138</c:v>
                </c:pt>
                <c:pt idx="826">
                  <c:v>47.123200000001141</c:v>
                </c:pt>
                <c:pt idx="827">
                  <c:v>47.123300000001144</c:v>
                </c:pt>
                <c:pt idx="828">
                  <c:v>47.123400000001148</c:v>
                </c:pt>
                <c:pt idx="829">
                  <c:v>47.123500000001151</c:v>
                </c:pt>
                <c:pt idx="830">
                  <c:v>47.123600000001154</c:v>
                </c:pt>
                <c:pt idx="831">
                  <c:v>47.123700000001158</c:v>
                </c:pt>
                <c:pt idx="832">
                  <c:v>47.123800000001161</c:v>
                </c:pt>
                <c:pt idx="833">
                  <c:v>47.123900000001164</c:v>
                </c:pt>
                <c:pt idx="834">
                  <c:v>47.124000000001168</c:v>
                </c:pt>
                <c:pt idx="835">
                  <c:v>47.124100000001171</c:v>
                </c:pt>
                <c:pt idx="836">
                  <c:v>47.124200000001174</c:v>
                </c:pt>
                <c:pt idx="837">
                  <c:v>47.124300000001178</c:v>
                </c:pt>
                <c:pt idx="838">
                  <c:v>47.124400000001181</c:v>
                </c:pt>
                <c:pt idx="839">
                  <c:v>47.124500000001184</c:v>
                </c:pt>
                <c:pt idx="840">
                  <c:v>47.124600000001188</c:v>
                </c:pt>
                <c:pt idx="841">
                  <c:v>47.124700000001191</c:v>
                </c:pt>
                <c:pt idx="842">
                  <c:v>47.124800000001194</c:v>
                </c:pt>
                <c:pt idx="843">
                  <c:v>47.124900000001197</c:v>
                </c:pt>
                <c:pt idx="844">
                  <c:v>47.125000000001201</c:v>
                </c:pt>
                <c:pt idx="845">
                  <c:v>47.125100000001204</c:v>
                </c:pt>
                <c:pt idx="846">
                  <c:v>47.125200000001207</c:v>
                </c:pt>
                <c:pt idx="847">
                  <c:v>47.125300000001211</c:v>
                </c:pt>
                <c:pt idx="848">
                  <c:v>47.125400000001214</c:v>
                </c:pt>
                <c:pt idx="849">
                  <c:v>47.125500000001217</c:v>
                </c:pt>
                <c:pt idx="850">
                  <c:v>47.125600000001221</c:v>
                </c:pt>
                <c:pt idx="851">
                  <c:v>47.125700000001224</c:v>
                </c:pt>
                <c:pt idx="852">
                  <c:v>47.125800000001227</c:v>
                </c:pt>
                <c:pt idx="853">
                  <c:v>47.125900000001231</c:v>
                </c:pt>
                <c:pt idx="854">
                  <c:v>47.126000000001234</c:v>
                </c:pt>
                <c:pt idx="855">
                  <c:v>47.126100000001237</c:v>
                </c:pt>
                <c:pt idx="856">
                  <c:v>47.126200000001241</c:v>
                </c:pt>
                <c:pt idx="857">
                  <c:v>47.126300000001244</c:v>
                </c:pt>
                <c:pt idx="858">
                  <c:v>47.126400000001247</c:v>
                </c:pt>
                <c:pt idx="859">
                  <c:v>47.126500000001251</c:v>
                </c:pt>
                <c:pt idx="860">
                  <c:v>47.126600000001254</c:v>
                </c:pt>
                <c:pt idx="861">
                  <c:v>47.126700000001257</c:v>
                </c:pt>
                <c:pt idx="862">
                  <c:v>47.126800000001261</c:v>
                </c:pt>
                <c:pt idx="863">
                  <c:v>47.126900000001264</c:v>
                </c:pt>
                <c:pt idx="864">
                  <c:v>47.127000000001267</c:v>
                </c:pt>
                <c:pt idx="865">
                  <c:v>47.127100000001271</c:v>
                </c:pt>
                <c:pt idx="866">
                  <c:v>47.127200000001274</c:v>
                </c:pt>
                <c:pt idx="867">
                  <c:v>47.127300000001277</c:v>
                </c:pt>
                <c:pt idx="868">
                  <c:v>47.12740000000128</c:v>
                </c:pt>
                <c:pt idx="869">
                  <c:v>47.127500000001284</c:v>
                </c:pt>
                <c:pt idx="870">
                  <c:v>47.127600000001287</c:v>
                </c:pt>
                <c:pt idx="871">
                  <c:v>47.12770000000129</c:v>
                </c:pt>
                <c:pt idx="872">
                  <c:v>47.127800000001294</c:v>
                </c:pt>
                <c:pt idx="873">
                  <c:v>47.127900000001297</c:v>
                </c:pt>
                <c:pt idx="874">
                  <c:v>47.1280000000013</c:v>
                </c:pt>
                <c:pt idx="875">
                  <c:v>47.128100000001304</c:v>
                </c:pt>
                <c:pt idx="876">
                  <c:v>47.128200000001307</c:v>
                </c:pt>
                <c:pt idx="877">
                  <c:v>47.12830000000131</c:v>
                </c:pt>
                <c:pt idx="878">
                  <c:v>47.128400000001314</c:v>
                </c:pt>
                <c:pt idx="879">
                  <c:v>47.128500000001317</c:v>
                </c:pt>
                <c:pt idx="880">
                  <c:v>47.12860000000132</c:v>
                </c:pt>
                <c:pt idx="881">
                  <c:v>47.128700000001324</c:v>
                </c:pt>
                <c:pt idx="882">
                  <c:v>47.128800000001327</c:v>
                </c:pt>
                <c:pt idx="883">
                  <c:v>47.12890000000133</c:v>
                </c:pt>
                <c:pt idx="884">
                  <c:v>47.129000000001334</c:v>
                </c:pt>
                <c:pt idx="885">
                  <c:v>47.129100000001337</c:v>
                </c:pt>
                <c:pt idx="886">
                  <c:v>47.12920000000134</c:v>
                </c:pt>
                <c:pt idx="887">
                  <c:v>47.129300000001344</c:v>
                </c:pt>
                <c:pt idx="888">
                  <c:v>47.129400000001347</c:v>
                </c:pt>
                <c:pt idx="889">
                  <c:v>47.12950000000135</c:v>
                </c:pt>
                <c:pt idx="890">
                  <c:v>47.129600000001354</c:v>
                </c:pt>
                <c:pt idx="891">
                  <c:v>47.129700000001357</c:v>
                </c:pt>
                <c:pt idx="892">
                  <c:v>47.12980000000136</c:v>
                </c:pt>
                <c:pt idx="893">
                  <c:v>47.129900000001363</c:v>
                </c:pt>
                <c:pt idx="894">
                  <c:v>47.130000000001367</c:v>
                </c:pt>
                <c:pt idx="895">
                  <c:v>47.13010000000137</c:v>
                </c:pt>
                <c:pt idx="896">
                  <c:v>47.130200000001373</c:v>
                </c:pt>
                <c:pt idx="897">
                  <c:v>47.130300000001377</c:v>
                </c:pt>
                <c:pt idx="898">
                  <c:v>47.13040000000138</c:v>
                </c:pt>
                <c:pt idx="899">
                  <c:v>47.130500000001383</c:v>
                </c:pt>
                <c:pt idx="900">
                  <c:v>47.130600000001387</c:v>
                </c:pt>
                <c:pt idx="901">
                  <c:v>47.13070000000139</c:v>
                </c:pt>
                <c:pt idx="902">
                  <c:v>47.130800000001393</c:v>
                </c:pt>
                <c:pt idx="903">
                  <c:v>47.130900000001397</c:v>
                </c:pt>
                <c:pt idx="904">
                  <c:v>47.1310000000014</c:v>
                </c:pt>
                <c:pt idx="905">
                  <c:v>47.131100000001403</c:v>
                </c:pt>
                <c:pt idx="906">
                  <c:v>47.131200000001407</c:v>
                </c:pt>
                <c:pt idx="907">
                  <c:v>47.13130000000141</c:v>
                </c:pt>
                <c:pt idx="908">
                  <c:v>47.131400000001413</c:v>
                </c:pt>
                <c:pt idx="909">
                  <c:v>47.131500000001417</c:v>
                </c:pt>
                <c:pt idx="910">
                  <c:v>47.13160000000142</c:v>
                </c:pt>
                <c:pt idx="911">
                  <c:v>47.131700000001423</c:v>
                </c:pt>
                <c:pt idx="912">
                  <c:v>47.131800000001427</c:v>
                </c:pt>
                <c:pt idx="913">
                  <c:v>47.13190000000143</c:v>
                </c:pt>
                <c:pt idx="914">
                  <c:v>47.132000000001433</c:v>
                </c:pt>
                <c:pt idx="915">
                  <c:v>47.132100000001437</c:v>
                </c:pt>
                <c:pt idx="916">
                  <c:v>47.13220000000144</c:v>
                </c:pt>
                <c:pt idx="917">
                  <c:v>47.132300000001443</c:v>
                </c:pt>
                <c:pt idx="918">
                  <c:v>47.132400000001446</c:v>
                </c:pt>
                <c:pt idx="919">
                  <c:v>47.13250000000145</c:v>
                </c:pt>
                <c:pt idx="920">
                  <c:v>47.132600000001453</c:v>
                </c:pt>
                <c:pt idx="921">
                  <c:v>47.132700000001456</c:v>
                </c:pt>
                <c:pt idx="922">
                  <c:v>47.13280000000146</c:v>
                </c:pt>
                <c:pt idx="923">
                  <c:v>47.132900000001463</c:v>
                </c:pt>
                <c:pt idx="924">
                  <c:v>47.133000000001466</c:v>
                </c:pt>
                <c:pt idx="925">
                  <c:v>47.13310000000147</c:v>
                </c:pt>
                <c:pt idx="926">
                  <c:v>47.133200000001473</c:v>
                </c:pt>
                <c:pt idx="927">
                  <c:v>47.133300000001476</c:v>
                </c:pt>
                <c:pt idx="928">
                  <c:v>47.13340000000148</c:v>
                </c:pt>
                <c:pt idx="929">
                  <c:v>47.133500000001483</c:v>
                </c:pt>
                <c:pt idx="930">
                  <c:v>47.133600000001486</c:v>
                </c:pt>
                <c:pt idx="931">
                  <c:v>47.13370000000149</c:v>
                </c:pt>
                <c:pt idx="932">
                  <c:v>47.133800000001493</c:v>
                </c:pt>
                <c:pt idx="933">
                  <c:v>47.133900000001496</c:v>
                </c:pt>
                <c:pt idx="934">
                  <c:v>47.1340000000015</c:v>
                </c:pt>
                <c:pt idx="935">
                  <c:v>47.134100000001503</c:v>
                </c:pt>
                <c:pt idx="936">
                  <c:v>47.134200000001506</c:v>
                </c:pt>
                <c:pt idx="937">
                  <c:v>47.13430000000151</c:v>
                </c:pt>
                <c:pt idx="938">
                  <c:v>47.134400000001513</c:v>
                </c:pt>
                <c:pt idx="939">
                  <c:v>47.134500000001516</c:v>
                </c:pt>
                <c:pt idx="940">
                  <c:v>47.13460000000152</c:v>
                </c:pt>
                <c:pt idx="941">
                  <c:v>47.134700000001523</c:v>
                </c:pt>
                <c:pt idx="942">
                  <c:v>47.134800000001526</c:v>
                </c:pt>
                <c:pt idx="943">
                  <c:v>47.134900000001529</c:v>
                </c:pt>
                <c:pt idx="944">
                  <c:v>47.135000000001533</c:v>
                </c:pt>
                <c:pt idx="945">
                  <c:v>47.135100000001536</c:v>
                </c:pt>
                <c:pt idx="946">
                  <c:v>47.135200000001539</c:v>
                </c:pt>
                <c:pt idx="947">
                  <c:v>47.135300000001543</c:v>
                </c:pt>
                <c:pt idx="948">
                  <c:v>47.135400000001546</c:v>
                </c:pt>
                <c:pt idx="949">
                  <c:v>47.135500000001549</c:v>
                </c:pt>
                <c:pt idx="950">
                  <c:v>47.135600000001553</c:v>
                </c:pt>
                <c:pt idx="951">
                  <c:v>47.135700000001556</c:v>
                </c:pt>
                <c:pt idx="952">
                  <c:v>47.135800000001559</c:v>
                </c:pt>
                <c:pt idx="953">
                  <c:v>47.135900000001563</c:v>
                </c:pt>
                <c:pt idx="954">
                  <c:v>47.136000000001566</c:v>
                </c:pt>
                <c:pt idx="955">
                  <c:v>47.136100000001569</c:v>
                </c:pt>
                <c:pt idx="956">
                  <c:v>47.136200000001573</c:v>
                </c:pt>
                <c:pt idx="957">
                  <c:v>47.136300000001576</c:v>
                </c:pt>
                <c:pt idx="958">
                  <c:v>47.136400000001579</c:v>
                </c:pt>
                <c:pt idx="959">
                  <c:v>47.136500000001583</c:v>
                </c:pt>
                <c:pt idx="960">
                  <c:v>47.136600000001586</c:v>
                </c:pt>
                <c:pt idx="961">
                  <c:v>47.136700000001589</c:v>
                </c:pt>
                <c:pt idx="962">
                  <c:v>47.136800000001593</c:v>
                </c:pt>
                <c:pt idx="963">
                  <c:v>47.136900000001596</c:v>
                </c:pt>
                <c:pt idx="964">
                  <c:v>47.137000000001599</c:v>
                </c:pt>
                <c:pt idx="965">
                  <c:v>47.137100000001602</c:v>
                </c:pt>
                <c:pt idx="966">
                  <c:v>47.137200000001606</c:v>
                </c:pt>
                <c:pt idx="967">
                  <c:v>47.137300000001609</c:v>
                </c:pt>
                <c:pt idx="968">
                  <c:v>47.137400000001612</c:v>
                </c:pt>
                <c:pt idx="969">
                  <c:v>47.137500000001616</c:v>
                </c:pt>
                <c:pt idx="970">
                  <c:v>47.137600000001619</c:v>
                </c:pt>
                <c:pt idx="971">
                  <c:v>47.137700000001622</c:v>
                </c:pt>
                <c:pt idx="972">
                  <c:v>47.137800000001626</c:v>
                </c:pt>
                <c:pt idx="973">
                  <c:v>47.137900000001629</c:v>
                </c:pt>
                <c:pt idx="974">
                  <c:v>47.138000000001632</c:v>
                </c:pt>
                <c:pt idx="975">
                  <c:v>47.138100000001636</c:v>
                </c:pt>
                <c:pt idx="976">
                  <c:v>47.138200000001639</c:v>
                </c:pt>
                <c:pt idx="977">
                  <c:v>47.138300000001642</c:v>
                </c:pt>
                <c:pt idx="978">
                  <c:v>47.138400000001646</c:v>
                </c:pt>
                <c:pt idx="979">
                  <c:v>47.138500000001649</c:v>
                </c:pt>
                <c:pt idx="980">
                  <c:v>47.138600000001652</c:v>
                </c:pt>
                <c:pt idx="981">
                  <c:v>47.138700000001656</c:v>
                </c:pt>
                <c:pt idx="982">
                  <c:v>47.138800000001659</c:v>
                </c:pt>
                <c:pt idx="983">
                  <c:v>47.138900000001662</c:v>
                </c:pt>
                <c:pt idx="984">
                  <c:v>47.139000000001666</c:v>
                </c:pt>
                <c:pt idx="985">
                  <c:v>47.139100000001669</c:v>
                </c:pt>
                <c:pt idx="986">
                  <c:v>47.139200000001672</c:v>
                </c:pt>
                <c:pt idx="987">
                  <c:v>47.139300000001676</c:v>
                </c:pt>
                <c:pt idx="988">
                  <c:v>47.139400000001679</c:v>
                </c:pt>
                <c:pt idx="989">
                  <c:v>47.139500000001682</c:v>
                </c:pt>
                <c:pt idx="990">
                  <c:v>47.139600000001685</c:v>
                </c:pt>
                <c:pt idx="991">
                  <c:v>47.139700000001689</c:v>
                </c:pt>
                <c:pt idx="992">
                  <c:v>47.139800000001692</c:v>
                </c:pt>
                <c:pt idx="993">
                  <c:v>47.139900000001695</c:v>
                </c:pt>
                <c:pt idx="994">
                  <c:v>47.140000000001699</c:v>
                </c:pt>
                <c:pt idx="995">
                  <c:v>47.140100000001702</c:v>
                </c:pt>
                <c:pt idx="996">
                  <c:v>47.140200000001705</c:v>
                </c:pt>
                <c:pt idx="997">
                  <c:v>47.140300000001709</c:v>
                </c:pt>
                <c:pt idx="998">
                  <c:v>47.140400000001712</c:v>
                </c:pt>
                <c:pt idx="999">
                  <c:v>47.140500000001715</c:v>
                </c:pt>
                <c:pt idx="1000">
                  <c:v>47.140600000001719</c:v>
                </c:pt>
              </c:numCache>
            </c:numRef>
          </c:xVal>
          <c:yVal>
            <c:numRef>
              <c:f>Calculs!$AH$4:$AH$1004</c:f>
              <c:numCache>
                <c:formatCode>0.00</c:formatCode>
                <c:ptCount val="1001"/>
                <c:pt idx="0">
                  <c:v>0</c:v>
                </c:pt>
                <c:pt idx="1">
                  <c:v>7.2647350535443538</c:v>
                </c:pt>
                <c:pt idx="2">
                  <c:v>65.186381330028468</c:v>
                </c:pt>
                <c:pt idx="3">
                  <c:v>89.441140047862106</c:v>
                </c:pt>
                <c:pt idx="4">
                  <c:v>80.039162876578118</c:v>
                </c:pt>
                <c:pt idx="5">
                  <c:v>75.086069019451259</c:v>
                </c:pt>
                <c:pt idx="6">
                  <c:v>74.581033616219756</c:v>
                </c:pt>
                <c:pt idx="7">
                  <c:v>74.076049085291558</c:v>
                </c:pt>
                <c:pt idx="8">
                  <c:v>73.5711296642897</c:v>
                </c:pt>
                <c:pt idx="9">
                  <c:v>73.066289482842791</c:v>
                </c:pt>
                <c:pt idx="10">
                  <c:v>72.561542561863646</c:v>
                </c:pt>
                <c:pt idx="11">
                  <c:v>72.056902812850169</c:v>
                </c:pt>
                <c:pt idx="12">
                  <c:v>71.552384037208981</c:v>
                </c:pt>
                <c:pt idx="13">
                  <c:v>71.047999925601516</c:v>
                </c:pt>
                <c:pt idx="14">
                  <c:v>70.543764057312444</c:v>
                </c:pt>
                <c:pt idx="15">
                  <c:v>70.039689899640379</c:v>
                </c:pt>
                <c:pt idx="16">
                  <c:v>69.535790807310647</c:v>
                </c:pt>
                <c:pt idx="17">
                  <c:v>69.03208002191019</c:v>
                </c:pt>
                <c:pt idx="18">
                  <c:v>68.528570671344355</c:v>
                </c:pt>
                <c:pt idx="19">
                  <c:v>68.025275769315414</c:v>
                </c:pt>
                <c:pt idx="20">
                  <c:v>67.522208214822783</c:v>
                </c:pt>
                <c:pt idx="21">
                  <c:v>67.019380791684739</c:v>
                </c:pt>
                <c:pt idx="22">
                  <c:v>66.516806168081601</c:v>
                </c:pt>
                <c:pt idx="23">
                  <c:v>66.014496896120079</c:v>
                </c:pt>
                <c:pt idx="24">
                  <c:v>65.512465411418702</c:v>
                </c:pt>
                <c:pt idx="25">
                  <c:v>65.010724032714322</c:v>
                </c:pt>
                <c:pt idx="26">
                  <c:v>64.509284961489215</c:v>
                </c:pt>
                <c:pt idx="27">
                  <c:v>64.008160281619169</c:v>
                </c:pt>
                <c:pt idx="28">
                  <c:v>63.507361959041653</c:v>
                </c:pt>
                <c:pt idx="29">
                  <c:v>63.006901841444616</c:v>
                </c:pt>
                <c:pt idx="30">
                  <c:v>62.50679165797537</c:v>
                </c:pt>
                <c:pt idx="31">
                  <c:v>62.007043018969355</c:v>
                </c:pt>
                <c:pt idx="32">
                  <c:v>61.50766741569889</c:v>
                </c:pt>
                <c:pt idx="33">
                  <c:v>61.008676220141453</c:v>
                </c:pt>
                <c:pt idx="34">
                  <c:v>60.510080684767516</c:v>
                </c:pt>
                <c:pt idx="35">
                  <c:v>60.011891942347653</c:v>
                </c:pt>
                <c:pt idx="36">
                  <c:v>59.514121005778669</c:v>
                </c:pt>
                <c:pt idx="37">
                  <c:v>59.016778767928784</c:v>
                </c:pt>
                <c:pt idx="38">
                  <c:v>58.519876001501423</c:v>
                </c:pt>
                <c:pt idx="39">
                  <c:v>58.023423358917761</c:v>
                </c:pt>
                <c:pt idx="40">
                  <c:v>57.527431372217336</c:v>
                </c:pt>
                <c:pt idx="41">
                  <c:v>57.03191045297708</c:v>
                </c:pt>
                <c:pt idx="42">
                  <c:v>56.536870892248125</c:v>
                </c:pt>
                <c:pt idx="43">
                  <c:v>56.042322860510531</c:v>
                </c:pt>
                <c:pt idx="44">
                  <c:v>55.548276407645446</c:v>
                </c:pt>
                <c:pt idx="45">
                  <c:v>55.054741462924774</c:v>
                </c:pt>
                <c:pt idx="46">
                  <c:v>54.56172783501777</c:v>
                </c:pt>
                <c:pt idx="47">
                  <c:v>54.069245212014856</c:v>
                </c:pt>
                <c:pt idx="48">
                  <c:v>53.577303161468059</c:v>
                </c:pt>
                <c:pt idx="49">
                  <c:v>53.08591113044799</c:v>
                </c:pt>
                <c:pt idx="50">
                  <c:v>52.595078445617041</c:v>
                </c:pt>
                <c:pt idx="51">
                  <c:v>52.104814313318997</c:v>
                </c:pt>
                <c:pt idx="52">
                  <c:v>51.615127819684211</c:v>
                </c:pt>
                <c:pt idx="53">
                  <c:v>51.126027930750723</c:v>
                </c:pt>
                <c:pt idx="54">
                  <c:v>50.637523492600756</c:v>
                </c:pt>
                <c:pt idx="55">
                  <c:v>50.149623231512372</c:v>
                </c:pt>
                <c:pt idx="56">
                  <c:v>49.662335754126474</c:v>
                </c:pt>
                <c:pt idx="57">
                  <c:v>49.175669547628239</c:v>
                </c:pt>
                <c:pt idx="58">
                  <c:v>48.689632979943497</c:v>
                </c:pt>
                <c:pt idx="59">
                  <c:v>48.204234299949306</c:v>
                </c:pt>
                <c:pt idx="60">
                  <c:v>47.719481637698792</c:v>
                </c:pt>
                <c:pt idx="61">
                  <c:v>47.235383004659944</c:v>
                </c:pt>
                <c:pt idx="62">
                  <c:v>46.751946293967926</c:v>
                </c:pt>
                <c:pt idx="63">
                  <c:v>45.878791275542014</c:v>
                </c:pt>
                <c:pt idx="64">
                  <c:v>44.61640071486395</c:v>
                </c:pt>
                <c:pt idx="65">
                  <c:v>43.355973317008591</c:v>
                </c:pt>
                <c:pt idx="66">
                  <c:v>42.097543068826731</c:v>
                </c:pt>
                <c:pt idx="67">
                  <c:v>40.483088538593741</c:v>
                </c:pt>
                <c:pt idx="68">
                  <c:v>38.513132998685116</c:v>
                </c:pt>
                <c:pt idx="69">
                  <c:v>35.909558024191014</c:v>
                </c:pt>
                <c:pt idx="70">
                  <c:v>32.673393174413782</c:v>
                </c:pt>
                <c:pt idx="71">
                  <c:v>29.443147262937476</c:v>
                </c:pt>
                <c:pt idx="72">
                  <c:v>26.218993303954388</c:v>
                </c:pt>
                <c:pt idx="73">
                  <c:v>23.001099713165619</c:v>
                </c:pt>
                <c:pt idx="74">
                  <c:v>19.789630313136097</c:v>
                </c:pt>
                <c:pt idx="75">
                  <c:v>16.584744340727646</c:v>
                </c:pt>
                <c:pt idx="76">
                  <c:v>13.386596456558632</c:v>
                </c:pt>
                <c:pt idx="77">
                  <c:v>10.195336756438998</c:v>
                </c:pt>
                <c:pt idx="78">
                  <c:v>7.0111107847276317</c:v>
                </c:pt>
                <c:pt idx="79">
                  <c:v>3.8340595495597887</c:v>
                </c:pt>
                <c:pt idx="80">
                  <c:v>0.66431953989123615</c:v>
                </c:pt>
                <c:pt idx="81">
                  <c:v>-1.7395135907091173</c:v>
                </c:pt>
                <c:pt idx="82">
                  <c:v>-3.3790698714453935</c:v>
                </c:pt>
                <c:pt idx="83">
                  <c:v>-5.0147144266255115</c:v>
                </c:pt>
                <c:pt idx="84">
                  <c:v>-6.6464233742007375</c:v>
                </c:pt>
                <c:pt idx="85">
                  <c:v>-8.2741739784271182</c:v>
                </c:pt>
                <c:pt idx="86">
                  <c:v>-9.8979446401024749</c:v>
                </c:pt>
                <c:pt idx="87">
                  <c:v>-11.517714886663864</c:v>
                </c:pt>
                <c:pt idx="88">
                  <c:v>-13.133465362152888</c:v>
                </c:pt>
                <c:pt idx="89">
                  <c:v>-14.505461266723719</c:v>
                </c:pt>
                <c:pt idx="90">
                  <c:v>-15.634292242017334</c:v>
                </c:pt>
                <c:pt idx="91">
                  <c:v>-16.760309198329836</c:v>
                </c:pt>
                <c:pt idx="92">
                  <c:v>-17.883509729265235</c:v>
                </c:pt>
                <c:pt idx="93">
                  <c:v>-18.94394795362529</c:v>
                </c:pt>
                <c:pt idx="94">
                  <c:v>-19.941778465874236</c:v>
                </c:pt>
                <c:pt idx="95">
                  <c:v>-20.937107661548801</c:v>
                </c:pt>
                <c:pt idx="96">
                  <c:v>-21.929936905234918</c:v>
                </c:pt>
                <c:pt idx="97">
                  <c:v>-22.680454602431571</c:v>
                </c:pt>
                <c:pt idx="98">
                  <c:v>-23.189301116481744</c:v>
                </c:pt>
                <c:pt idx="99">
                  <c:v>-23.696946894720977</c:v>
                </c:pt>
                <c:pt idx="100">
                  <c:v>-24.203396812211398</c:v>
                </c:pt>
                <c:pt idx="101">
                  <c:v>-24.708655813174584</c:v>
                </c:pt>
                <c:pt idx="102">
                  <c:v>-25.212728909974146</c:v>
                </c:pt>
                <c:pt idx="103">
                  <c:v>-25.715621182107736</c:v>
                </c:pt>
                <c:pt idx="104">
                  <c:v>-26.217337775208431</c:v>
                </c:pt>
                <c:pt idx="105">
                  <c:v>-26.71788390005581</c:v>
                </c:pt>
                <c:pt idx="106">
                  <c:v>-27.217264831596324</c:v>
                </c:pt>
                <c:pt idx="107">
                  <c:v>-27.715485907973566</c:v>
                </c:pt>
                <c:pt idx="108">
                  <c:v>-28.212552529567919</c:v>
                </c:pt>
                <c:pt idx="109">
                  <c:v>-28.408654983331946</c:v>
                </c:pt>
                <c:pt idx="110">
                  <c:v>-28.304616036660818</c:v>
                </c:pt>
                <c:pt idx="111">
                  <c:v>-28.201067049291581</c:v>
                </c:pt>
                <c:pt idx="112">
                  <c:v>-28.098004946692896</c:v>
                </c:pt>
                <c:pt idx="113">
                  <c:v>-27.995426678610382</c:v>
                </c:pt>
                <c:pt idx="114">
                  <c:v>-27.89332921883625</c:v>
                </c:pt>
                <c:pt idx="115">
                  <c:v>-27.7917095649812</c:v>
                </c:pt>
                <c:pt idx="116">
                  <c:v>-27.690564738249073</c:v>
                </c:pt>
                <c:pt idx="117">
                  <c:v>-27.589891783213861</c:v>
                </c:pt>
                <c:pt idx="118">
                  <c:v>-27.489687767599307</c:v>
                </c:pt>
                <c:pt idx="119">
                  <c:v>-27.389949782060718</c:v>
                </c:pt>
                <c:pt idx="120">
                  <c:v>-27.29067493996941</c:v>
                </c:pt>
                <c:pt idx="121">
                  <c:v>-27.19186037719945</c:v>
                </c:pt>
                <c:pt idx="122">
                  <c:v>-27.093503251916584</c:v>
                </c:pt>
                <c:pt idx="123">
                  <c:v>-26.995600744369717</c:v>
                </c:pt>
                <c:pt idx="124">
                  <c:v>-26.898150056684553</c:v>
                </c:pt>
                <c:pt idx="125">
                  <c:v>-26.80114841265943</c:v>
                </c:pt>
                <c:pt idx="126">
                  <c:v>-26.704593057563471</c:v>
                </c:pt>
                <c:pt idx="127">
                  <c:v>-26.60848125793693</c:v>
                </c:pt>
                <c:pt idx="128">
                  <c:v>-26.512810301393646</c:v>
                </c:pt>
                <c:pt idx="129">
                  <c:v>-26.417577496425753</c:v>
                </c:pt>
                <c:pt idx="130">
                  <c:v>-26.322780172210301</c:v>
                </c:pt>
                <c:pt idx="131">
                  <c:v>-26.228415678418173</c:v>
                </c:pt>
                <c:pt idx="132">
                  <c:v>-26.13448138502504</c:v>
                </c:pt>
                <c:pt idx="133">
                  <c:v>-26.040974682124158</c:v>
                </c:pt>
                <c:pt idx="134">
                  <c:v>-25.947892979741468</c:v>
                </c:pt>
                <c:pt idx="135">
                  <c:v>-25.855233707652413</c:v>
                </c:pt>
                <c:pt idx="136">
                  <c:v>-25.76299431520097</c:v>
                </c:pt>
                <c:pt idx="137">
                  <c:v>-25.671172271120415</c:v>
                </c:pt>
                <c:pt idx="138">
                  <c:v>-25.579765063356067</c:v>
                </c:pt>
                <c:pt idx="139">
                  <c:v>-25.488770198890013</c:v>
                </c:pt>
                <c:pt idx="140">
                  <c:v>-25.398185203567582</c:v>
                </c:pt>
                <c:pt idx="141">
                  <c:v>-25.30800762192575</c:v>
                </c:pt>
                <c:pt idx="142">
                  <c:v>-25.218235017023318</c:v>
                </c:pt>
                <c:pt idx="143">
                  <c:v>-25.1288649702729</c:v>
                </c:pt>
                <c:pt idx="144">
                  <c:v>-25.039895081274729</c:v>
                </c:pt>
                <c:pt idx="145">
                  <c:v>-24.951322967652189</c:v>
                </c:pt>
                <c:pt idx="146">
                  <c:v>-24.863146264889068</c:v>
                </c:pt>
                <c:pt idx="147">
                  <c:v>-24.775362626168555</c:v>
                </c:pt>
                <c:pt idx="148">
                  <c:v>-24.687969722213964</c:v>
                </c:pt>
                <c:pt idx="149">
                  <c:v>-24.600965241131036</c:v>
                </c:pt>
                <c:pt idx="150">
                  <c:v>-24.514346888252025</c:v>
                </c:pt>
                <c:pt idx="151">
                  <c:v>-24.428112385981294</c:v>
                </c:pt>
                <c:pt idx="152">
                  <c:v>-24.342259473642599</c:v>
                </c:pt>
                <c:pt idx="153">
                  <c:v>-24.256785907327995</c:v>
                </c:pt>
                <c:pt idx="154">
                  <c:v>-24.171689459748219</c:v>
                </c:pt>
                <c:pt idx="155">
                  <c:v>-24.086967920084732</c:v>
                </c:pt>
                <c:pt idx="156">
                  <c:v>-24.002619093843215</c:v>
                </c:pt>
                <c:pt idx="157">
                  <c:v>-23.918640802708712</c:v>
                </c:pt>
                <c:pt idx="158">
                  <c:v>-23.835030884402105</c:v>
                </c:pt>
                <c:pt idx="159">
                  <c:v>-23.75178719253821</c:v>
                </c:pt>
                <c:pt idx="160">
                  <c:v>-23.668907596485337</c:v>
                </c:pt>
                <c:pt idx="161">
                  <c:v>-23.586389981226173</c:v>
                </c:pt>
                <c:pt idx="162">
                  <c:v>-23.504232247220241</c:v>
                </c:pt>
                <c:pt idx="163">
                  <c:v>-23.422432310267727</c:v>
                </c:pt>
                <c:pt idx="164">
                  <c:v>-23.340988101374666</c:v>
                </c:pt>
                <c:pt idx="165">
                  <c:v>-23.259897566619589</c:v>
                </c:pt>
                <c:pt idx="166">
                  <c:v>-23.179158667021447</c:v>
                </c:pt>
                <c:pt idx="167">
                  <c:v>-23.098769378408974</c:v>
                </c:pt>
                <c:pt idx="168">
                  <c:v>-23.018727691291325</c:v>
                </c:pt>
                <c:pt idx="169">
                  <c:v>-22.939031610730044</c:v>
                </c:pt>
                <c:pt idx="170">
                  <c:v>-22.859679156212412</c:v>
                </c:pt>
                <c:pt idx="171">
                  <c:v>-22.780668361525887</c:v>
                </c:pt>
                <c:pt idx="172">
                  <c:v>-22.70199727463412</c:v>
                </c:pt>
                <c:pt idx="173">
                  <c:v>-22.623663957553898</c:v>
                </c:pt>
                <c:pt idx="174">
                  <c:v>-22.545666486233642</c:v>
                </c:pt>
                <c:pt idx="175">
                  <c:v>-22.468002950432844</c:v>
                </c:pt>
                <c:pt idx="176">
                  <c:v>-22.390671453602984</c:v>
                </c:pt>
                <c:pt idx="177">
                  <c:v>-22.313670112769469</c:v>
                </c:pt>
                <c:pt idx="178">
                  <c:v>-22.236997058414829</c:v>
                </c:pt>
                <c:pt idx="179">
                  <c:v>-22.16065043436307</c:v>
                </c:pt>
                <c:pt idx="180">
                  <c:v>-22.084628397665224</c:v>
                </c:pt>
                <c:pt idx="181">
                  <c:v>-22.008929118486019</c:v>
                </c:pt>
                <c:pt idx="182">
                  <c:v>-21.933550779991659</c:v>
                </c:pt>
                <c:pt idx="183">
                  <c:v>-21.858491578238738</c:v>
                </c:pt>
                <c:pt idx="184">
                  <c:v>-21.783749722064336</c:v>
                </c:pt>
                <c:pt idx="185">
                  <c:v>-21.709323432977097</c:v>
                </c:pt>
                <c:pt idx="186">
                  <c:v>-21.635210945049476</c:v>
                </c:pt>
                <c:pt idx="187">
                  <c:v>-21.561410504811015</c:v>
                </c:pt>
                <c:pt idx="188">
                  <c:v>-21.487920371142661</c:v>
                </c:pt>
                <c:pt idx="189">
                  <c:v>-21.414738815172239</c:v>
                </c:pt>
                <c:pt idx="190">
                  <c:v>-21.341864120170751</c:v>
                </c:pt>
                <c:pt idx="191">
                  <c:v>-21.26929458144998</c:v>
                </c:pt>
                <c:pt idx="192">
                  <c:v>-21.19702850626085</c:v>
                </c:pt>
                <c:pt idx="193">
                  <c:v>-21.125064213692873</c:v>
                </c:pt>
                <c:pt idx="194">
                  <c:v>-21.053400034574736</c:v>
                </c:pt>
                <c:pt idx="195">
                  <c:v>-20.982034311375553</c:v>
                </c:pt>
                <c:pt idx="196">
                  <c:v>-20.910965398107425</c:v>
                </c:pt>
                <c:pt idx="197">
                  <c:v>-20.840191660228694</c:v>
                </c:pt>
                <c:pt idx="198">
                  <c:v>-20.769711474548284</c:v>
                </c:pt>
                <c:pt idx="199">
                  <c:v>-20.6995232291309</c:v>
                </c:pt>
                <c:pt idx="200">
                  <c:v>-20.629625323203257</c:v>
                </c:pt>
                <c:pt idx="201">
                  <c:v>-20.560016167061097</c:v>
                </c:pt>
                <c:pt idx="202">
                  <c:v>-19.872905852781404</c:v>
                </c:pt>
                <c:pt idx="203">
                  <c:v>-19.213631892698469</c:v>
                </c:pt>
                <c:pt idx="204">
                  <c:v>-18.580717219383036</c:v>
                </c:pt>
                <c:pt idx="205">
                  <c:v>-17.972782641929147</c:v>
                </c:pt>
                <c:pt idx="206">
                  <c:v>-17.38853912982654</c:v>
                </c:pt>
                <c:pt idx="207">
                  <c:v>-16.826780800275703</c:v>
                </c:pt>
                <c:pt idx="208">
                  <c:v>-16.286378536374745</c:v>
                </c:pt>
                <c:pt idx="209">
                  <c:v>-15.766274171943676</c:v>
                </c:pt>
                <c:pt idx="210">
                  <c:v>-15.265475186035298</c:v>
                </c:pt>
                <c:pt idx="211">
                  <c:v>-14.783049856557238</c:v>
                </c:pt>
                <c:pt idx="212">
                  <c:v>-14.318122828020451</c:v>
                </c:pt>
                <c:pt idx="213">
                  <c:v>-13.86987105334018</c:v>
                </c:pt>
                <c:pt idx="214">
                  <c:v>-13.437520073936657</c:v>
                </c:pt>
                <c:pt idx="215">
                  <c:v>-13.020340606191262</c:v>
                </c:pt>
                <c:pt idx="216">
                  <c:v>-12.617645405676035</c:v>
                </c:pt>
                <c:pt idx="217">
                  <c:v>-12.22878638354705</c:v>
                </c:pt>
                <c:pt idx="218">
                  <c:v>-11.85315195212473</c:v>
                </c:pt>
                <c:pt idx="219">
                  <c:v>-11.490164579018483</c:v>
                </c:pt>
                <c:pt idx="220">
                  <c:v>-11.1392785312268</c:v>
                </c:pt>
                <c:pt idx="221">
                  <c:v>-10.799977792487816</c:v>
                </c:pt>
                <c:pt idx="222">
                  <c:v>-10.471774138797873</c:v>
                </c:pt>
                <c:pt idx="223">
                  <c:v>-10.154205358480604</c:v>
                </c:pt>
                <c:pt idx="224">
                  <c:v>-9.8468336044968741</c:v>
                </c:pt>
                <c:pt idx="225">
                  <c:v>-9.5492438678559619</c:v>
                </c:pt>
                <c:pt idx="226">
                  <c:v>-9.2610425620354562</c:v>
                </c:pt>
                <c:pt idx="227">
                  <c:v>-8.9818562092561223</c:v>
                </c:pt>
                <c:pt idx="228">
                  <c:v>-8.7113302203007326</c:v>
                </c:pt>
                <c:pt idx="229">
                  <c:v>-8.4491277603227317</c:v>
                </c:pt>
                <c:pt idx="230">
                  <c:v>-8.194928693771935</c:v>
                </c:pt>
                <c:pt idx="231">
                  <c:v>-7.9484286021777564</c:v>
                </c:pt>
                <c:pt idx="232">
                  <c:v>-7.7093378690835204</c:v>
                </c:pt>
                <c:pt idx="233">
                  <c:v>-7.4773808269247057</c:v>
                </c:pt>
                <c:pt idx="234">
                  <c:v>-7.2522949610949619</c:v>
                </c:pt>
                <c:pt idx="235">
                  <c:v>-7.0338301668517014</c:v>
                </c:pt>
                <c:pt idx="236">
                  <c:v>-6.8217480550825353</c:v>
                </c:pt>
                <c:pt idx="237">
                  <c:v>-6.6158213032885627</c:v>
                </c:pt>
                <c:pt idx="238">
                  <c:v>-6.4158330484442159</c:v>
                </c:pt>
                <c:pt idx="239">
                  <c:v>-6.221576318669289</c:v>
                </c:pt>
                <c:pt idx="240">
                  <c:v>-6.0328535008993009</c:v>
                </c:pt>
                <c:pt idx="241">
                  <c:v>-5.8494758419685402</c:v>
                </c:pt>
                <c:pt idx="242">
                  <c:v>-5.6712629807277741</c:v>
                </c:pt>
                <c:pt idx="243">
                  <c:v>-5.4980425090078908</c:v>
                </c:pt>
                <c:pt idx="244">
                  <c:v>-5.3296495594133306</c:v>
                </c:pt>
                <c:pt idx="245">
                  <c:v>-5.1659264180869551</c:v>
                </c:pt>
                <c:pt idx="246">
                  <c:v>-5.0067221607318579</c:v>
                </c:pt>
                <c:pt idx="247">
                  <c:v>-4.8518923103074405</c:v>
                </c:pt>
                <c:pt idx="248">
                  <c:v>-4.7012985149376663</c:v>
                </c:pt>
                <c:pt idx="249">
                  <c:v>-4.5548082446796681</c:v>
                </c:pt>
                <c:pt idx="250">
                  <c:v>-4.4122945059023042</c:v>
                </c:pt>
                <c:pt idx="251">
                  <c:v>-4.2736355721169543</c:v>
                </c:pt>
                <c:pt idx="252">
                  <c:v>-4.1387147301882043</c:v>
                </c:pt>
                <c:pt idx="253">
                  <c:v>-4.0074200409303158</c:v>
                </c:pt>
                <c:pt idx="254">
                  <c:v>-3.8796441131674175</c:v>
                </c:pt>
                <c:pt idx="255">
                  <c:v>-3.7552838904016332</c:v>
                </c:pt>
                <c:pt idx="256">
                  <c:v>-3.6342404492943108</c:v>
                </c:pt>
                <c:pt idx="257">
                  <c:v>-3.5164188092217725</c:v>
                </c:pt>
                <c:pt idx="258">
                  <c:v>-3.4017277522187661</c:v>
                </c:pt>
                <c:pt idx="259">
                  <c:v>-3.2900796526706815</c:v>
                </c:pt>
                <c:pt idx="260">
                  <c:v>-3.1813903161596584</c:v>
                </c:pt>
                <c:pt idx="261">
                  <c:v>-3.0755788269105193</c:v>
                </c:pt>
                <c:pt idx="262">
                  <c:v>-2.9725674033201774</c:v>
                </c:pt>
                <c:pt idx="263">
                  <c:v>-2.8722812610889488</c:v>
                </c:pt>
                <c:pt idx="264">
                  <c:v>-2.7746484835045644</c:v>
                </c:pt>
                <c:pt idx="265">
                  <c:v>-2.6795998984594851</c:v>
                </c:pt>
                <c:pt idx="266">
                  <c:v>-2.5870689618098344</c:v>
                </c:pt>
                <c:pt idx="267">
                  <c:v>-2.4969916467099367</c:v>
                </c:pt>
                <c:pt idx="268">
                  <c:v>-2.4093063385802753</c:v>
                </c:pt>
                <c:pt idx="269">
                  <c:v>-2.3239537353887609</c:v>
                </c:pt>
                <c:pt idx="270">
                  <c:v>-2.2408767529457538</c:v>
                </c:pt>
                <c:pt idx="271">
                  <c:v>-2.1600204349323615</c:v>
                </c:pt>
                <c:pt idx="272">
                  <c:v>-2.0813318673992645</c:v>
                </c:pt>
                <c:pt idx="273">
                  <c:v>-2.0047600974897959</c:v>
                </c:pt>
                <c:pt idx="274">
                  <c:v>-1.9302560561564071</c:v>
                </c:pt>
                <c:pt idx="275">
                  <c:v>-1.857772484653895</c:v>
                </c:pt>
                <c:pt idx="276">
                  <c:v>-1.7872638646061001</c:v>
                </c:pt>
                <c:pt idx="277">
                  <c:v>-1.7186863514552047</c:v>
                </c:pt>
                <c:pt idx="278">
                  <c:v>-1.6519977111142874</c:v>
                </c:pt>
                <c:pt idx="279">
                  <c:v>-1.5871572596546293</c:v>
                </c:pt>
                <c:pt idx="280">
                  <c:v>-1.5241258058692735</c:v>
                </c:pt>
                <c:pt idx="281">
                  <c:v>-1.4628655965637569</c:v>
                </c:pt>
                <c:pt idx="282">
                  <c:v>-1.4033402644336925</c:v>
                </c:pt>
                <c:pt idx="283">
                  <c:v>-1.3455147783970374</c:v>
                </c:pt>
                <c:pt idx="284">
                  <c:v>-1.2893553962565223</c:v>
                </c:pt>
                <c:pt idx="285">
                  <c:v>-1.2348296195748312</c:v>
                </c:pt>
                <c:pt idx="286">
                  <c:v>-1.1819061506517772</c:v>
                </c:pt>
                <c:pt idx="287">
                  <c:v>-1.1305548514988659</c:v>
                </c:pt>
                <c:pt idx="288">
                  <c:v>-1.0807467047124715</c:v>
                </c:pt>
                <c:pt idx="289">
                  <c:v>-1.0324537761521397</c:v>
                </c:pt>
                <c:pt idx="290">
                  <c:v>-0.98564917933558971</c:v>
                </c:pt>
                <c:pt idx="291">
                  <c:v>-0.94030704146654642</c:v>
                </c:pt>
                <c:pt idx="292">
                  <c:v>-0.89640247101583836</c:v>
                </c:pt>
                <c:pt idx="293">
                  <c:v>-0.85391152678012683</c:v>
                </c:pt>
                <c:pt idx="294">
                  <c:v>-0.81281118834619914</c:v>
                </c:pt>
                <c:pt idx="295">
                  <c:v>-0.77307932789206757</c:v>
                </c:pt>
                <c:pt idx="296">
                  <c:v>-0.73469468325902854</c:v>
                </c:pt>
                <c:pt idx="297">
                  <c:v>-0.69763683223144268</c:v>
                </c:pt>
                <c:pt idx="298">
                  <c:v>-0.66188616796327926</c:v>
                </c:pt>
                <c:pt idx="299">
                  <c:v>-0.62742387549234935</c:v>
                </c:pt>
                <c:pt idx="300">
                  <c:v>-0.5942319092846845</c:v>
                </c:pt>
                <c:pt idx="301">
                  <c:v>-0.56229297175262916</c:v>
                </c:pt>
                <c:pt idx="302">
                  <c:v>-0.53159049269087011</c:v>
                </c:pt>
                <c:pt idx="303">
                  <c:v>-0.50210860957478953</c:v>
                </c:pt>
                <c:pt idx="304">
                  <c:v>-0.4738321486651228</c:v>
                </c:pt>
                <c:pt idx="305">
                  <c:v>-0.44674660686186263</c:v>
                </c:pt>
                <c:pt idx="306">
                  <c:v>-0.42083813424857902</c:v>
                </c:pt>
                <c:pt idx="307">
                  <c:v>-0.39609351726571485</c:v>
                </c:pt>
                <c:pt idx="308">
                  <c:v>-0.37250016244782774</c:v>
                </c:pt>
                <c:pt idx="309">
                  <c:v>-0.3500460806550546</c:v>
                </c:pt>
                <c:pt idx="310">
                  <c:v>-0.32871987172307854</c:v>
                </c:pt>
                <c:pt idx="311">
                  <c:v>-0.30851070944840808</c:v>
                </c:pt>
                <c:pt idx="312">
                  <c:v>-0.28940832681665912</c:v>
                </c:pt>
                <c:pt idx="313">
                  <c:v>-0.27140300137052359</c:v>
                </c:pt>
                <c:pt idx="314">
                  <c:v>-0.25448554060113487</c:v>
                </c:pt>
                <c:pt idx="315">
                  <c:v>-0.23864726723143609</c:v>
                </c:pt>
                <c:pt idx="316">
                  <c:v>-0.22388000424303622</c:v>
                </c:pt>
                <c:pt idx="317">
                  <c:v>-0.21017605947909679</c:v>
                </c:pt>
                <c:pt idx="318">
                  <c:v>-0.19752820963565026</c:v>
                </c:pt>
                <c:pt idx="319">
                  <c:v>-0.18592968343341779</c:v>
                </c:pt>
                <c:pt idx="320">
                  <c:v>-0.17537414374334695</c:v>
                </c:pt>
                <c:pt idx="321">
                  <c:v>-0.16585566842418073</c:v>
                </c:pt>
                <c:pt idx="322">
                  <c:v>-0.15736872962274276</c:v>
                </c:pt>
                <c:pt idx="323">
                  <c:v>-0.14990817129155726</c:v>
                </c:pt>
                <c:pt idx="324">
                  <c:v>-0.14346918469884987</c:v>
                </c:pt>
                <c:pt idx="325">
                  <c:v>-0.13804728174798708</c:v>
                </c:pt>
                <c:pt idx="326">
                  <c:v>-0.1336382659912396</c:v>
                </c:pt>
                <c:pt idx="327">
                  <c:v>-0.13023820131843908</c:v>
                </c:pt>
                <c:pt idx="328">
                  <c:v>-0.12784337842288387</c:v>
                </c:pt>
                <c:pt idx="329">
                  <c:v>-0.12645027928787772</c:v>
                </c:pt>
                <c:pt idx="330">
                  <c:v>-0.1260555400851541</c:v>
                </c:pt>
                <c:pt idx="331">
                  <c:v>-0.12665591301417234</c:v>
                </c:pt>
                <c:pt idx="332">
                  <c:v>-0.1282482277201076</c:v>
                </c:pt>
                <c:pt idx="333">
                  <c:v>-0.13082935299167439</c:v>
                </c:pt>
                <c:pt idx="334">
                  <c:v>-0.13439615944739944</c:v>
                </c:pt>
                <c:pt idx="335">
                  <c:v>-0.13894548386932842</c:v>
                </c:pt>
                <c:pt idx="336">
                  <c:v>-0.1444740957445583</c:v>
                </c:pt>
                <c:pt idx="337">
                  <c:v>-0.15097866644282262</c:v>
                </c:pt>
                <c:pt idx="338">
                  <c:v>-0.15845574131130166</c:v>
                </c:pt>
                <c:pt idx="339">
                  <c:v>-0.16690171482372945</c:v>
                </c:pt>
                <c:pt idx="340">
                  <c:v>-0.17631280879355671</c:v>
                </c:pt>
                <c:pt idx="341">
                  <c:v>-0.18668505355874412</c:v>
                </c:pt>
                <c:pt idx="342">
                  <c:v>-0.19801427197166585</c:v>
                </c:pt>
                <c:pt idx="343">
                  <c:v>-0.21029606598036379</c:v>
                </c:pt>
                <c:pt idx="344">
                  <c:v>-0.22352580556312335</c:v>
                </c:pt>
                <c:pt idx="345">
                  <c:v>-0.23769861977201553</c:v>
                </c:pt>
                <c:pt idx="346">
                  <c:v>-0.2528093896475393</c:v>
                </c:pt>
                <c:pt idx="347">
                  <c:v>-0.26885274278130927</c:v>
                </c:pt>
                <c:pt idx="348">
                  <c:v>-0.28582304932322938</c:v>
                </c:pt>
                <c:pt idx="349">
                  <c:v>-0.30371441925107934</c:v>
                </c:pt>
                <c:pt idx="350">
                  <c:v>-0.32252070074209088</c:v>
                </c:pt>
                <c:pt idx="351">
                  <c:v>-0.34223547950669458</c:v>
                </c:pt>
                <c:pt idx="352">
                  <c:v>-0.36285207896353555</c:v>
                </c:pt>
                <c:pt idx="353">
                  <c:v>-0.38436356115176618</c:v>
                </c:pt>
                <c:pt idx="354">
                  <c:v>-0.40676272829145216</c:v>
                </c:pt>
                <c:pt idx="355">
                  <c:v>-0.43004212491575106</c:v>
                </c:pt>
                <c:pt idx="356">
                  <c:v>-0.45419404050949336</c:v>
                </c:pt>
                <c:pt idx="357">
                  <c:v>-0.47921051259811276</c:v>
                </c:pt>
                <c:pt idx="358">
                  <c:v>-0.50508333023873386</c:v>
                </c:pt>
                <c:pt idx="359">
                  <c:v>-0.53180403787183317</c:v>
                </c:pt>
                <c:pt idx="360">
                  <c:v>-0.55936393949742702</c:v>
                </c:pt>
                <c:pt idx="361">
                  <c:v>-0.58775410314437671</c:v>
                </c:pt>
                <c:pt idx="362">
                  <c:v>-0.61696536560527193</c:v>
                </c:pt>
                <c:pt idx="363">
                  <c:v>-0.64698833741257533</c:v>
                </c:pt>
                <c:pt idx="364">
                  <c:v>-0.67781340803444046</c:v>
                </c:pt>
                <c:pt idx="365">
                  <c:v>-0.70943075127084421</c:v>
                </c:pt>
                <c:pt idx="366">
                  <c:v>-0.74183033083258498</c:v>
                </c:pt>
                <c:pt idx="367">
                  <c:v>-0.77500190608728059</c:v>
                </c:pt>
                <c:pt idx="368">
                  <c:v>-0.80893503795783495</c:v>
                </c:pt>
                <c:pt idx="369">
                  <c:v>-0.84361909495996001</c:v>
                </c:pt>
                <c:pt idx="370">
                  <c:v>-0.87904325936629701</c:v>
                </c:pt>
                <c:pt idx="371">
                  <c:v>-0.91519653348549079</c:v>
                </c:pt>
                <c:pt idx="372">
                  <c:v>-0.95206774604524913</c:v>
                </c:pt>
                <c:pt idx="373">
                  <c:v>-0.98964555866902126</c:v>
                </c:pt>
                <c:pt idx="374">
                  <c:v>-1.027918472436431</c:v>
                </c:pt>
                <c:pt idx="375">
                  <c:v>-1.0668748345180448</c:v>
                </c:pt>
                <c:pt idx="376">
                  <c:v>-1.106502844875449</c:v>
                </c:pt>
                <c:pt idx="377">
                  <c:v>-1.1467905630179422</c:v>
                </c:pt>
                <c:pt idx="378">
                  <c:v>-1.1877259148074586</c:v>
                </c:pt>
                <c:pt idx="379">
                  <c:v>-1.2292966993036276</c:v>
                </c:pt>
                <c:pt idx="380">
                  <c:v>-1.2714905956410885</c:v>
                </c:pt>
                <c:pt idx="381">
                  <c:v>-1.3142951699314611</c:v>
                </c:pt>
                <c:pt idx="382">
                  <c:v>-1.3576978821825401</c:v>
                </c:pt>
                <c:pt idx="383">
                  <c:v>-1.4016860932275166</c:v>
                </c:pt>
                <c:pt idx="384">
                  <c:v>-1.4462470716572018</c:v>
                </c:pt>
                <c:pt idx="385">
                  <c:v>-1.4913680007484251</c:v>
                </c:pt>
                <c:pt idx="386">
                  <c:v>-1.5370359853819529</c:v>
                </c:pt>
                <c:pt idx="387">
                  <c:v>-1.5832380589434425</c:v>
                </c:pt>
                <c:pt idx="388">
                  <c:v>-1.6299611902011319</c:v>
                </c:pt>
                <c:pt idx="389">
                  <c:v>-1.6771922901541163</c:v>
                </c:pt>
                <c:pt idx="390">
                  <c:v>-1.7249182188452494</c:v>
                </c:pt>
                <c:pt idx="391">
                  <c:v>-1.7731257921328569</c:v>
                </c:pt>
                <c:pt idx="392">
                  <c:v>-1.8218017884156308</c:v>
                </c:pt>
                <c:pt idx="393">
                  <c:v>-1.8709329553052338</c:v>
                </c:pt>
                <c:pt idx="394">
                  <c:v>-1.9205060162413194</c:v>
                </c:pt>
                <c:pt idx="395">
                  <c:v>-1.9705076770438172</c:v>
                </c:pt>
                <c:pt idx="396">
                  <c:v>-2.0209246323975529</c:v>
                </c:pt>
                <c:pt idx="397">
                  <c:v>-2.0717435722643849</c:v>
                </c:pt>
                <c:pt idx="398">
                  <c:v>-2.1229511882182601</c:v>
                </c:pt>
                <c:pt idx="399">
                  <c:v>-2.1745341796987332</c:v>
                </c:pt>
                <c:pt idx="400">
                  <c:v>-2.2264792601786896</c:v>
                </c:pt>
                <c:pt idx="401">
                  <c:v>-2.2787731632421759</c:v>
                </c:pt>
                <c:pt idx="402">
                  <c:v>-2.3314026485684245</c:v>
                </c:pt>
                <c:pt idx="403">
                  <c:v>-2.3843545078183319</c:v>
                </c:pt>
                <c:pt idx="404">
                  <c:v>-2.4376155704198217</c:v>
                </c:pt>
                <c:pt idx="405">
                  <c:v>-2.4911727092487306</c:v>
                </c:pt>
                <c:pt idx="406">
                  <c:v>-2.5450128462019941</c:v>
                </c:pt>
                <c:pt idx="407">
                  <c:v>-2.5991229576601111</c:v>
                </c:pt>
                <c:pt idx="408">
                  <c:v>-2.6534900798360508</c:v>
                </c:pt>
                <c:pt idx="409">
                  <c:v>-2.7081013140079118</c:v>
                </c:pt>
                <c:pt idx="410">
                  <c:v>-2.7629438316328669</c:v>
                </c:pt>
                <c:pt idx="411">
                  <c:v>-2.8180048793400494</c:v>
                </c:pt>
                <c:pt idx="412">
                  <c:v>-2.8732717838002695</c:v>
                </c:pt>
                <c:pt idx="413">
                  <c:v>-2.9287319564705738</c:v>
                </c:pt>
                <c:pt idx="414">
                  <c:v>-2.9843728982118574</c:v>
                </c:pt>
                <c:pt idx="415">
                  <c:v>-3.0401822037779249</c:v>
                </c:pt>
                <c:pt idx="416">
                  <c:v>-3.0961475661745124</c:v>
                </c:pt>
                <c:pt idx="417">
                  <c:v>-3.1522567808870252</c:v>
                </c:pt>
                <c:pt idx="418">
                  <c:v>-3.2084977499758343</c:v>
                </c:pt>
                <c:pt idx="419">
                  <c:v>-3.2648584860381984</c:v>
                </c:pt>
                <c:pt idx="420">
                  <c:v>-3.3213271160360094</c:v>
                </c:pt>
                <c:pt idx="421">
                  <c:v>-3.3778918849886939</c:v>
                </c:pt>
                <c:pt idx="422">
                  <c:v>-3.4345411595308244</c:v>
                </c:pt>
                <c:pt idx="423">
                  <c:v>-3.4912634313340916</c:v>
                </c:pt>
                <c:pt idx="424">
                  <c:v>-3.5480473203934162</c:v>
                </c:pt>
                <c:pt idx="425">
                  <c:v>-3.6048815781772112</c:v>
                </c:pt>
                <c:pt idx="426">
                  <c:v>-3.6617550906418677</c:v>
                </c:pt>
                <c:pt idx="427">
                  <c:v>-3.7186568811106806</c:v>
                </c:pt>
                <c:pt idx="428">
                  <c:v>-3.7755761130176273</c:v>
                </c:pt>
                <c:pt idx="429">
                  <c:v>-3.832502092516469</c:v>
                </c:pt>
                <c:pt idx="430">
                  <c:v>-3.8894242709558084</c:v>
                </c:pt>
                <c:pt idx="431">
                  <c:v>-3.9463322472208584</c:v>
                </c:pt>
                <c:pt idx="432">
                  <c:v>-4.0032157699427913</c:v>
                </c:pt>
                <c:pt idx="433">
                  <c:v>-4.0600647395766325</c:v>
                </c:pt>
                <c:pt idx="434">
                  <c:v>-4.1168692103488125</c:v>
                </c:pt>
                <c:pt idx="435">
                  <c:v>-4.1736193920755689</c:v>
                </c:pt>
                <c:pt idx="436">
                  <c:v>-4.2303056518534872</c:v>
                </c:pt>
                <c:pt idx="437">
                  <c:v>-4.2869185156235874</c:v>
                </c:pt>
                <c:pt idx="438">
                  <c:v>-4.3434486696104511</c:v>
                </c:pt>
                <c:pt idx="439">
                  <c:v>-4.399886961637951</c:v>
                </c:pt>
                <c:pt idx="440">
                  <c:v>-4.4562244023232589</c:v>
                </c:pt>
                <c:pt idx="441">
                  <c:v>-4.5124521661508759</c:v>
                </c:pt>
                <c:pt idx="442">
                  <c:v>-4.5685615924284875</c:v>
                </c:pt>
                <c:pt idx="443">
                  <c:v>-4.6245441861265713</c:v>
                </c:pt>
                <c:pt idx="444">
                  <c:v>-4.6803916186036671</c:v>
                </c:pt>
                <c:pt idx="445">
                  <c:v>-4.7360957282193574</c:v>
                </c:pt>
                <c:pt idx="446">
                  <c:v>-4.7916485208370583</c:v>
                </c:pt>
                <c:pt idx="447">
                  <c:v>-4.8470421702186988</c:v>
                </c:pt>
                <c:pt idx="448">
                  <c:v>-4.9022690183135298</c:v>
                </c:pt>
                <c:pt idx="449">
                  <c:v>-4.9573215754432693</c:v>
                </c:pt>
                <c:pt idx="450">
                  <c:v>-5.0121925203858577</c:v>
                </c:pt>
                <c:pt idx="451">
                  <c:v>-5.0668747003601302</c:v>
                </c:pt>
                <c:pt idx="452">
                  <c:v>-5.1213611309137903</c:v>
                </c:pt>
                <c:pt idx="453">
                  <c:v>-5.1756449957170094</c:v>
                </c:pt>
                <c:pt idx="454">
                  <c:v>-5.2297196462641065</c:v>
                </c:pt>
                <c:pt idx="455">
                  <c:v>-5.28357860148569</c:v>
                </c:pt>
                <c:pt idx="456">
                  <c:v>-5.3372155472737841</c:v>
                </c:pt>
                <c:pt idx="457">
                  <c:v>-5.3906243359223192</c:v>
                </c:pt>
                <c:pt idx="458">
                  <c:v>-5.4437989854855173</c:v>
                </c:pt>
                <c:pt idx="459">
                  <c:v>-5.4967336790566748</c:v>
                </c:pt>
                <c:pt idx="460">
                  <c:v>-5.5494227639697957</c:v>
                </c:pt>
                <c:pt idx="461">
                  <c:v>-5.6018607509265941</c:v>
                </c:pt>
                <c:pt idx="462">
                  <c:v>-5.6540423130513942</c:v>
                </c:pt>
                <c:pt idx="463">
                  <c:v>-5.7059622848763638</c:v>
                </c:pt>
                <c:pt idx="464">
                  <c:v>-5.7576156612596625</c:v>
                </c:pt>
                <c:pt idx="465">
                  <c:v>-5.80899759623889</c:v>
                </c:pt>
                <c:pt idx="466">
                  <c:v>-5.860103401822391</c:v>
                </c:pt>
                <c:pt idx="467">
                  <c:v>-5.9109285467208368</c:v>
                </c:pt>
                <c:pt idx="468">
                  <c:v>-5.9614686550215543</c:v>
                </c:pt>
                <c:pt idx="469">
                  <c:v>-6.0117195048080028</c:v>
                </c:pt>
                <c:pt idx="470">
                  <c:v>-6.0616770267268452</c:v>
                </c:pt>
                <c:pt idx="471">
                  <c:v>-6.1113373025049613</c:v>
                </c:pt>
                <c:pt idx="472">
                  <c:v>-6.1606965634188153</c:v>
                </c:pt>
                <c:pt idx="473">
                  <c:v>-6.2097511887184647</c:v>
                </c:pt>
                <c:pt idx="474">
                  <c:v>-6.2584977040085654</c:v>
                </c:pt>
                <c:pt idx="475">
                  <c:v>-6.3069327795886236</c:v>
                </c:pt>
                <c:pt idx="476">
                  <c:v>-6.3550532287547705</c:v>
                </c:pt>
                <c:pt idx="477">
                  <c:v>-6.4028560060652646</c:v>
                </c:pt>
                <c:pt idx="478">
                  <c:v>-6.4503382055718932</c:v>
                </c:pt>
                <c:pt idx="479">
                  <c:v>-6.4974970590194641</c:v>
                </c:pt>
                <c:pt idx="480">
                  <c:v>-6.5443299340154715</c:v>
                </c:pt>
                <c:pt idx="481">
                  <c:v>-6.5908343321720091</c:v>
                </c:pt>
                <c:pt idx="482">
                  <c:v>-6.6370078872219977</c:v>
                </c:pt>
                <c:pt idx="483">
                  <c:v>-6.6828483631116722</c:v>
                </c:pt>
                <c:pt idx="484">
                  <c:v>-6.7283536520713856</c:v>
                </c:pt>
                <c:pt idx="485">
                  <c:v>-6.7735217726665322</c:v>
                </c:pt>
                <c:pt idx="486">
                  <c:v>-6.8183508678305449</c:v>
                </c:pt>
                <c:pt idx="487">
                  <c:v>-6.8628392028817924</c:v>
                </c:pt>
                <c:pt idx="488">
                  <c:v>-6.9069851635261221</c:v>
                </c:pt>
                <c:pt idx="489">
                  <c:v>-6.9507872538468733</c:v>
                </c:pt>
                <c:pt idx="490">
                  <c:v>-6.994244094283987</c:v>
                </c:pt>
                <c:pt idx="491">
                  <c:v>-7.0373544196039468</c:v>
                </c:pt>
                <c:pt idx="492">
                  <c:v>-7.0801170768621065</c:v>
                </c:pt>
                <c:pt idx="493">
                  <c:v>-7.1225310233590253</c:v>
                </c:pt>
                <c:pt idx="494">
                  <c:v>-7.1645953245923142</c:v>
                </c:pt>
                <c:pt idx="495">
                  <c:v>-7.2063091522054856</c:v>
                </c:pt>
                <c:pt idx="496">
                  <c:v>-7.247671781935253</c:v>
                </c:pt>
                <c:pt idx="497">
                  <c:v>-7.2886825915586471</c:v>
                </c:pt>
                <c:pt idx="498">
                  <c:v>-7.3293410588413659</c:v>
                </c:pt>
                <c:pt idx="499">
                  <c:v>-7.3696467594885959</c:v>
                </c:pt>
                <c:pt idx="500">
                  <c:v>-7.4095993650995853</c:v>
                </c:pt>
                <c:pt idx="501">
                  <c:v>-7.4491986411272428</c:v>
                </c:pt>
                <c:pt idx="502">
                  <c:v>-7.4884444448438643</c:v>
                </c:pt>
                <c:pt idx="503">
                  <c:v>-7.527336723314149</c:v>
                </c:pt>
                <c:pt idx="504">
                  <c:v>-7.5658755113766523</c:v>
                </c:pt>
                <c:pt idx="505">
                  <c:v>-7.6040609296346018</c:v>
                </c:pt>
                <c:pt idx="506">
                  <c:v>-7.6418931824572356</c:v>
                </c:pt>
                <c:pt idx="507">
                  <c:v>-7.6793725559924706</c:v>
                </c:pt>
                <c:pt idx="508">
                  <c:v>-7.7164994161919767</c:v>
                </c:pt>
                <c:pt idx="509">
                  <c:v>-7.7532742068494223</c:v>
                </c:pt>
                <c:pt idx="510">
                  <c:v>-7.7896974476528227</c:v>
                </c:pt>
                <c:pt idx="511">
                  <c:v>-7.825769732251727</c:v>
                </c:pt>
                <c:pt idx="512">
                  <c:v>-7.8614917263400743</c:v>
                </c:pt>
                <c:pt idx="513">
                  <c:v>-7.8968641657554066</c:v>
                </c:pt>
                <c:pt idx="514">
                  <c:v>-7.9318878545951552</c:v>
                </c:pt>
                <c:pt idx="515">
                  <c:v>-7.9665636633506463</c:v>
                </c:pt>
                <c:pt idx="516">
                  <c:v>-8.0008925270594471</c:v>
                </c:pt>
                <c:pt idx="517">
                  <c:v>-8.0348754434766505</c:v>
                </c:pt>
                <c:pt idx="518">
                  <c:v>-8.0685134712656463</c:v>
                </c:pt>
                <c:pt idx="519">
                  <c:v>-8.1018077282088559</c:v>
                </c:pt>
                <c:pt idx="520">
                  <c:v>-8.1347593894390062</c:v>
                </c:pt>
                <c:pt idx="521">
                  <c:v>-8.1673696856913232</c:v>
                </c:pt>
                <c:pt idx="522">
                  <c:v>-8.199639901577056</c:v>
                </c:pt>
                <c:pt idx="523">
                  <c:v>-8.2315713738788023</c:v>
                </c:pt>
                <c:pt idx="524">
                  <c:v>-8.2631654898679425</c:v>
                </c:pt>
                <c:pt idx="525">
                  <c:v>-8.2944236856444693</c:v>
                </c:pt>
                <c:pt idx="526">
                  <c:v>-8.325347444499652</c:v>
                </c:pt>
                <c:pt idx="527">
                  <c:v>-8.3559382953016605</c:v>
                </c:pt>
                <c:pt idx="528">
                  <c:v>-8.3861978109045143</c:v>
                </c:pt>
                <c:pt idx="529">
                  <c:v>-8.4161276065805222</c:v>
                </c:pt>
                <c:pt idx="530">
                  <c:v>-8.4457293384764256</c:v>
                </c:pt>
                <c:pt idx="531">
                  <c:v>-8.4750047020934147</c:v>
                </c:pt>
                <c:pt idx="532">
                  <c:v>-8.5039554307911889</c:v>
                </c:pt>
                <c:pt idx="533">
                  <c:v>-8.5325832943161792</c:v>
                </c:pt>
                <c:pt idx="534">
                  <c:v>-8.5608900973540223</c:v>
                </c:pt>
                <c:pt idx="535">
                  <c:v>-8.5888776781063854</c:v>
                </c:pt>
                <c:pt idx="536">
                  <c:v>-8.6165479068922171</c:v>
                </c:pt>
                <c:pt idx="537">
                  <c:v>-8.643902684773451</c:v>
                </c:pt>
                <c:pt idx="538">
                  <c:v>-8.6709439422051986</c:v>
                </c:pt>
                <c:pt idx="539">
                  <c:v>-8.6976736377104178</c:v>
                </c:pt>
                <c:pt idx="540">
                  <c:v>-8.7240937565790819</c:v>
                </c:pt>
                <c:pt idx="541">
                  <c:v>-8.750206309591773</c:v>
                </c:pt>
                <c:pt idx="542">
                  <c:v>-8.7760133317677109</c:v>
                </c:pt>
                <c:pt idx="543">
                  <c:v>-8.8015168811370952</c:v>
                </c:pt>
                <c:pt idx="544">
                  <c:v>-8.8267190375377425</c:v>
                </c:pt>
                <c:pt idx="545">
                  <c:v>-8.8516219014358981</c:v>
                </c:pt>
                <c:pt idx="546">
                  <c:v>-8.8762275927710927</c:v>
                </c:pt>
                <c:pt idx="547">
                  <c:v>-8.9005382498250061</c:v>
                </c:pt>
                <c:pt idx="548">
                  <c:v>-8.924556028114127</c:v>
                </c:pt>
                <c:pt idx="549">
                  <c:v>-8.9482830993060762</c:v>
                </c:pt>
                <c:pt idx="550">
                  <c:v>-8.9717216501595285</c:v>
                </c:pt>
                <c:pt idx="551">
                  <c:v>-8.9948738814874378</c:v>
                </c:pt>
                <c:pt idx="552">
                  <c:v>-9.0177420071434753</c:v>
                </c:pt>
                <c:pt idx="553">
                  <c:v>-9.040328253031495</c:v>
                </c:pt>
                <c:pt idx="554">
                  <c:v>-9.0626348561377856</c:v>
                </c:pt>
                <c:pt idx="555">
                  <c:v>-9.0846640635859579</c:v>
                </c:pt>
                <c:pt idx="556">
                  <c:v>-9.1064181317142268</c:v>
                </c:pt>
                <c:pt idx="557">
                  <c:v>-9.127899325174857</c:v>
                </c:pt>
                <c:pt idx="558">
                  <c:v>-9.1491099160556111</c:v>
                </c:pt>
                <c:pt idx="559">
                  <c:v>-9.1700521830228858</c:v>
                </c:pt>
                <c:pt idx="560">
                  <c:v>-9.1907284104863418</c:v>
                </c:pt>
                <c:pt idx="561">
                  <c:v>-9.2111408877848095</c:v>
                </c:pt>
                <c:pt idx="562">
                  <c:v>-9.2312919083931444</c:v>
                </c:pt>
                <c:pt idx="563">
                  <c:v>-9.25118376914984</c:v>
                </c:pt>
                <c:pt idx="564">
                  <c:v>-9.2708187695051461</c:v>
                </c:pt>
                <c:pt idx="565">
                  <c:v>-9.2901992107893587</c:v>
                </c:pt>
                <c:pt idx="566">
                  <c:v>-9.309327395501084</c:v>
                </c:pt>
                <c:pt idx="567">
                  <c:v>-9.32820562661521</c:v>
                </c:pt>
                <c:pt idx="568">
                  <c:v>-9.34683620691019</c:v>
                </c:pt>
                <c:pt idx="569">
                  <c:v>-9.3652214383145758</c:v>
                </c:pt>
                <c:pt idx="570">
                  <c:v>-9.3833636212722986</c:v>
                </c:pt>
                <c:pt idx="571">
                  <c:v>-9.4012650541265685</c:v>
                </c:pt>
                <c:pt idx="572">
                  <c:v>-9.418928032522059</c:v>
                </c:pt>
                <c:pt idx="573">
                  <c:v>-9.4363548488250508</c:v>
                </c:pt>
                <c:pt idx="574">
                  <c:v>-9.4535477915613502</c:v>
                </c:pt>
                <c:pt idx="575">
                  <c:v>-9.4705091448715475</c:v>
                </c:pt>
                <c:pt idx="576">
                  <c:v>-9.4872411879835301</c:v>
                </c:pt>
                <c:pt idx="577">
                  <c:v>-9.5037461947017317</c:v>
                </c:pt>
                <c:pt idx="578">
                  <c:v>-9.5200264329130029</c:v>
                </c:pt>
                <c:pt idx="579">
                  <c:v>-9.5360841641087806</c:v>
                </c:pt>
                <c:pt idx="580">
                  <c:v>-9.551921642923153</c:v>
                </c:pt>
                <c:pt idx="581">
                  <c:v>-9.5675411166867192</c:v>
                </c:pt>
                <c:pt idx="582">
                  <c:v>-9.582944824995808</c:v>
                </c:pt>
                <c:pt idx="583">
                  <c:v>-9.5981349992968159</c:v>
                </c:pt>
                <c:pt idx="584">
                  <c:v>-9.6131138624854309</c:v>
                </c:pt>
                <c:pt idx="585">
                  <c:v>-9.6278836285203493</c:v>
                </c:pt>
                <c:pt idx="586">
                  <c:v>-9.6424465020513193</c:v>
                </c:pt>
                <c:pt idx="587">
                  <c:v>-9.6568046780611301</c:v>
                </c:pt>
                <c:pt idx="588">
                  <c:v>-9.6709603415213756</c:v>
                </c:pt>
                <c:pt idx="589">
                  <c:v>-9.6849156670615617</c:v>
                </c:pt>
                <c:pt idx="590">
                  <c:v>-9.6986728186514668</c:v>
                </c:pt>
                <c:pt idx="591">
                  <c:v>-9.7122339492963192</c:v>
                </c:pt>
                <c:pt idx="592">
                  <c:v>-9.7256012007446238</c:v>
                </c:pt>
                <c:pt idx="593">
                  <c:v>-9.7387767032083126</c:v>
                </c:pt>
                <c:pt idx="594">
                  <c:v>-9.7517625750949914</c:v>
                </c:pt>
                <c:pt idx="595">
                  <c:v>-9.7645609227519685</c:v>
                </c:pt>
                <c:pt idx="596">
                  <c:v>-9.7645735266179177</c:v>
                </c:pt>
                <c:pt idx="597">
                  <c:v>-9.7645861303012058</c:v>
                </c:pt>
                <c:pt idx="598">
                  <c:v>-9.7645987338018383</c:v>
                </c:pt>
                <c:pt idx="599">
                  <c:v>-9.7646113371198204</c:v>
                </c:pt>
                <c:pt idx="600">
                  <c:v>-9.7646239402551487</c:v>
                </c:pt>
                <c:pt idx="601">
                  <c:v>-9.7646365432078213</c:v>
                </c:pt>
                <c:pt idx="602">
                  <c:v>-9.7646491459778506</c:v>
                </c:pt>
                <c:pt idx="603">
                  <c:v>-9.7646617485652332</c:v>
                </c:pt>
                <c:pt idx="604">
                  <c:v>-9.7646743509699707</c:v>
                </c:pt>
                <c:pt idx="605">
                  <c:v>-9.7646869531920633</c:v>
                </c:pt>
                <c:pt idx="606">
                  <c:v>-9.7646995552315232</c:v>
                </c:pt>
                <c:pt idx="607">
                  <c:v>-9.7647121570883417</c:v>
                </c:pt>
                <c:pt idx="608">
                  <c:v>-9.7647247587625188</c:v>
                </c:pt>
                <c:pt idx="609">
                  <c:v>-9.7647373602540704</c:v>
                </c:pt>
                <c:pt idx="610">
                  <c:v>-9.7647499615629823</c:v>
                </c:pt>
                <c:pt idx="611">
                  <c:v>-9.764762562689274</c:v>
                </c:pt>
                <c:pt idx="612">
                  <c:v>-9.7647751636329296</c:v>
                </c:pt>
                <c:pt idx="613">
                  <c:v>-9.7647877643939651</c:v>
                </c:pt>
                <c:pt idx="614">
                  <c:v>-9.7648003649723698</c:v>
                </c:pt>
                <c:pt idx="615">
                  <c:v>-9.7648129653681544</c:v>
                </c:pt>
                <c:pt idx="616">
                  <c:v>-9.7648255655813241</c:v>
                </c:pt>
                <c:pt idx="617">
                  <c:v>-9.7648381656118772</c:v>
                </c:pt>
                <c:pt idx="618">
                  <c:v>-9.7648507654598085</c:v>
                </c:pt>
                <c:pt idx="619">
                  <c:v>-9.7648633651251302</c:v>
                </c:pt>
                <c:pt idx="620">
                  <c:v>-9.7648759646078371</c:v>
                </c:pt>
                <c:pt idx="621">
                  <c:v>-9.7648885639079399</c:v>
                </c:pt>
                <c:pt idx="622">
                  <c:v>-9.7649011630254332</c:v>
                </c:pt>
                <c:pt idx="623">
                  <c:v>-9.7649137619603152</c:v>
                </c:pt>
                <c:pt idx="624">
                  <c:v>-9.7649263607126002</c:v>
                </c:pt>
                <c:pt idx="625">
                  <c:v>-9.7649389592822828</c:v>
                </c:pt>
                <c:pt idx="626">
                  <c:v>-9.7649515576693684</c:v>
                </c:pt>
                <c:pt idx="627">
                  <c:v>-9.7649641558738551</c:v>
                </c:pt>
                <c:pt idx="628">
                  <c:v>-9.7649767538957466</c:v>
                </c:pt>
                <c:pt idx="629">
                  <c:v>-9.7649893517350428</c:v>
                </c:pt>
                <c:pt idx="630">
                  <c:v>-9.7650019493917473</c:v>
                </c:pt>
                <c:pt idx="631">
                  <c:v>-9.7650145468658689</c:v>
                </c:pt>
                <c:pt idx="632">
                  <c:v>-9.7650271441573935</c:v>
                </c:pt>
                <c:pt idx="633">
                  <c:v>-9.7650397412663441</c:v>
                </c:pt>
                <c:pt idx="634">
                  <c:v>-9.7650523381927083</c:v>
                </c:pt>
                <c:pt idx="635">
                  <c:v>-9.7650649349364915</c:v>
                </c:pt>
                <c:pt idx="636">
                  <c:v>-9.7650775314976972</c:v>
                </c:pt>
                <c:pt idx="637">
                  <c:v>-9.7650901278763182</c:v>
                </c:pt>
                <c:pt idx="638">
                  <c:v>-9.7651027240723707</c:v>
                </c:pt>
                <c:pt idx="639">
                  <c:v>-9.7651153200858527</c:v>
                </c:pt>
                <c:pt idx="640">
                  <c:v>-9.7651279159167661</c:v>
                </c:pt>
                <c:pt idx="641">
                  <c:v>-9.765140511565102</c:v>
                </c:pt>
                <c:pt idx="642">
                  <c:v>-9.7651531070308746</c:v>
                </c:pt>
                <c:pt idx="643">
                  <c:v>-9.7651657023140839</c:v>
                </c:pt>
                <c:pt idx="644">
                  <c:v>-9.7651782974147352</c:v>
                </c:pt>
                <c:pt idx="645">
                  <c:v>-9.7651908923328214</c:v>
                </c:pt>
                <c:pt idx="646">
                  <c:v>-9.7652034870683497</c:v>
                </c:pt>
                <c:pt idx="647">
                  <c:v>-9.7652160816213254</c:v>
                </c:pt>
                <c:pt idx="648">
                  <c:v>-9.7652286759917413</c:v>
                </c:pt>
                <c:pt idx="649">
                  <c:v>-9.7652412701796081</c:v>
                </c:pt>
                <c:pt idx="650">
                  <c:v>-9.7652538641849223</c:v>
                </c:pt>
                <c:pt idx="651">
                  <c:v>-9.7652664580076856</c:v>
                </c:pt>
                <c:pt idx="652">
                  <c:v>-9.7652790516479122</c:v>
                </c:pt>
                <c:pt idx="653">
                  <c:v>-9.7652916451055845</c:v>
                </c:pt>
                <c:pt idx="654">
                  <c:v>-9.7653042383807236</c:v>
                </c:pt>
                <c:pt idx="655">
                  <c:v>-9.765316831473319</c:v>
                </c:pt>
                <c:pt idx="656">
                  <c:v>-9.7653294243833759</c:v>
                </c:pt>
                <c:pt idx="657">
                  <c:v>-9.765342017110898</c:v>
                </c:pt>
                <c:pt idx="658">
                  <c:v>-9.7653546096558852</c:v>
                </c:pt>
                <c:pt idx="659">
                  <c:v>-9.7653672020183429</c:v>
                </c:pt>
                <c:pt idx="660">
                  <c:v>-9.7653797941982692</c:v>
                </c:pt>
                <c:pt idx="661">
                  <c:v>-9.7653923861956677</c:v>
                </c:pt>
                <c:pt idx="662">
                  <c:v>-9.7654049780105421</c:v>
                </c:pt>
                <c:pt idx="663">
                  <c:v>-9.7654175696428922</c:v>
                </c:pt>
                <c:pt idx="664">
                  <c:v>-9.7654301610927163</c:v>
                </c:pt>
                <c:pt idx="665">
                  <c:v>-9.7654427523600251</c:v>
                </c:pt>
                <c:pt idx="666">
                  <c:v>-9.7654553434448168</c:v>
                </c:pt>
                <c:pt idx="667">
                  <c:v>-9.7654679343470931</c:v>
                </c:pt>
                <c:pt idx="668">
                  <c:v>-9.7654805250668559</c:v>
                </c:pt>
                <c:pt idx="669">
                  <c:v>-9.7654931156041052</c:v>
                </c:pt>
                <c:pt idx="670">
                  <c:v>-9.7655057059588444</c:v>
                </c:pt>
                <c:pt idx="671">
                  <c:v>-9.7655182961310789</c:v>
                </c:pt>
                <c:pt idx="672">
                  <c:v>-9.765530886120807</c:v>
                </c:pt>
                <c:pt idx="673">
                  <c:v>-9.765543475928034</c:v>
                </c:pt>
                <c:pt idx="674">
                  <c:v>-9.765556065552758</c:v>
                </c:pt>
                <c:pt idx="675">
                  <c:v>-9.7655686549949809</c:v>
                </c:pt>
                <c:pt idx="676">
                  <c:v>-9.7655812442547134</c:v>
                </c:pt>
                <c:pt idx="677">
                  <c:v>-9.7655938333319394</c:v>
                </c:pt>
                <c:pt idx="678">
                  <c:v>-9.7656064222266803</c:v>
                </c:pt>
                <c:pt idx="679">
                  <c:v>-9.7656190109389325</c:v>
                </c:pt>
                <c:pt idx="680">
                  <c:v>-9.7656315994686942</c:v>
                </c:pt>
                <c:pt idx="681">
                  <c:v>-9.7656441878159654</c:v>
                </c:pt>
                <c:pt idx="682">
                  <c:v>-9.7656567759807551</c:v>
                </c:pt>
                <c:pt idx="683">
                  <c:v>-9.7656693639630578</c:v>
                </c:pt>
                <c:pt idx="684">
                  <c:v>-9.7656819517628843</c:v>
                </c:pt>
                <c:pt idx="685">
                  <c:v>-9.765694539380231</c:v>
                </c:pt>
                <c:pt idx="686">
                  <c:v>-9.7657071268150997</c:v>
                </c:pt>
                <c:pt idx="687">
                  <c:v>-9.7657197140674956</c:v>
                </c:pt>
                <c:pt idx="688">
                  <c:v>-9.7657323011374171</c:v>
                </c:pt>
                <c:pt idx="689">
                  <c:v>-9.7657448880248694</c:v>
                </c:pt>
                <c:pt idx="690">
                  <c:v>-9.7657574747298508</c:v>
                </c:pt>
                <c:pt idx="691">
                  <c:v>-9.7657700612523684</c:v>
                </c:pt>
                <c:pt idx="692">
                  <c:v>-9.7657826475924203</c:v>
                </c:pt>
                <c:pt idx="693">
                  <c:v>-9.7657952337500138</c:v>
                </c:pt>
                <c:pt idx="694">
                  <c:v>-9.7658078197251399</c:v>
                </c:pt>
                <c:pt idx="695">
                  <c:v>-9.7658204055178146</c:v>
                </c:pt>
                <c:pt idx="696">
                  <c:v>-9.7658329911280308</c:v>
                </c:pt>
                <c:pt idx="697">
                  <c:v>-9.7658455765557921</c:v>
                </c:pt>
                <c:pt idx="698">
                  <c:v>-9.7658581618011002</c:v>
                </c:pt>
                <c:pt idx="699">
                  <c:v>-9.7658707468639587</c:v>
                </c:pt>
                <c:pt idx="700">
                  <c:v>-9.7658833317443712</c:v>
                </c:pt>
                <c:pt idx="701">
                  <c:v>-9.7658959164423358</c:v>
                </c:pt>
                <c:pt idx="702">
                  <c:v>-9.7659085009578579</c:v>
                </c:pt>
                <c:pt idx="703">
                  <c:v>-9.7659210852909393</c:v>
                </c:pt>
                <c:pt idx="704">
                  <c:v>-9.7659336694415746</c:v>
                </c:pt>
                <c:pt idx="705">
                  <c:v>-9.7659462534097834</c:v>
                </c:pt>
                <c:pt idx="706">
                  <c:v>-9.7659588371955444</c:v>
                </c:pt>
                <c:pt idx="707">
                  <c:v>-9.7659714207988788</c:v>
                </c:pt>
                <c:pt idx="708">
                  <c:v>-9.7659840042197761</c:v>
                </c:pt>
                <c:pt idx="709">
                  <c:v>-9.7659965874582504</c:v>
                </c:pt>
                <c:pt idx="710">
                  <c:v>-9.7660091705142928</c:v>
                </c:pt>
                <c:pt idx="711">
                  <c:v>-9.7660217533879088</c:v>
                </c:pt>
                <c:pt idx="712">
                  <c:v>-9.7660343360791035</c:v>
                </c:pt>
                <c:pt idx="713">
                  <c:v>-9.7660469185878753</c:v>
                </c:pt>
                <c:pt idx="714">
                  <c:v>-9.7660595009142277</c:v>
                </c:pt>
                <c:pt idx="715">
                  <c:v>-9.7660720830581642</c:v>
                </c:pt>
                <c:pt idx="716">
                  <c:v>-9.7660846650196795</c:v>
                </c:pt>
                <c:pt idx="717">
                  <c:v>-9.7660972467987861</c:v>
                </c:pt>
                <c:pt idx="718">
                  <c:v>-9.7661098283954839</c:v>
                </c:pt>
                <c:pt idx="719">
                  <c:v>-9.7661224098097694</c:v>
                </c:pt>
                <c:pt idx="720">
                  <c:v>-9.766134991041648</c:v>
                </c:pt>
                <c:pt idx="721">
                  <c:v>-9.7661475720911195</c:v>
                </c:pt>
                <c:pt idx="722">
                  <c:v>-9.7661601529581894</c:v>
                </c:pt>
                <c:pt idx="723">
                  <c:v>-9.7661727336428594</c:v>
                </c:pt>
                <c:pt idx="724">
                  <c:v>-9.7661853141451314</c:v>
                </c:pt>
                <c:pt idx="725">
                  <c:v>-9.7661978944650052</c:v>
                </c:pt>
                <c:pt idx="726">
                  <c:v>-9.7662104746024845</c:v>
                </c:pt>
                <c:pt idx="727">
                  <c:v>-9.7662230545575692</c:v>
                </c:pt>
                <c:pt idx="728">
                  <c:v>-9.7662356343302612</c:v>
                </c:pt>
                <c:pt idx="729">
                  <c:v>-9.7662482139205729</c:v>
                </c:pt>
                <c:pt idx="730">
                  <c:v>-9.76626079332849</c:v>
                </c:pt>
                <c:pt idx="731">
                  <c:v>-9.7662733725540214</c:v>
                </c:pt>
                <c:pt idx="732">
                  <c:v>-9.7662859515971761</c:v>
                </c:pt>
                <c:pt idx="733">
                  <c:v>-9.7662985304579433</c:v>
                </c:pt>
                <c:pt idx="734">
                  <c:v>-9.7663111091363355</c:v>
                </c:pt>
                <c:pt idx="735">
                  <c:v>-9.7663236876323527</c:v>
                </c:pt>
                <c:pt idx="736">
                  <c:v>-9.7663362659459914</c:v>
                </c:pt>
                <c:pt idx="737">
                  <c:v>-9.7663488440772603</c:v>
                </c:pt>
                <c:pt idx="738">
                  <c:v>-9.7663614220261579</c:v>
                </c:pt>
                <c:pt idx="739">
                  <c:v>-9.7663739997926893</c:v>
                </c:pt>
                <c:pt idx="740">
                  <c:v>-9.766386577376851</c:v>
                </c:pt>
                <c:pt idx="741">
                  <c:v>-9.7663991547786502</c:v>
                </c:pt>
                <c:pt idx="742">
                  <c:v>-9.7664117319980868</c:v>
                </c:pt>
                <c:pt idx="743">
                  <c:v>-9.7664243090351643</c:v>
                </c:pt>
                <c:pt idx="744">
                  <c:v>-9.7664368858898829</c:v>
                </c:pt>
                <c:pt idx="745">
                  <c:v>-9.7664494625622442</c:v>
                </c:pt>
                <c:pt idx="746">
                  <c:v>-9.7664620390522519</c:v>
                </c:pt>
                <c:pt idx="747">
                  <c:v>-9.7664746153599094</c:v>
                </c:pt>
                <c:pt idx="748">
                  <c:v>-9.7664871914852132</c:v>
                </c:pt>
                <c:pt idx="749">
                  <c:v>-9.7664997674281704</c:v>
                </c:pt>
                <c:pt idx="750">
                  <c:v>-9.7665123431887846</c:v>
                </c:pt>
                <c:pt idx="751">
                  <c:v>-9.7665249187670522</c:v>
                </c:pt>
                <c:pt idx="752">
                  <c:v>-9.7665374941629732</c:v>
                </c:pt>
                <c:pt idx="753">
                  <c:v>-9.7665500693765672</c:v>
                </c:pt>
                <c:pt idx="754">
                  <c:v>-9.7665626444078093</c:v>
                </c:pt>
                <c:pt idx="755">
                  <c:v>-9.766575219256719</c:v>
                </c:pt>
                <c:pt idx="756">
                  <c:v>-9.7665877939233017</c:v>
                </c:pt>
                <c:pt idx="757">
                  <c:v>-9.7666003684075484</c:v>
                </c:pt>
                <c:pt idx="758">
                  <c:v>-9.7666129427094663</c:v>
                </c:pt>
                <c:pt idx="759">
                  <c:v>-9.766625516829059</c:v>
                </c:pt>
                <c:pt idx="760">
                  <c:v>-9.7666380907663193</c:v>
                </c:pt>
                <c:pt idx="761">
                  <c:v>-9.7666506645212614</c:v>
                </c:pt>
                <c:pt idx="762">
                  <c:v>-9.7666632380938783</c:v>
                </c:pt>
                <c:pt idx="763">
                  <c:v>-9.7666758114841823</c:v>
                </c:pt>
                <c:pt idx="764">
                  <c:v>-9.7666883846921611</c:v>
                </c:pt>
                <c:pt idx="765">
                  <c:v>-9.7667009577178305</c:v>
                </c:pt>
                <c:pt idx="766">
                  <c:v>-9.7667135305611872</c:v>
                </c:pt>
                <c:pt idx="767">
                  <c:v>-9.7667261032222275</c:v>
                </c:pt>
                <c:pt idx="768">
                  <c:v>-9.7667386757009567</c:v>
                </c:pt>
                <c:pt idx="769">
                  <c:v>-9.7667512479973837</c:v>
                </c:pt>
                <c:pt idx="770">
                  <c:v>-9.7667638201115068</c:v>
                </c:pt>
                <c:pt idx="771">
                  <c:v>-9.7667763920433277</c:v>
                </c:pt>
                <c:pt idx="772">
                  <c:v>-9.7667889637928429</c:v>
                </c:pt>
                <c:pt idx="773">
                  <c:v>-9.7668015353600595</c:v>
                </c:pt>
                <c:pt idx="774">
                  <c:v>-9.766814106744981</c:v>
                </c:pt>
                <c:pt idx="775">
                  <c:v>-9.7668266779476092</c:v>
                </c:pt>
                <c:pt idx="776">
                  <c:v>-9.7668392489679405</c:v>
                </c:pt>
                <c:pt idx="777">
                  <c:v>-9.7668518198059804</c:v>
                </c:pt>
                <c:pt idx="778">
                  <c:v>-9.7668643904617323</c:v>
                </c:pt>
                <c:pt idx="779">
                  <c:v>-9.7668769609352015</c:v>
                </c:pt>
                <c:pt idx="780">
                  <c:v>-9.7668895312263828</c:v>
                </c:pt>
                <c:pt idx="781">
                  <c:v>-9.7669021013352815</c:v>
                </c:pt>
                <c:pt idx="782">
                  <c:v>-9.7669146712618993</c:v>
                </c:pt>
                <c:pt idx="783">
                  <c:v>-9.7669272410062362</c:v>
                </c:pt>
                <c:pt idx="784">
                  <c:v>-9.7669398105683012</c:v>
                </c:pt>
                <c:pt idx="785">
                  <c:v>-9.7669523799480888</c:v>
                </c:pt>
                <c:pt idx="786">
                  <c:v>-9.7669649491456028</c:v>
                </c:pt>
                <c:pt idx="787">
                  <c:v>-9.7669775181608518</c:v>
                </c:pt>
                <c:pt idx="788">
                  <c:v>-9.7669900869938253</c:v>
                </c:pt>
                <c:pt idx="789">
                  <c:v>-9.7670026556445357</c:v>
                </c:pt>
                <c:pt idx="790">
                  <c:v>-9.7670152241129848</c:v>
                </c:pt>
                <c:pt idx="791">
                  <c:v>-9.7670277923991673</c:v>
                </c:pt>
                <c:pt idx="792">
                  <c:v>-9.7670403605030938</c:v>
                </c:pt>
                <c:pt idx="793">
                  <c:v>-9.7670529284247571</c:v>
                </c:pt>
                <c:pt idx="794">
                  <c:v>-9.7670654961641663</c:v>
                </c:pt>
                <c:pt idx="795">
                  <c:v>-9.7670780637213213</c:v>
                </c:pt>
                <c:pt idx="796">
                  <c:v>-9.7670906310962256</c:v>
                </c:pt>
                <c:pt idx="797">
                  <c:v>-9.7671031982888792</c:v>
                </c:pt>
                <c:pt idx="798">
                  <c:v>-9.7671157652992822</c:v>
                </c:pt>
                <c:pt idx="799">
                  <c:v>-9.7671283321274451</c:v>
                </c:pt>
                <c:pt idx="800">
                  <c:v>-9.7671408987733574</c:v>
                </c:pt>
                <c:pt idx="801">
                  <c:v>-9.767153465237028</c:v>
                </c:pt>
                <c:pt idx="802">
                  <c:v>-9.7671660315184639</c:v>
                </c:pt>
                <c:pt idx="803">
                  <c:v>-9.7671785976176562</c:v>
                </c:pt>
                <c:pt idx="804">
                  <c:v>-9.7671911635346191</c:v>
                </c:pt>
                <c:pt idx="805">
                  <c:v>-9.7672037292693492</c:v>
                </c:pt>
                <c:pt idx="806">
                  <c:v>-9.7672162948218393</c:v>
                </c:pt>
                <c:pt idx="807">
                  <c:v>-9.7672288601921018</c:v>
                </c:pt>
                <c:pt idx="808">
                  <c:v>-9.7672414253801385</c:v>
                </c:pt>
                <c:pt idx="809">
                  <c:v>-9.7672539903859548</c:v>
                </c:pt>
                <c:pt idx="810">
                  <c:v>-9.7672665552095435</c:v>
                </c:pt>
                <c:pt idx="811">
                  <c:v>-9.7672791198509152</c:v>
                </c:pt>
                <c:pt idx="812">
                  <c:v>-9.7672916843100577</c:v>
                </c:pt>
                <c:pt idx="813">
                  <c:v>-9.7673042485869903</c:v>
                </c:pt>
                <c:pt idx="814">
                  <c:v>-9.7673168126817043</c:v>
                </c:pt>
                <c:pt idx="815">
                  <c:v>-9.7673293765942066</c:v>
                </c:pt>
                <c:pt idx="816">
                  <c:v>-9.7673419403244957</c:v>
                </c:pt>
                <c:pt idx="817">
                  <c:v>-9.7673545038725784</c:v>
                </c:pt>
                <c:pt idx="818">
                  <c:v>-9.7673670672384549</c:v>
                </c:pt>
                <c:pt idx="819">
                  <c:v>-9.7673796304221217</c:v>
                </c:pt>
                <c:pt idx="820">
                  <c:v>-9.7673921934235857</c:v>
                </c:pt>
                <c:pt idx="821">
                  <c:v>-9.7674047562428488</c:v>
                </c:pt>
                <c:pt idx="822">
                  <c:v>-9.7674173188799145</c:v>
                </c:pt>
                <c:pt idx="823">
                  <c:v>-9.7674298813347811</c:v>
                </c:pt>
                <c:pt idx="824">
                  <c:v>-9.7674424436074538</c:v>
                </c:pt>
                <c:pt idx="825">
                  <c:v>-9.7674550056979363</c:v>
                </c:pt>
                <c:pt idx="826">
                  <c:v>-9.767467567606225</c:v>
                </c:pt>
                <c:pt idx="827">
                  <c:v>-9.7674801293323252</c:v>
                </c:pt>
                <c:pt idx="828">
                  <c:v>-9.7674926908762387</c:v>
                </c:pt>
                <c:pt idx="829">
                  <c:v>-9.7675052522379691</c:v>
                </c:pt>
                <c:pt idx="830">
                  <c:v>-9.7675178134175162</c:v>
                </c:pt>
                <c:pt idx="831">
                  <c:v>-9.7675303744148856</c:v>
                </c:pt>
                <c:pt idx="832">
                  <c:v>-9.76754293523007</c:v>
                </c:pt>
                <c:pt idx="833">
                  <c:v>-9.7675554958630766</c:v>
                </c:pt>
                <c:pt idx="834">
                  <c:v>-9.7675680563139125</c:v>
                </c:pt>
                <c:pt idx="835">
                  <c:v>-9.7675806165825758</c:v>
                </c:pt>
                <c:pt idx="836">
                  <c:v>-9.7675931766690702</c:v>
                </c:pt>
                <c:pt idx="837">
                  <c:v>-9.7676057365733939</c:v>
                </c:pt>
                <c:pt idx="838">
                  <c:v>-9.767618296295554</c:v>
                </c:pt>
                <c:pt idx="839">
                  <c:v>-9.7676308558355505</c:v>
                </c:pt>
                <c:pt idx="840">
                  <c:v>-9.7676434151933833</c:v>
                </c:pt>
                <c:pt idx="841">
                  <c:v>-9.7676559743690508</c:v>
                </c:pt>
                <c:pt idx="842">
                  <c:v>-9.767668533362567</c:v>
                </c:pt>
                <c:pt idx="843">
                  <c:v>-9.7676810921739214</c:v>
                </c:pt>
                <c:pt idx="844">
                  <c:v>-9.7676936508031265</c:v>
                </c:pt>
                <c:pt idx="845">
                  <c:v>-9.7677062092501714</c:v>
                </c:pt>
                <c:pt idx="846">
                  <c:v>-9.7677187675150776</c:v>
                </c:pt>
                <c:pt idx="847">
                  <c:v>-9.7677313255978326</c:v>
                </c:pt>
                <c:pt idx="848">
                  <c:v>-9.7677438834984383</c:v>
                </c:pt>
                <c:pt idx="849">
                  <c:v>-9.7677564412169033</c:v>
                </c:pt>
                <c:pt idx="850">
                  <c:v>-9.7677689987532208</c:v>
                </c:pt>
                <c:pt idx="851">
                  <c:v>-9.7677815561074031</c:v>
                </c:pt>
                <c:pt idx="852">
                  <c:v>-9.7677941132794484</c:v>
                </c:pt>
                <c:pt idx="853">
                  <c:v>-9.7678066702693531</c:v>
                </c:pt>
                <c:pt idx="854">
                  <c:v>-9.7678192270771262</c:v>
                </c:pt>
                <c:pt idx="855">
                  <c:v>-9.7678317837027713</c:v>
                </c:pt>
                <c:pt idx="856">
                  <c:v>-9.7678443401462829</c:v>
                </c:pt>
                <c:pt idx="857">
                  <c:v>-9.7678568964076664</c:v>
                </c:pt>
                <c:pt idx="858">
                  <c:v>-9.7678694524869289</c:v>
                </c:pt>
                <c:pt idx="859">
                  <c:v>-9.7678820083840634</c:v>
                </c:pt>
                <c:pt idx="860">
                  <c:v>-9.7678945640990769</c:v>
                </c:pt>
                <c:pt idx="861">
                  <c:v>-9.7679071196319747</c:v>
                </c:pt>
                <c:pt idx="862">
                  <c:v>-9.7679196749827462</c:v>
                </c:pt>
                <c:pt idx="863">
                  <c:v>-9.7679322301514109</c:v>
                </c:pt>
                <c:pt idx="864">
                  <c:v>-9.7679447851379617</c:v>
                </c:pt>
                <c:pt idx="865">
                  <c:v>-9.7679573399423951</c:v>
                </c:pt>
                <c:pt idx="866">
                  <c:v>-9.7679698945647253</c:v>
                </c:pt>
                <c:pt idx="867">
                  <c:v>-9.7679824490049452</c:v>
                </c:pt>
                <c:pt idx="868">
                  <c:v>-9.7679950032630583</c:v>
                </c:pt>
                <c:pt idx="869">
                  <c:v>-9.7680075573390752</c:v>
                </c:pt>
                <c:pt idx="870">
                  <c:v>-9.7680201112329836</c:v>
                </c:pt>
                <c:pt idx="871">
                  <c:v>-9.7680326649448013</c:v>
                </c:pt>
                <c:pt idx="872">
                  <c:v>-9.7680452184745157</c:v>
                </c:pt>
                <c:pt idx="873">
                  <c:v>-9.7680577718221375</c:v>
                </c:pt>
                <c:pt idx="874">
                  <c:v>-9.7680703249876668</c:v>
                </c:pt>
                <c:pt idx="875">
                  <c:v>-9.7680828779711018</c:v>
                </c:pt>
                <c:pt idx="876">
                  <c:v>-9.7680954307724495</c:v>
                </c:pt>
                <c:pt idx="877">
                  <c:v>-9.7681079833917064</c:v>
                </c:pt>
                <c:pt idx="878">
                  <c:v>-9.7681205358288867</c:v>
                </c:pt>
                <c:pt idx="879">
                  <c:v>-9.7681330880839816</c:v>
                </c:pt>
                <c:pt idx="880">
                  <c:v>-9.768145640156991</c:v>
                </c:pt>
                <c:pt idx="881">
                  <c:v>-9.7681581920479257</c:v>
                </c:pt>
                <c:pt idx="882">
                  <c:v>-9.7681707437567837</c:v>
                </c:pt>
                <c:pt idx="883">
                  <c:v>-9.768183295283567</c:v>
                </c:pt>
                <c:pt idx="884">
                  <c:v>-9.7681958466282772</c:v>
                </c:pt>
                <c:pt idx="885">
                  <c:v>-9.7682083977909162</c:v>
                </c:pt>
                <c:pt idx="886">
                  <c:v>-9.7682209487714875</c:v>
                </c:pt>
                <c:pt idx="887">
                  <c:v>-9.7682334995699911</c:v>
                </c:pt>
                <c:pt idx="888">
                  <c:v>-9.7682460501864323</c:v>
                </c:pt>
                <c:pt idx="889">
                  <c:v>-9.7682586006208147</c:v>
                </c:pt>
                <c:pt idx="890">
                  <c:v>-9.7682711508731259</c:v>
                </c:pt>
                <c:pt idx="891">
                  <c:v>-9.7682837009433889</c:v>
                </c:pt>
                <c:pt idx="892">
                  <c:v>-9.7682962508315896</c:v>
                </c:pt>
                <c:pt idx="893">
                  <c:v>-9.7683088005377421</c:v>
                </c:pt>
                <c:pt idx="894">
                  <c:v>-9.7683213500618375</c:v>
                </c:pt>
                <c:pt idx="895">
                  <c:v>-9.7683338994038884</c:v>
                </c:pt>
                <c:pt idx="896">
                  <c:v>-9.7683464485638822</c:v>
                </c:pt>
                <c:pt idx="897">
                  <c:v>-9.768358997541835</c:v>
                </c:pt>
                <c:pt idx="898">
                  <c:v>-9.7683715463377396</c:v>
                </c:pt>
                <c:pt idx="899">
                  <c:v>-9.7683840949516103</c:v>
                </c:pt>
                <c:pt idx="900">
                  <c:v>-9.7683966433834364</c:v>
                </c:pt>
                <c:pt idx="901">
                  <c:v>-9.7684091916332267</c:v>
                </c:pt>
                <c:pt idx="902">
                  <c:v>-9.7684217397009814</c:v>
                </c:pt>
                <c:pt idx="903">
                  <c:v>-9.7684342875866967</c:v>
                </c:pt>
                <c:pt idx="904">
                  <c:v>-9.7684468352903853</c:v>
                </c:pt>
                <c:pt idx="905">
                  <c:v>-9.7684593828120487</c:v>
                </c:pt>
                <c:pt idx="906">
                  <c:v>-9.7684719301516765</c:v>
                </c:pt>
                <c:pt idx="907">
                  <c:v>-9.7684844773092827</c:v>
                </c:pt>
                <c:pt idx="908">
                  <c:v>-9.7684970242848603</c:v>
                </c:pt>
                <c:pt idx="909">
                  <c:v>-9.7685095710784182</c:v>
                </c:pt>
                <c:pt idx="910">
                  <c:v>-9.7685221176899564</c:v>
                </c:pt>
                <c:pt idx="911">
                  <c:v>-9.7685346641194801</c:v>
                </c:pt>
                <c:pt idx="912">
                  <c:v>-9.7685472103669859</c:v>
                </c:pt>
                <c:pt idx="913">
                  <c:v>-9.7685597564324826</c:v>
                </c:pt>
                <c:pt idx="914">
                  <c:v>-9.768572302315965</c:v>
                </c:pt>
                <c:pt idx="915">
                  <c:v>-9.7685848480174382</c:v>
                </c:pt>
                <c:pt idx="916">
                  <c:v>-9.7685973935369041</c:v>
                </c:pt>
                <c:pt idx="917">
                  <c:v>-9.768609938874361</c:v>
                </c:pt>
                <c:pt idx="918">
                  <c:v>-9.7686224840298177</c:v>
                </c:pt>
                <c:pt idx="919">
                  <c:v>-9.7686350290032724</c:v>
                </c:pt>
                <c:pt idx="920">
                  <c:v>-9.7686475737947323</c:v>
                </c:pt>
                <c:pt idx="921">
                  <c:v>-9.7686601184041919</c:v>
                </c:pt>
                <c:pt idx="922">
                  <c:v>-9.7686726628316549</c:v>
                </c:pt>
                <c:pt idx="923">
                  <c:v>-9.7686852070771302</c:v>
                </c:pt>
                <c:pt idx="924">
                  <c:v>-9.7686977511406088</c:v>
                </c:pt>
                <c:pt idx="925">
                  <c:v>-9.7687102950220979</c:v>
                </c:pt>
                <c:pt idx="926">
                  <c:v>-9.7687228387216045</c:v>
                </c:pt>
                <c:pt idx="927">
                  <c:v>-9.7687353822391252</c:v>
                </c:pt>
                <c:pt idx="928">
                  <c:v>-9.7687479255746634</c:v>
                </c:pt>
                <c:pt idx="929">
                  <c:v>-9.7687604687282175</c:v>
                </c:pt>
                <c:pt idx="930">
                  <c:v>-9.7687730116997979</c:v>
                </c:pt>
                <c:pt idx="931">
                  <c:v>-9.7687855544893996</c:v>
                </c:pt>
                <c:pt idx="932">
                  <c:v>-9.7687980970970258</c:v>
                </c:pt>
                <c:pt idx="933">
                  <c:v>-9.7688106395226804</c:v>
                </c:pt>
                <c:pt idx="934">
                  <c:v>-9.7688231817663667</c:v>
                </c:pt>
                <c:pt idx="935">
                  <c:v>-9.7688357238280776</c:v>
                </c:pt>
                <c:pt idx="936">
                  <c:v>-9.7688482657078275</c:v>
                </c:pt>
                <c:pt idx="937">
                  <c:v>-9.7688608074056109</c:v>
                </c:pt>
                <c:pt idx="938">
                  <c:v>-9.7688733489214297</c:v>
                </c:pt>
                <c:pt idx="939">
                  <c:v>-9.7688858902552926</c:v>
                </c:pt>
                <c:pt idx="940">
                  <c:v>-9.7688984314071945</c:v>
                </c:pt>
                <c:pt idx="941">
                  <c:v>-9.7689109723771441</c:v>
                </c:pt>
                <c:pt idx="942">
                  <c:v>-9.7689235131651326</c:v>
                </c:pt>
                <c:pt idx="943">
                  <c:v>-9.7689360537711742</c:v>
                </c:pt>
                <c:pt idx="944">
                  <c:v>-9.7689485941952636</c:v>
                </c:pt>
                <c:pt idx="945">
                  <c:v>-9.7689611344374043</c:v>
                </c:pt>
                <c:pt idx="946">
                  <c:v>-9.7689736744975999</c:v>
                </c:pt>
                <c:pt idx="947">
                  <c:v>-9.7689862143758504</c:v>
                </c:pt>
                <c:pt idx="948">
                  <c:v>-9.7689987540721592</c:v>
                </c:pt>
                <c:pt idx="949">
                  <c:v>-9.7690112935865319</c:v>
                </c:pt>
                <c:pt idx="950">
                  <c:v>-9.7690238329189594</c:v>
                </c:pt>
                <c:pt idx="951">
                  <c:v>-9.7690363720694577</c:v>
                </c:pt>
                <c:pt idx="952">
                  <c:v>-9.7690489110380181</c:v>
                </c:pt>
                <c:pt idx="953">
                  <c:v>-9.7690614498246493</c:v>
                </c:pt>
                <c:pt idx="954">
                  <c:v>-9.7690739884293514</c:v>
                </c:pt>
                <c:pt idx="955">
                  <c:v>-9.7690865268521243</c:v>
                </c:pt>
                <c:pt idx="956">
                  <c:v>-9.7690990650929699</c:v>
                </c:pt>
                <c:pt idx="957">
                  <c:v>-9.7691116031518916</c:v>
                </c:pt>
                <c:pt idx="958">
                  <c:v>-9.7691241410288967</c:v>
                </c:pt>
                <c:pt idx="959">
                  <c:v>-9.7691366787239762</c:v>
                </c:pt>
                <c:pt idx="960">
                  <c:v>-9.7691492162371372</c:v>
                </c:pt>
                <c:pt idx="961">
                  <c:v>-9.7691617535683868</c:v>
                </c:pt>
                <c:pt idx="962">
                  <c:v>-9.7691742907177233</c:v>
                </c:pt>
                <c:pt idx="963">
                  <c:v>-9.7691868276851466</c:v>
                </c:pt>
                <c:pt idx="964">
                  <c:v>-9.7691993644706638</c:v>
                </c:pt>
                <c:pt idx="965">
                  <c:v>-9.769211901074268</c:v>
                </c:pt>
                <c:pt idx="966">
                  <c:v>-9.7692244374959696</c:v>
                </c:pt>
                <c:pt idx="967">
                  <c:v>-9.7692369737357669</c:v>
                </c:pt>
                <c:pt idx="968">
                  <c:v>-9.7692495097936618</c:v>
                </c:pt>
                <c:pt idx="969">
                  <c:v>-9.7692620456696648</c:v>
                </c:pt>
                <c:pt idx="970">
                  <c:v>-9.76927458136376</c:v>
                </c:pt>
                <c:pt idx="971">
                  <c:v>-9.7692871168759652</c:v>
                </c:pt>
                <c:pt idx="972">
                  <c:v>-9.7692996522062838</c:v>
                </c:pt>
                <c:pt idx="973">
                  <c:v>-9.7693121873547017</c:v>
                </c:pt>
                <c:pt idx="974">
                  <c:v>-9.7693247223212349</c:v>
                </c:pt>
                <c:pt idx="975">
                  <c:v>-9.7693372571058763</c:v>
                </c:pt>
                <c:pt idx="976">
                  <c:v>-9.7693497917086365</c:v>
                </c:pt>
                <c:pt idx="977">
                  <c:v>-9.7693623261295173</c:v>
                </c:pt>
                <c:pt idx="978">
                  <c:v>-9.7693748603685151</c:v>
                </c:pt>
                <c:pt idx="979">
                  <c:v>-9.7693873944256318</c:v>
                </c:pt>
                <c:pt idx="980">
                  <c:v>-9.7693999283008743</c:v>
                </c:pt>
                <c:pt idx="981">
                  <c:v>-9.7694124619942393</c:v>
                </c:pt>
                <c:pt idx="982">
                  <c:v>-9.769424995505732</c:v>
                </c:pt>
                <c:pt idx="983">
                  <c:v>-9.7694375288353612</c:v>
                </c:pt>
                <c:pt idx="984">
                  <c:v>-9.7694500619831128</c:v>
                </c:pt>
                <c:pt idx="985">
                  <c:v>-9.7694625949489993</c:v>
                </c:pt>
                <c:pt idx="986">
                  <c:v>-9.7694751277330241</c:v>
                </c:pt>
                <c:pt idx="987">
                  <c:v>-9.7694876603351801</c:v>
                </c:pt>
                <c:pt idx="988">
                  <c:v>-9.769500192755487</c:v>
                </c:pt>
                <c:pt idx="989">
                  <c:v>-9.7695127249939286</c:v>
                </c:pt>
                <c:pt idx="990">
                  <c:v>-9.7695252570505104</c:v>
                </c:pt>
                <c:pt idx="991">
                  <c:v>-9.769537788925243</c:v>
                </c:pt>
                <c:pt idx="992">
                  <c:v>-9.7695503206181211</c:v>
                </c:pt>
                <c:pt idx="993">
                  <c:v>-9.76956285212915</c:v>
                </c:pt>
                <c:pt idx="994">
                  <c:v>-9.7695753834583297</c:v>
                </c:pt>
                <c:pt idx="995">
                  <c:v>-9.7695879146056619</c:v>
                </c:pt>
                <c:pt idx="996">
                  <c:v>-9.7696004455711503</c:v>
                </c:pt>
                <c:pt idx="997">
                  <c:v>-9.7696129763547983</c:v>
                </c:pt>
                <c:pt idx="998">
                  <c:v>-9.7696255069566078</c:v>
                </c:pt>
                <c:pt idx="999">
                  <c:v>-9.7696380373765752</c:v>
                </c:pt>
                <c:pt idx="1000">
                  <c:v>-9.7696505676147112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3-45DE-97F3-E9553C49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5168"/>
        <c:axId val="149577088"/>
      </c:scatterChart>
      <c:valAx>
        <c:axId val="14957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77088"/>
        <c:crosses val="autoZero"/>
        <c:crossBetween val="midCat"/>
      </c:valAx>
      <c:valAx>
        <c:axId val="14957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Accélérations [m/s²]_</a:t>
                </a:r>
              </a:p>
            </c:rich>
          </c:tx>
          <c:layout>
            <c:manualLayout>
              <c:xMode val="edge"/>
              <c:yMode val="edge"/>
              <c:x val="2.712264150943397E-2"/>
              <c:y val="0.29738652668416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75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95018075570744"/>
          <c:y val="0.25777777777777783"/>
          <c:w val="0.30974867528351424"/>
          <c:h val="0.15777777777777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Positions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3856444854360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Courbes!$B$144</c:f>
              <c:strCache>
                <c:ptCount val="1"/>
                <c:pt idx="0">
                  <c:v>Portée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5.7</c:v>
                </c:pt>
                <c:pt idx="1">
                  <c:v>5.71</c:v>
                </c:pt>
                <c:pt idx="2">
                  <c:v>5.72</c:v>
                </c:pt>
                <c:pt idx="3">
                  <c:v>5.7299999999999995</c:v>
                </c:pt>
                <c:pt idx="4">
                  <c:v>5.7399999999999993</c:v>
                </c:pt>
                <c:pt idx="5">
                  <c:v>5.7499999999999991</c:v>
                </c:pt>
                <c:pt idx="6">
                  <c:v>5.7599999999999989</c:v>
                </c:pt>
                <c:pt idx="7">
                  <c:v>5.7699999999999987</c:v>
                </c:pt>
                <c:pt idx="8">
                  <c:v>5.7799999999999985</c:v>
                </c:pt>
                <c:pt idx="9">
                  <c:v>5.7899999999999983</c:v>
                </c:pt>
                <c:pt idx="10">
                  <c:v>5.799999999999998</c:v>
                </c:pt>
                <c:pt idx="11">
                  <c:v>5.8099999999999978</c:v>
                </c:pt>
                <c:pt idx="12">
                  <c:v>5.8199999999999976</c:v>
                </c:pt>
                <c:pt idx="13">
                  <c:v>5.8299999999999974</c:v>
                </c:pt>
                <c:pt idx="14">
                  <c:v>5.8399999999999972</c:v>
                </c:pt>
                <c:pt idx="15">
                  <c:v>5.849999999999997</c:v>
                </c:pt>
                <c:pt idx="16">
                  <c:v>5.8599999999999968</c:v>
                </c:pt>
                <c:pt idx="17">
                  <c:v>5.8699999999999966</c:v>
                </c:pt>
                <c:pt idx="18">
                  <c:v>5.8799999999999963</c:v>
                </c:pt>
                <c:pt idx="19">
                  <c:v>5.8899999999999961</c:v>
                </c:pt>
                <c:pt idx="20">
                  <c:v>5.8999999999999959</c:v>
                </c:pt>
                <c:pt idx="21">
                  <c:v>5.9099999999999957</c:v>
                </c:pt>
                <c:pt idx="22">
                  <c:v>5.9199999999999955</c:v>
                </c:pt>
                <c:pt idx="23">
                  <c:v>5.9299999999999953</c:v>
                </c:pt>
                <c:pt idx="24">
                  <c:v>5.9399999999999951</c:v>
                </c:pt>
                <c:pt idx="25">
                  <c:v>5.9499999999999948</c:v>
                </c:pt>
                <c:pt idx="26">
                  <c:v>5.9599999999999946</c:v>
                </c:pt>
                <c:pt idx="27">
                  <c:v>5.9699999999999944</c:v>
                </c:pt>
                <c:pt idx="28">
                  <c:v>5.9799999999999942</c:v>
                </c:pt>
                <c:pt idx="29">
                  <c:v>5.989999999999994</c:v>
                </c:pt>
                <c:pt idx="30">
                  <c:v>5.9999999999999938</c:v>
                </c:pt>
                <c:pt idx="31">
                  <c:v>6.0099999999999936</c:v>
                </c:pt>
                <c:pt idx="32">
                  <c:v>6.0199999999999934</c:v>
                </c:pt>
                <c:pt idx="33">
                  <c:v>6.0299999999999931</c:v>
                </c:pt>
                <c:pt idx="34">
                  <c:v>6.0399999999999929</c:v>
                </c:pt>
                <c:pt idx="35">
                  <c:v>6.0499999999999927</c:v>
                </c:pt>
                <c:pt idx="36">
                  <c:v>6.0599999999999925</c:v>
                </c:pt>
                <c:pt idx="37">
                  <c:v>6.0699999999999923</c:v>
                </c:pt>
                <c:pt idx="38">
                  <c:v>6.0799999999999921</c:v>
                </c:pt>
                <c:pt idx="39">
                  <c:v>6.0899999999999919</c:v>
                </c:pt>
                <c:pt idx="40">
                  <c:v>6.0999999999999917</c:v>
                </c:pt>
                <c:pt idx="41">
                  <c:v>6.1099999999999914</c:v>
                </c:pt>
                <c:pt idx="42">
                  <c:v>6.1199999999999912</c:v>
                </c:pt>
                <c:pt idx="43">
                  <c:v>6.129999999999991</c:v>
                </c:pt>
                <c:pt idx="44">
                  <c:v>6.1399999999999908</c:v>
                </c:pt>
                <c:pt idx="45">
                  <c:v>6.1499999999999906</c:v>
                </c:pt>
                <c:pt idx="46">
                  <c:v>6.1599999999999904</c:v>
                </c:pt>
                <c:pt idx="47">
                  <c:v>6.1699999999999902</c:v>
                </c:pt>
                <c:pt idx="48">
                  <c:v>6.1799999999999899</c:v>
                </c:pt>
                <c:pt idx="49">
                  <c:v>6.1899999999999897</c:v>
                </c:pt>
                <c:pt idx="50">
                  <c:v>6.1999999999999895</c:v>
                </c:pt>
                <c:pt idx="51">
                  <c:v>6.2099999999999893</c:v>
                </c:pt>
                <c:pt idx="52">
                  <c:v>6.2199999999999891</c:v>
                </c:pt>
                <c:pt idx="53">
                  <c:v>6.2299999999999889</c:v>
                </c:pt>
                <c:pt idx="54">
                  <c:v>6.2399999999999887</c:v>
                </c:pt>
                <c:pt idx="55">
                  <c:v>6.2499999999999885</c:v>
                </c:pt>
                <c:pt idx="56">
                  <c:v>6.2599999999999882</c:v>
                </c:pt>
                <c:pt idx="57">
                  <c:v>6.269999999999988</c:v>
                </c:pt>
                <c:pt idx="58">
                  <c:v>6.2799999999999878</c:v>
                </c:pt>
                <c:pt idx="59">
                  <c:v>6.2899999999999876</c:v>
                </c:pt>
                <c:pt idx="60">
                  <c:v>6.2999999999999874</c:v>
                </c:pt>
                <c:pt idx="61">
                  <c:v>6.3099999999999872</c:v>
                </c:pt>
                <c:pt idx="62">
                  <c:v>6.319999999999987</c:v>
                </c:pt>
                <c:pt idx="63">
                  <c:v>6.3299999999999867</c:v>
                </c:pt>
                <c:pt idx="64">
                  <c:v>6.3399999999999865</c:v>
                </c:pt>
                <c:pt idx="65">
                  <c:v>6.3499999999999863</c:v>
                </c:pt>
                <c:pt idx="66">
                  <c:v>6.3599999999999861</c:v>
                </c:pt>
                <c:pt idx="67">
                  <c:v>6.3699999999999859</c:v>
                </c:pt>
                <c:pt idx="68">
                  <c:v>6.3799999999999857</c:v>
                </c:pt>
                <c:pt idx="69">
                  <c:v>6.3899999999999855</c:v>
                </c:pt>
                <c:pt idx="70">
                  <c:v>6.3999999999999853</c:v>
                </c:pt>
                <c:pt idx="71">
                  <c:v>6.409999999999985</c:v>
                </c:pt>
                <c:pt idx="72">
                  <c:v>6.4199999999999848</c:v>
                </c:pt>
                <c:pt idx="73">
                  <c:v>6.4299999999999846</c:v>
                </c:pt>
                <c:pt idx="74">
                  <c:v>6.4399999999999844</c:v>
                </c:pt>
                <c:pt idx="75">
                  <c:v>6.4499999999999842</c:v>
                </c:pt>
                <c:pt idx="76">
                  <c:v>6.459999999999984</c:v>
                </c:pt>
                <c:pt idx="77">
                  <c:v>6.4699999999999838</c:v>
                </c:pt>
                <c:pt idx="78">
                  <c:v>6.4799999999999836</c:v>
                </c:pt>
                <c:pt idx="79">
                  <c:v>6.4899999999999833</c:v>
                </c:pt>
                <c:pt idx="80">
                  <c:v>6.4999999999999831</c:v>
                </c:pt>
                <c:pt idx="81">
                  <c:v>6.5099999999999829</c:v>
                </c:pt>
                <c:pt idx="82">
                  <c:v>6.5199999999999827</c:v>
                </c:pt>
                <c:pt idx="83">
                  <c:v>6.5299999999999825</c:v>
                </c:pt>
                <c:pt idx="84">
                  <c:v>6.5399999999999823</c:v>
                </c:pt>
                <c:pt idx="85">
                  <c:v>6.5499999999999821</c:v>
                </c:pt>
                <c:pt idx="86">
                  <c:v>6.5599999999999818</c:v>
                </c:pt>
                <c:pt idx="87">
                  <c:v>6.5699999999999816</c:v>
                </c:pt>
                <c:pt idx="88">
                  <c:v>6.5799999999999814</c:v>
                </c:pt>
                <c:pt idx="89">
                  <c:v>6.5899999999999812</c:v>
                </c:pt>
                <c:pt idx="90">
                  <c:v>6.599999999999981</c:v>
                </c:pt>
                <c:pt idx="91">
                  <c:v>6.6099999999999808</c:v>
                </c:pt>
                <c:pt idx="92">
                  <c:v>6.6199999999999806</c:v>
                </c:pt>
                <c:pt idx="93">
                  <c:v>6.6299999999999804</c:v>
                </c:pt>
                <c:pt idx="94">
                  <c:v>6.6399999999999801</c:v>
                </c:pt>
                <c:pt idx="95">
                  <c:v>6.6499999999999799</c:v>
                </c:pt>
                <c:pt idx="96">
                  <c:v>6.6599999999999797</c:v>
                </c:pt>
                <c:pt idx="97">
                  <c:v>6.6699999999999795</c:v>
                </c:pt>
                <c:pt idx="98">
                  <c:v>6.6799999999999793</c:v>
                </c:pt>
                <c:pt idx="99">
                  <c:v>6.6899999999999791</c:v>
                </c:pt>
                <c:pt idx="100">
                  <c:v>6.6999999999999789</c:v>
                </c:pt>
                <c:pt idx="101">
                  <c:v>6.7099999999999786</c:v>
                </c:pt>
                <c:pt idx="102">
                  <c:v>6.7199999999999784</c:v>
                </c:pt>
                <c:pt idx="103">
                  <c:v>6.7299999999999782</c:v>
                </c:pt>
                <c:pt idx="104">
                  <c:v>6.739999999999978</c:v>
                </c:pt>
                <c:pt idx="105">
                  <c:v>6.7499999999999778</c:v>
                </c:pt>
                <c:pt idx="106">
                  <c:v>6.7599999999999776</c:v>
                </c:pt>
                <c:pt idx="107">
                  <c:v>6.7699999999999774</c:v>
                </c:pt>
                <c:pt idx="108">
                  <c:v>6.7799999999999772</c:v>
                </c:pt>
                <c:pt idx="109">
                  <c:v>6.7899999999999769</c:v>
                </c:pt>
                <c:pt idx="110">
                  <c:v>6.7999999999999767</c:v>
                </c:pt>
                <c:pt idx="111">
                  <c:v>6.8099999999999765</c:v>
                </c:pt>
                <c:pt idx="112">
                  <c:v>6.8199999999999763</c:v>
                </c:pt>
                <c:pt idx="113">
                  <c:v>6.8299999999999761</c:v>
                </c:pt>
                <c:pt idx="114">
                  <c:v>6.8399999999999759</c:v>
                </c:pt>
                <c:pt idx="115">
                  <c:v>6.8499999999999757</c:v>
                </c:pt>
                <c:pt idx="116">
                  <c:v>6.8599999999999755</c:v>
                </c:pt>
                <c:pt idx="117">
                  <c:v>6.8699999999999752</c:v>
                </c:pt>
                <c:pt idx="118">
                  <c:v>6.879999999999975</c:v>
                </c:pt>
                <c:pt idx="119">
                  <c:v>6.8899999999999748</c:v>
                </c:pt>
                <c:pt idx="120">
                  <c:v>6.8999999999999746</c:v>
                </c:pt>
                <c:pt idx="121">
                  <c:v>6.9099999999999744</c:v>
                </c:pt>
                <c:pt idx="122">
                  <c:v>6.9199999999999742</c:v>
                </c:pt>
                <c:pt idx="123">
                  <c:v>6.929999999999974</c:v>
                </c:pt>
                <c:pt idx="124">
                  <c:v>6.9399999999999737</c:v>
                </c:pt>
                <c:pt idx="125">
                  <c:v>6.9499999999999735</c:v>
                </c:pt>
                <c:pt idx="126">
                  <c:v>6.9599999999999733</c:v>
                </c:pt>
                <c:pt idx="127">
                  <c:v>6.9699999999999731</c:v>
                </c:pt>
                <c:pt idx="128">
                  <c:v>6.9799999999999729</c:v>
                </c:pt>
                <c:pt idx="129">
                  <c:v>6.9899999999999727</c:v>
                </c:pt>
                <c:pt idx="130">
                  <c:v>6.9999999999999725</c:v>
                </c:pt>
                <c:pt idx="131">
                  <c:v>7.0099999999999723</c:v>
                </c:pt>
                <c:pt idx="132">
                  <c:v>7.019999999999972</c:v>
                </c:pt>
                <c:pt idx="133">
                  <c:v>7.0299999999999718</c:v>
                </c:pt>
                <c:pt idx="134">
                  <c:v>7.0399999999999716</c:v>
                </c:pt>
                <c:pt idx="135">
                  <c:v>7.0499999999999714</c:v>
                </c:pt>
                <c:pt idx="136">
                  <c:v>7.0599999999999712</c:v>
                </c:pt>
                <c:pt idx="137">
                  <c:v>7.069999999999971</c:v>
                </c:pt>
                <c:pt idx="138">
                  <c:v>7.0799999999999708</c:v>
                </c:pt>
                <c:pt idx="139">
                  <c:v>7.0899999999999705</c:v>
                </c:pt>
                <c:pt idx="140">
                  <c:v>7.0999999999999703</c:v>
                </c:pt>
                <c:pt idx="141">
                  <c:v>7.1099999999999701</c:v>
                </c:pt>
                <c:pt idx="142">
                  <c:v>7.1199999999999699</c:v>
                </c:pt>
                <c:pt idx="143">
                  <c:v>7.1299999999999697</c:v>
                </c:pt>
                <c:pt idx="144">
                  <c:v>7.1399999999999695</c:v>
                </c:pt>
                <c:pt idx="145">
                  <c:v>7.1499999999999693</c:v>
                </c:pt>
                <c:pt idx="146">
                  <c:v>7.1599999999999691</c:v>
                </c:pt>
                <c:pt idx="147">
                  <c:v>7.1699999999999688</c:v>
                </c:pt>
                <c:pt idx="148">
                  <c:v>7.1799999999999686</c:v>
                </c:pt>
                <c:pt idx="149">
                  <c:v>7.1899999999999684</c:v>
                </c:pt>
                <c:pt idx="150">
                  <c:v>7.1999999999999682</c:v>
                </c:pt>
                <c:pt idx="151">
                  <c:v>7.209999999999968</c:v>
                </c:pt>
                <c:pt idx="152">
                  <c:v>7.2199999999999678</c:v>
                </c:pt>
                <c:pt idx="153">
                  <c:v>7.2299999999999676</c:v>
                </c:pt>
                <c:pt idx="154">
                  <c:v>7.2399999999999674</c:v>
                </c:pt>
                <c:pt idx="155">
                  <c:v>7.2499999999999671</c:v>
                </c:pt>
                <c:pt idx="156">
                  <c:v>7.2599999999999669</c:v>
                </c:pt>
                <c:pt idx="157">
                  <c:v>7.2699999999999667</c:v>
                </c:pt>
                <c:pt idx="158">
                  <c:v>7.2799999999999665</c:v>
                </c:pt>
                <c:pt idx="159">
                  <c:v>7.2899999999999663</c:v>
                </c:pt>
                <c:pt idx="160">
                  <c:v>7.2999999999999661</c:v>
                </c:pt>
                <c:pt idx="161">
                  <c:v>7.3099999999999659</c:v>
                </c:pt>
                <c:pt idx="162">
                  <c:v>7.3199999999999656</c:v>
                </c:pt>
                <c:pt idx="163">
                  <c:v>7.3299999999999654</c:v>
                </c:pt>
                <c:pt idx="164">
                  <c:v>7.3399999999999652</c:v>
                </c:pt>
                <c:pt idx="165">
                  <c:v>7.349999999999965</c:v>
                </c:pt>
                <c:pt idx="166">
                  <c:v>7.3599999999999648</c:v>
                </c:pt>
                <c:pt idx="167">
                  <c:v>7.3699999999999646</c:v>
                </c:pt>
                <c:pt idx="168">
                  <c:v>7.3799999999999644</c:v>
                </c:pt>
                <c:pt idx="169">
                  <c:v>7.3899999999999642</c:v>
                </c:pt>
                <c:pt idx="170">
                  <c:v>7.3999999999999639</c:v>
                </c:pt>
                <c:pt idx="171">
                  <c:v>7.4099999999999637</c:v>
                </c:pt>
                <c:pt idx="172">
                  <c:v>7.4199999999999635</c:v>
                </c:pt>
                <c:pt idx="173">
                  <c:v>7.4299999999999633</c:v>
                </c:pt>
                <c:pt idx="174">
                  <c:v>7.4399999999999631</c:v>
                </c:pt>
                <c:pt idx="175">
                  <c:v>7.4499999999999629</c:v>
                </c:pt>
                <c:pt idx="176">
                  <c:v>7.4599999999999627</c:v>
                </c:pt>
                <c:pt idx="177">
                  <c:v>7.4699999999999624</c:v>
                </c:pt>
                <c:pt idx="178">
                  <c:v>7.4799999999999622</c:v>
                </c:pt>
                <c:pt idx="179">
                  <c:v>7.489999999999962</c:v>
                </c:pt>
                <c:pt idx="180">
                  <c:v>7.4999999999999618</c:v>
                </c:pt>
                <c:pt idx="181">
                  <c:v>7.5099999999999616</c:v>
                </c:pt>
                <c:pt idx="182">
                  <c:v>7.5199999999999614</c:v>
                </c:pt>
                <c:pt idx="183">
                  <c:v>7.5299999999999612</c:v>
                </c:pt>
                <c:pt idx="184">
                  <c:v>7.539999999999961</c:v>
                </c:pt>
                <c:pt idx="185">
                  <c:v>7.5499999999999607</c:v>
                </c:pt>
                <c:pt idx="186">
                  <c:v>7.5599999999999605</c:v>
                </c:pt>
                <c:pt idx="187">
                  <c:v>7.5699999999999603</c:v>
                </c:pt>
                <c:pt idx="188">
                  <c:v>7.5799999999999601</c:v>
                </c:pt>
                <c:pt idx="189">
                  <c:v>7.5899999999999599</c:v>
                </c:pt>
                <c:pt idx="190">
                  <c:v>7.5999999999999597</c:v>
                </c:pt>
                <c:pt idx="191">
                  <c:v>7.6099999999999595</c:v>
                </c:pt>
                <c:pt idx="192">
                  <c:v>7.6199999999999593</c:v>
                </c:pt>
                <c:pt idx="193">
                  <c:v>7.629999999999959</c:v>
                </c:pt>
                <c:pt idx="194">
                  <c:v>7.6399999999999588</c:v>
                </c:pt>
                <c:pt idx="195">
                  <c:v>7.6499999999999586</c:v>
                </c:pt>
                <c:pt idx="196">
                  <c:v>7.6599999999999584</c:v>
                </c:pt>
                <c:pt idx="197">
                  <c:v>7.6699999999999582</c:v>
                </c:pt>
                <c:pt idx="198">
                  <c:v>7.679999999999958</c:v>
                </c:pt>
                <c:pt idx="199">
                  <c:v>7.6899999999999578</c:v>
                </c:pt>
                <c:pt idx="200">
                  <c:v>7.6999999999999575</c:v>
                </c:pt>
                <c:pt idx="201">
                  <c:v>7.7999999999999572</c:v>
                </c:pt>
                <c:pt idx="202">
                  <c:v>7.8999999999999568</c:v>
                </c:pt>
                <c:pt idx="203">
                  <c:v>7.9999999999999565</c:v>
                </c:pt>
                <c:pt idx="204">
                  <c:v>8.099999999999957</c:v>
                </c:pt>
                <c:pt idx="205">
                  <c:v>8.1999999999999567</c:v>
                </c:pt>
                <c:pt idx="206">
                  <c:v>8.2999999999999563</c:v>
                </c:pt>
                <c:pt idx="207">
                  <c:v>8.3999999999999559</c:v>
                </c:pt>
                <c:pt idx="208">
                  <c:v>8.4999999999999556</c:v>
                </c:pt>
                <c:pt idx="209">
                  <c:v>8.5999999999999552</c:v>
                </c:pt>
                <c:pt idx="210">
                  <c:v>8.6999999999999549</c:v>
                </c:pt>
                <c:pt idx="211">
                  <c:v>8.7999999999999545</c:v>
                </c:pt>
                <c:pt idx="212">
                  <c:v>8.8999999999999542</c:v>
                </c:pt>
                <c:pt idx="213">
                  <c:v>8.9999999999999538</c:v>
                </c:pt>
                <c:pt idx="214">
                  <c:v>9.0999999999999535</c:v>
                </c:pt>
                <c:pt idx="215">
                  <c:v>9.1999999999999531</c:v>
                </c:pt>
                <c:pt idx="216">
                  <c:v>9.2999999999999527</c:v>
                </c:pt>
                <c:pt idx="217">
                  <c:v>9.3999999999999524</c:v>
                </c:pt>
                <c:pt idx="218">
                  <c:v>9.499999999999952</c:v>
                </c:pt>
                <c:pt idx="219">
                  <c:v>9.5999999999999517</c:v>
                </c:pt>
                <c:pt idx="220">
                  <c:v>9.6999999999999513</c:v>
                </c:pt>
                <c:pt idx="221">
                  <c:v>9.799999999999951</c:v>
                </c:pt>
                <c:pt idx="222">
                  <c:v>9.8999999999999506</c:v>
                </c:pt>
                <c:pt idx="223">
                  <c:v>9.9999999999999503</c:v>
                </c:pt>
                <c:pt idx="224">
                  <c:v>10.09999999999995</c:v>
                </c:pt>
                <c:pt idx="225">
                  <c:v>10.19999999999995</c:v>
                </c:pt>
                <c:pt idx="226">
                  <c:v>10.299999999999949</c:v>
                </c:pt>
                <c:pt idx="227">
                  <c:v>10.399999999999949</c:v>
                </c:pt>
                <c:pt idx="228">
                  <c:v>10.499999999999948</c:v>
                </c:pt>
                <c:pt idx="229">
                  <c:v>10.599999999999948</c:v>
                </c:pt>
                <c:pt idx="230">
                  <c:v>10.699999999999948</c:v>
                </c:pt>
                <c:pt idx="231">
                  <c:v>10.799999999999947</c:v>
                </c:pt>
                <c:pt idx="232">
                  <c:v>10.899999999999947</c:v>
                </c:pt>
                <c:pt idx="233">
                  <c:v>10.999999999999947</c:v>
                </c:pt>
                <c:pt idx="234">
                  <c:v>11.099999999999946</c:v>
                </c:pt>
                <c:pt idx="235">
                  <c:v>11.199999999999946</c:v>
                </c:pt>
                <c:pt idx="236">
                  <c:v>11.299999999999946</c:v>
                </c:pt>
                <c:pt idx="237">
                  <c:v>11.399999999999945</c:v>
                </c:pt>
                <c:pt idx="238">
                  <c:v>11.499999999999945</c:v>
                </c:pt>
                <c:pt idx="239">
                  <c:v>11.599999999999945</c:v>
                </c:pt>
                <c:pt idx="240">
                  <c:v>11.699999999999944</c:v>
                </c:pt>
                <c:pt idx="241">
                  <c:v>11.799999999999944</c:v>
                </c:pt>
                <c:pt idx="242">
                  <c:v>11.899999999999944</c:v>
                </c:pt>
                <c:pt idx="243">
                  <c:v>11.999999999999943</c:v>
                </c:pt>
                <c:pt idx="244">
                  <c:v>12.099999999999943</c:v>
                </c:pt>
                <c:pt idx="245">
                  <c:v>12.199999999999942</c:v>
                </c:pt>
                <c:pt idx="246">
                  <c:v>12.299999999999942</c:v>
                </c:pt>
                <c:pt idx="247">
                  <c:v>12.399999999999942</c:v>
                </c:pt>
                <c:pt idx="248">
                  <c:v>12.499999999999941</c:v>
                </c:pt>
                <c:pt idx="249">
                  <c:v>12.599999999999941</c:v>
                </c:pt>
                <c:pt idx="250">
                  <c:v>12.699999999999941</c:v>
                </c:pt>
                <c:pt idx="251">
                  <c:v>12.79999999999994</c:v>
                </c:pt>
                <c:pt idx="252">
                  <c:v>12.89999999999994</c:v>
                </c:pt>
                <c:pt idx="253">
                  <c:v>12.99999999999994</c:v>
                </c:pt>
                <c:pt idx="254">
                  <c:v>13.099999999999939</c:v>
                </c:pt>
                <c:pt idx="255">
                  <c:v>13.199999999999939</c:v>
                </c:pt>
                <c:pt idx="256">
                  <c:v>13.299999999999939</c:v>
                </c:pt>
                <c:pt idx="257">
                  <c:v>13.399999999999938</c:v>
                </c:pt>
                <c:pt idx="258">
                  <c:v>13.499999999999938</c:v>
                </c:pt>
                <c:pt idx="259">
                  <c:v>13.599999999999937</c:v>
                </c:pt>
                <c:pt idx="260">
                  <c:v>13.699999999999937</c:v>
                </c:pt>
                <c:pt idx="261">
                  <c:v>13.799999999999937</c:v>
                </c:pt>
                <c:pt idx="262">
                  <c:v>13.899999999999936</c:v>
                </c:pt>
                <c:pt idx="263">
                  <c:v>13.999999999999936</c:v>
                </c:pt>
                <c:pt idx="264">
                  <c:v>14.099999999999936</c:v>
                </c:pt>
                <c:pt idx="265">
                  <c:v>14.199999999999935</c:v>
                </c:pt>
                <c:pt idx="266">
                  <c:v>14.299999999999935</c:v>
                </c:pt>
                <c:pt idx="267">
                  <c:v>14.399999999999935</c:v>
                </c:pt>
                <c:pt idx="268">
                  <c:v>14.499999999999934</c:v>
                </c:pt>
                <c:pt idx="269">
                  <c:v>14.599999999999934</c:v>
                </c:pt>
                <c:pt idx="270">
                  <c:v>14.699999999999934</c:v>
                </c:pt>
                <c:pt idx="271">
                  <c:v>14.799999999999933</c:v>
                </c:pt>
                <c:pt idx="272">
                  <c:v>14.899999999999933</c:v>
                </c:pt>
                <c:pt idx="273">
                  <c:v>14.999999999999932</c:v>
                </c:pt>
                <c:pt idx="274">
                  <c:v>15.099999999999932</c:v>
                </c:pt>
                <c:pt idx="275">
                  <c:v>15.199999999999932</c:v>
                </c:pt>
                <c:pt idx="276">
                  <c:v>15.299999999999931</c:v>
                </c:pt>
                <c:pt idx="277">
                  <c:v>15.399999999999931</c:v>
                </c:pt>
                <c:pt idx="278">
                  <c:v>15.499999999999931</c:v>
                </c:pt>
                <c:pt idx="279">
                  <c:v>15.59999999999993</c:v>
                </c:pt>
                <c:pt idx="280">
                  <c:v>15.69999999999993</c:v>
                </c:pt>
                <c:pt idx="281">
                  <c:v>15.79999999999993</c:v>
                </c:pt>
                <c:pt idx="282">
                  <c:v>15.899999999999929</c:v>
                </c:pt>
                <c:pt idx="283">
                  <c:v>15.999999999999929</c:v>
                </c:pt>
                <c:pt idx="284">
                  <c:v>16.09999999999993</c:v>
                </c:pt>
                <c:pt idx="285">
                  <c:v>16.199999999999932</c:v>
                </c:pt>
                <c:pt idx="286">
                  <c:v>16.299999999999933</c:v>
                </c:pt>
                <c:pt idx="287">
                  <c:v>16.399999999999935</c:v>
                </c:pt>
                <c:pt idx="288">
                  <c:v>16.499999999999936</c:v>
                </c:pt>
                <c:pt idx="289">
                  <c:v>16.599999999999937</c:v>
                </c:pt>
                <c:pt idx="290">
                  <c:v>16.699999999999939</c:v>
                </c:pt>
                <c:pt idx="291">
                  <c:v>16.79999999999994</c:v>
                </c:pt>
                <c:pt idx="292">
                  <c:v>16.899999999999942</c:v>
                </c:pt>
                <c:pt idx="293">
                  <c:v>16.999999999999943</c:v>
                </c:pt>
                <c:pt idx="294">
                  <c:v>17.099999999999945</c:v>
                </c:pt>
                <c:pt idx="295">
                  <c:v>17.199999999999946</c:v>
                </c:pt>
                <c:pt idx="296">
                  <c:v>17.299999999999947</c:v>
                </c:pt>
                <c:pt idx="297">
                  <c:v>17.399999999999949</c:v>
                </c:pt>
                <c:pt idx="298">
                  <c:v>17.49999999999995</c:v>
                </c:pt>
                <c:pt idx="299">
                  <c:v>17.599999999999952</c:v>
                </c:pt>
                <c:pt idx="300">
                  <c:v>17.699999999999953</c:v>
                </c:pt>
                <c:pt idx="301">
                  <c:v>17.799999999999955</c:v>
                </c:pt>
                <c:pt idx="302">
                  <c:v>17.899999999999956</c:v>
                </c:pt>
                <c:pt idx="303">
                  <c:v>17.999999999999957</c:v>
                </c:pt>
                <c:pt idx="304">
                  <c:v>18.099999999999959</c:v>
                </c:pt>
                <c:pt idx="305">
                  <c:v>18.19999999999996</c:v>
                </c:pt>
                <c:pt idx="306">
                  <c:v>18.299999999999962</c:v>
                </c:pt>
                <c:pt idx="307">
                  <c:v>18.399999999999963</c:v>
                </c:pt>
                <c:pt idx="308">
                  <c:v>18.499999999999964</c:v>
                </c:pt>
                <c:pt idx="309">
                  <c:v>18.599999999999966</c:v>
                </c:pt>
                <c:pt idx="310">
                  <c:v>18.699999999999967</c:v>
                </c:pt>
                <c:pt idx="311">
                  <c:v>18.799999999999969</c:v>
                </c:pt>
                <c:pt idx="312">
                  <c:v>18.89999999999997</c:v>
                </c:pt>
                <c:pt idx="313">
                  <c:v>18.999999999999972</c:v>
                </c:pt>
                <c:pt idx="314">
                  <c:v>19.099999999999973</c:v>
                </c:pt>
                <c:pt idx="315">
                  <c:v>19.199999999999974</c:v>
                </c:pt>
                <c:pt idx="316">
                  <c:v>19.299999999999976</c:v>
                </c:pt>
                <c:pt idx="317">
                  <c:v>19.399999999999977</c:v>
                </c:pt>
                <c:pt idx="318">
                  <c:v>19.499999999999979</c:v>
                </c:pt>
                <c:pt idx="319">
                  <c:v>19.59999999999998</c:v>
                </c:pt>
                <c:pt idx="320">
                  <c:v>19.699999999999982</c:v>
                </c:pt>
                <c:pt idx="321">
                  <c:v>19.799999999999983</c:v>
                </c:pt>
                <c:pt idx="322">
                  <c:v>19.899999999999984</c:v>
                </c:pt>
                <c:pt idx="323">
                  <c:v>19.999999999999986</c:v>
                </c:pt>
                <c:pt idx="324">
                  <c:v>20.099999999999987</c:v>
                </c:pt>
                <c:pt idx="325">
                  <c:v>20.199999999999989</c:v>
                </c:pt>
                <c:pt idx="326">
                  <c:v>20.29999999999999</c:v>
                </c:pt>
                <c:pt idx="327">
                  <c:v>20.399999999999991</c:v>
                </c:pt>
                <c:pt idx="328">
                  <c:v>20.499999999999993</c:v>
                </c:pt>
                <c:pt idx="329">
                  <c:v>20.599999999999994</c:v>
                </c:pt>
                <c:pt idx="330">
                  <c:v>20.699999999999996</c:v>
                </c:pt>
                <c:pt idx="331">
                  <c:v>20.799999999999997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21.200000000000003</c:v>
                </c:pt>
                <c:pt idx="336">
                  <c:v>21.300000000000004</c:v>
                </c:pt>
                <c:pt idx="337">
                  <c:v>21.400000000000006</c:v>
                </c:pt>
                <c:pt idx="338">
                  <c:v>21.500000000000007</c:v>
                </c:pt>
                <c:pt idx="339">
                  <c:v>21.600000000000009</c:v>
                </c:pt>
                <c:pt idx="340">
                  <c:v>21.70000000000001</c:v>
                </c:pt>
                <c:pt idx="341">
                  <c:v>21.800000000000011</c:v>
                </c:pt>
                <c:pt idx="342">
                  <c:v>21.900000000000013</c:v>
                </c:pt>
                <c:pt idx="343">
                  <c:v>22.000000000000014</c:v>
                </c:pt>
                <c:pt idx="344">
                  <c:v>22.100000000000016</c:v>
                </c:pt>
                <c:pt idx="345">
                  <c:v>22.200000000000017</c:v>
                </c:pt>
                <c:pt idx="346">
                  <c:v>22.300000000000018</c:v>
                </c:pt>
                <c:pt idx="347">
                  <c:v>22.40000000000002</c:v>
                </c:pt>
                <c:pt idx="348">
                  <c:v>22.500000000000021</c:v>
                </c:pt>
                <c:pt idx="349">
                  <c:v>22.600000000000023</c:v>
                </c:pt>
                <c:pt idx="350">
                  <c:v>22.700000000000024</c:v>
                </c:pt>
                <c:pt idx="351">
                  <c:v>22.800000000000026</c:v>
                </c:pt>
                <c:pt idx="352">
                  <c:v>22.900000000000027</c:v>
                </c:pt>
                <c:pt idx="353">
                  <c:v>23.000000000000028</c:v>
                </c:pt>
                <c:pt idx="354">
                  <c:v>23.10000000000003</c:v>
                </c:pt>
                <c:pt idx="355">
                  <c:v>23.200000000000031</c:v>
                </c:pt>
                <c:pt idx="356">
                  <c:v>23.300000000000033</c:v>
                </c:pt>
                <c:pt idx="357">
                  <c:v>23.400000000000034</c:v>
                </c:pt>
                <c:pt idx="358">
                  <c:v>23.500000000000036</c:v>
                </c:pt>
                <c:pt idx="359">
                  <c:v>23.600000000000037</c:v>
                </c:pt>
                <c:pt idx="360">
                  <c:v>23.700000000000038</c:v>
                </c:pt>
                <c:pt idx="361">
                  <c:v>23.80000000000004</c:v>
                </c:pt>
                <c:pt idx="362">
                  <c:v>23.900000000000041</c:v>
                </c:pt>
                <c:pt idx="363">
                  <c:v>24.000000000000043</c:v>
                </c:pt>
                <c:pt idx="364">
                  <c:v>24.100000000000044</c:v>
                </c:pt>
                <c:pt idx="365">
                  <c:v>24.200000000000045</c:v>
                </c:pt>
                <c:pt idx="366">
                  <c:v>24.300000000000047</c:v>
                </c:pt>
                <c:pt idx="367">
                  <c:v>24.400000000000048</c:v>
                </c:pt>
                <c:pt idx="368">
                  <c:v>24.50000000000005</c:v>
                </c:pt>
                <c:pt idx="369">
                  <c:v>24.600000000000051</c:v>
                </c:pt>
                <c:pt idx="370">
                  <c:v>24.700000000000053</c:v>
                </c:pt>
                <c:pt idx="371">
                  <c:v>24.800000000000054</c:v>
                </c:pt>
                <c:pt idx="372">
                  <c:v>24.900000000000055</c:v>
                </c:pt>
                <c:pt idx="373">
                  <c:v>25.000000000000057</c:v>
                </c:pt>
                <c:pt idx="374">
                  <c:v>25.100000000000058</c:v>
                </c:pt>
                <c:pt idx="375">
                  <c:v>25.20000000000006</c:v>
                </c:pt>
                <c:pt idx="376">
                  <c:v>25.300000000000061</c:v>
                </c:pt>
                <c:pt idx="377">
                  <c:v>25.400000000000063</c:v>
                </c:pt>
                <c:pt idx="378">
                  <c:v>25.500000000000064</c:v>
                </c:pt>
                <c:pt idx="379">
                  <c:v>25.600000000000065</c:v>
                </c:pt>
                <c:pt idx="380">
                  <c:v>25.700000000000067</c:v>
                </c:pt>
                <c:pt idx="381">
                  <c:v>25.800000000000068</c:v>
                </c:pt>
                <c:pt idx="382">
                  <c:v>25.90000000000007</c:v>
                </c:pt>
                <c:pt idx="383">
                  <c:v>26.000000000000071</c:v>
                </c:pt>
                <c:pt idx="384">
                  <c:v>26.100000000000072</c:v>
                </c:pt>
                <c:pt idx="385">
                  <c:v>26.200000000000074</c:v>
                </c:pt>
                <c:pt idx="386">
                  <c:v>26.300000000000075</c:v>
                </c:pt>
                <c:pt idx="387">
                  <c:v>26.400000000000077</c:v>
                </c:pt>
                <c:pt idx="388">
                  <c:v>26.500000000000078</c:v>
                </c:pt>
                <c:pt idx="389">
                  <c:v>26.60000000000008</c:v>
                </c:pt>
                <c:pt idx="390">
                  <c:v>26.700000000000081</c:v>
                </c:pt>
                <c:pt idx="391">
                  <c:v>26.800000000000082</c:v>
                </c:pt>
                <c:pt idx="392">
                  <c:v>26.900000000000084</c:v>
                </c:pt>
                <c:pt idx="393">
                  <c:v>27.000000000000085</c:v>
                </c:pt>
                <c:pt idx="394">
                  <c:v>27.100000000000087</c:v>
                </c:pt>
                <c:pt idx="395">
                  <c:v>27.200000000000088</c:v>
                </c:pt>
                <c:pt idx="396">
                  <c:v>27.30000000000009</c:v>
                </c:pt>
                <c:pt idx="397">
                  <c:v>27.400000000000091</c:v>
                </c:pt>
                <c:pt idx="398">
                  <c:v>27.500000000000092</c:v>
                </c:pt>
                <c:pt idx="399">
                  <c:v>27.600000000000094</c:v>
                </c:pt>
                <c:pt idx="400">
                  <c:v>27.700000000000095</c:v>
                </c:pt>
                <c:pt idx="401">
                  <c:v>27.800000000000097</c:v>
                </c:pt>
                <c:pt idx="402">
                  <c:v>27.900000000000098</c:v>
                </c:pt>
                <c:pt idx="403">
                  <c:v>28.000000000000099</c:v>
                </c:pt>
                <c:pt idx="404">
                  <c:v>28.100000000000101</c:v>
                </c:pt>
                <c:pt idx="405">
                  <c:v>28.200000000000102</c:v>
                </c:pt>
                <c:pt idx="406">
                  <c:v>28.300000000000104</c:v>
                </c:pt>
                <c:pt idx="407">
                  <c:v>28.400000000000105</c:v>
                </c:pt>
                <c:pt idx="408">
                  <c:v>28.500000000000107</c:v>
                </c:pt>
                <c:pt idx="409">
                  <c:v>28.600000000000108</c:v>
                </c:pt>
                <c:pt idx="410">
                  <c:v>28.700000000000109</c:v>
                </c:pt>
                <c:pt idx="411">
                  <c:v>28.800000000000111</c:v>
                </c:pt>
                <c:pt idx="412">
                  <c:v>28.900000000000112</c:v>
                </c:pt>
                <c:pt idx="413">
                  <c:v>29.000000000000114</c:v>
                </c:pt>
                <c:pt idx="414">
                  <c:v>29.100000000000115</c:v>
                </c:pt>
                <c:pt idx="415">
                  <c:v>29.200000000000117</c:v>
                </c:pt>
                <c:pt idx="416">
                  <c:v>29.300000000000118</c:v>
                </c:pt>
                <c:pt idx="417">
                  <c:v>29.400000000000119</c:v>
                </c:pt>
                <c:pt idx="418">
                  <c:v>29.500000000000121</c:v>
                </c:pt>
                <c:pt idx="419">
                  <c:v>29.600000000000122</c:v>
                </c:pt>
                <c:pt idx="420">
                  <c:v>29.700000000000124</c:v>
                </c:pt>
                <c:pt idx="421">
                  <c:v>29.800000000000125</c:v>
                </c:pt>
                <c:pt idx="422">
                  <c:v>29.900000000000126</c:v>
                </c:pt>
                <c:pt idx="423">
                  <c:v>30.000000000000128</c:v>
                </c:pt>
                <c:pt idx="424">
                  <c:v>30.100000000000129</c:v>
                </c:pt>
                <c:pt idx="425">
                  <c:v>30.200000000000131</c:v>
                </c:pt>
                <c:pt idx="426">
                  <c:v>30.300000000000132</c:v>
                </c:pt>
                <c:pt idx="427">
                  <c:v>30.400000000000134</c:v>
                </c:pt>
                <c:pt idx="428">
                  <c:v>30.500000000000135</c:v>
                </c:pt>
                <c:pt idx="429">
                  <c:v>30.600000000000136</c:v>
                </c:pt>
                <c:pt idx="430">
                  <c:v>30.700000000000138</c:v>
                </c:pt>
                <c:pt idx="431">
                  <c:v>30.800000000000139</c:v>
                </c:pt>
                <c:pt idx="432">
                  <c:v>30.900000000000141</c:v>
                </c:pt>
                <c:pt idx="433">
                  <c:v>31.000000000000142</c:v>
                </c:pt>
                <c:pt idx="434">
                  <c:v>31.100000000000144</c:v>
                </c:pt>
                <c:pt idx="435">
                  <c:v>31.200000000000145</c:v>
                </c:pt>
                <c:pt idx="436">
                  <c:v>31.300000000000146</c:v>
                </c:pt>
                <c:pt idx="437">
                  <c:v>31.400000000000148</c:v>
                </c:pt>
                <c:pt idx="438">
                  <c:v>31.500000000000149</c:v>
                </c:pt>
                <c:pt idx="439">
                  <c:v>31.600000000000151</c:v>
                </c:pt>
                <c:pt idx="440">
                  <c:v>31.700000000000152</c:v>
                </c:pt>
                <c:pt idx="441">
                  <c:v>31.800000000000153</c:v>
                </c:pt>
                <c:pt idx="442">
                  <c:v>31.900000000000155</c:v>
                </c:pt>
                <c:pt idx="443">
                  <c:v>32.000000000000156</c:v>
                </c:pt>
                <c:pt idx="444">
                  <c:v>32.100000000000158</c:v>
                </c:pt>
                <c:pt idx="445">
                  <c:v>32.200000000000159</c:v>
                </c:pt>
                <c:pt idx="446">
                  <c:v>32.300000000000161</c:v>
                </c:pt>
                <c:pt idx="447">
                  <c:v>32.400000000000162</c:v>
                </c:pt>
                <c:pt idx="448">
                  <c:v>32.500000000000163</c:v>
                </c:pt>
                <c:pt idx="449">
                  <c:v>32.600000000000165</c:v>
                </c:pt>
                <c:pt idx="450">
                  <c:v>32.700000000000166</c:v>
                </c:pt>
                <c:pt idx="451">
                  <c:v>32.800000000000168</c:v>
                </c:pt>
                <c:pt idx="452">
                  <c:v>32.900000000000169</c:v>
                </c:pt>
                <c:pt idx="453">
                  <c:v>33.000000000000171</c:v>
                </c:pt>
                <c:pt idx="454">
                  <c:v>33.100000000000172</c:v>
                </c:pt>
                <c:pt idx="455">
                  <c:v>33.200000000000173</c:v>
                </c:pt>
                <c:pt idx="456">
                  <c:v>33.300000000000175</c:v>
                </c:pt>
                <c:pt idx="457">
                  <c:v>33.400000000000176</c:v>
                </c:pt>
                <c:pt idx="458">
                  <c:v>33.500000000000178</c:v>
                </c:pt>
                <c:pt idx="459">
                  <c:v>33.600000000000179</c:v>
                </c:pt>
                <c:pt idx="460">
                  <c:v>33.70000000000018</c:v>
                </c:pt>
                <c:pt idx="461">
                  <c:v>33.800000000000182</c:v>
                </c:pt>
                <c:pt idx="462">
                  <c:v>33.900000000000183</c:v>
                </c:pt>
                <c:pt idx="463">
                  <c:v>34.000000000000185</c:v>
                </c:pt>
                <c:pt idx="464">
                  <c:v>34.100000000000186</c:v>
                </c:pt>
                <c:pt idx="465">
                  <c:v>34.200000000000188</c:v>
                </c:pt>
                <c:pt idx="466">
                  <c:v>34.300000000000189</c:v>
                </c:pt>
                <c:pt idx="467">
                  <c:v>34.40000000000019</c:v>
                </c:pt>
                <c:pt idx="468">
                  <c:v>34.500000000000192</c:v>
                </c:pt>
                <c:pt idx="469">
                  <c:v>34.600000000000193</c:v>
                </c:pt>
                <c:pt idx="470">
                  <c:v>34.700000000000195</c:v>
                </c:pt>
                <c:pt idx="471">
                  <c:v>34.800000000000196</c:v>
                </c:pt>
                <c:pt idx="472">
                  <c:v>34.900000000000198</c:v>
                </c:pt>
                <c:pt idx="473">
                  <c:v>35.000000000000199</c:v>
                </c:pt>
                <c:pt idx="474">
                  <c:v>35.1000000000002</c:v>
                </c:pt>
                <c:pt idx="475">
                  <c:v>35.200000000000202</c:v>
                </c:pt>
                <c:pt idx="476">
                  <c:v>35.300000000000203</c:v>
                </c:pt>
                <c:pt idx="477">
                  <c:v>35.400000000000205</c:v>
                </c:pt>
                <c:pt idx="478">
                  <c:v>35.500000000000206</c:v>
                </c:pt>
                <c:pt idx="479">
                  <c:v>35.600000000000207</c:v>
                </c:pt>
                <c:pt idx="480">
                  <c:v>35.700000000000209</c:v>
                </c:pt>
                <c:pt idx="481">
                  <c:v>35.80000000000021</c:v>
                </c:pt>
                <c:pt idx="482">
                  <c:v>35.900000000000212</c:v>
                </c:pt>
                <c:pt idx="483">
                  <c:v>36.000000000000213</c:v>
                </c:pt>
                <c:pt idx="484">
                  <c:v>36.100000000000215</c:v>
                </c:pt>
                <c:pt idx="485">
                  <c:v>36.200000000000216</c:v>
                </c:pt>
                <c:pt idx="486">
                  <c:v>36.300000000000217</c:v>
                </c:pt>
                <c:pt idx="487">
                  <c:v>36.400000000000219</c:v>
                </c:pt>
                <c:pt idx="488">
                  <c:v>36.50000000000022</c:v>
                </c:pt>
                <c:pt idx="489">
                  <c:v>36.600000000000222</c:v>
                </c:pt>
                <c:pt idx="490">
                  <c:v>36.700000000000223</c:v>
                </c:pt>
                <c:pt idx="491">
                  <c:v>36.800000000000225</c:v>
                </c:pt>
                <c:pt idx="492">
                  <c:v>36.900000000000226</c:v>
                </c:pt>
                <c:pt idx="493">
                  <c:v>37.000000000000227</c:v>
                </c:pt>
                <c:pt idx="494">
                  <c:v>37.100000000000229</c:v>
                </c:pt>
                <c:pt idx="495">
                  <c:v>37.20000000000023</c:v>
                </c:pt>
                <c:pt idx="496">
                  <c:v>37.300000000000232</c:v>
                </c:pt>
                <c:pt idx="497">
                  <c:v>37.400000000000233</c:v>
                </c:pt>
                <c:pt idx="498">
                  <c:v>37.500000000000234</c:v>
                </c:pt>
                <c:pt idx="499">
                  <c:v>37.600000000000236</c:v>
                </c:pt>
                <c:pt idx="500">
                  <c:v>37.700000000000237</c:v>
                </c:pt>
                <c:pt idx="501">
                  <c:v>37.800000000000239</c:v>
                </c:pt>
                <c:pt idx="502">
                  <c:v>37.90000000000024</c:v>
                </c:pt>
                <c:pt idx="503">
                  <c:v>38.000000000000242</c:v>
                </c:pt>
                <c:pt idx="504">
                  <c:v>38.100000000000243</c:v>
                </c:pt>
                <c:pt idx="505">
                  <c:v>38.200000000000244</c:v>
                </c:pt>
                <c:pt idx="506">
                  <c:v>38.300000000000246</c:v>
                </c:pt>
                <c:pt idx="507">
                  <c:v>38.400000000000247</c:v>
                </c:pt>
                <c:pt idx="508">
                  <c:v>38.500000000000249</c:v>
                </c:pt>
                <c:pt idx="509">
                  <c:v>38.60000000000025</c:v>
                </c:pt>
                <c:pt idx="510">
                  <c:v>38.700000000000252</c:v>
                </c:pt>
                <c:pt idx="511">
                  <c:v>38.800000000000253</c:v>
                </c:pt>
                <c:pt idx="512">
                  <c:v>38.900000000000254</c:v>
                </c:pt>
                <c:pt idx="513">
                  <c:v>39.000000000000256</c:v>
                </c:pt>
                <c:pt idx="514">
                  <c:v>39.100000000000257</c:v>
                </c:pt>
                <c:pt idx="515">
                  <c:v>39.200000000000259</c:v>
                </c:pt>
                <c:pt idx="516">
                  <c:v>39.30000000000026</c:v>
                </c:pt>
                <c:pt idx="517">
                  <c:v>39.400000000000261</c:v>
                </c:pt>
                <c:pt idx="518">
                  <c:v>39.500000000000263</c:v>
                </c:pt>
                <c:pt idx="519">
                  <c:v>39.600000000000264</c:v>
                </c:pt>
                <c:pt idx="520">
                  <c:v>39.700000000000266</c:v>
                </c:pt>
                <c:pt idx="521">
                  <c:v>39.800000000000267</c:v>
                </c:pt>
                <c:pt idx="522">
                  <c:v>39.900000000000269</c:v>
                </c:pt>
                <c:pt idx="523">
                  <c:v>40.00000000000027</c:v>
                </c:pt>
                <c:pt idx="524">
                  <c:v>40.100000000000271</c:v>
                </c:pt>
                <c:pt idx="525">
                  <c:v>40.200000000000273</c:v>
                </c:pt>
                <c:pt idx="526">
                  <c:v>40.300000000000274</c:v>
                </c:pt>
                <c:pt idx="527">
                  <c:v>40.400000000000276</c:v>
                </c:pt>
                <c:pt idx="528">
                  <c:v>40.500000000000277</c:v>
                </c:pt>
                <c:pt idx="529">
                  <c:v>40.600000000000279</c:v>
                </c:pt>
                <c:pt idx="530">
                  <c:v>40.70000000000028</c:v>
                </c:pt>
                <c:pt idx="531">
                  <c:v>40.800000000000281</c:v>
                </c:pt>
                <c:pt idx="532">
                  <c:v>40.900000000000283</c:v>
                </c:pt>
                <c:pt idx="533">
                  <c:v>41.000000000000284</c:v>
                </c:pt>
                <c:pt idx="534">
                  <c:v>41.100000000000286</c:v>
                </c:pt>
                <c:pt idx="535">
                  <c:v>41.200000000000287</c:v>
                </c:pt>
                <c:pt idx="536">
                  <c:v>41.300000000000288</c:v>
                </c:pt>
                <c:pt idx="537">
                  <c:v>41.40000000000029</c:v>
                </c:pt>
                <c:pt idx="538">
                  <c:v>41.500000000000291</c:v>
                </c:pt>
                <c:pt idx="539">
                  <c:v>41.600000000000293</c:v>
                </c:pt>
                <c:pt idx="540">
                  <c:v>41.700000000000294</c:v>
                </c:pt>
                <c:pt idx="541">
                  <c:v>41.800000000000296</c:v>
                </c:pt>
                <c:pt idx="542">
                  <c:v>41.900000000000297</c:v>
                </c:pt>
                <c:pt idx="543">
                  <c:v>42.000000000000298</c:v>
                </c:pt>
                <c:pt idx="544">
                  <c:v>42.1000000000003</c:v>
                </c:pt>
                <c:pt idx="545">
                  <c:v>42.200000000000301</c:v>
                </c:pt>
                <c:pt idx="546">
                  <c:v>42.300000000000303</c:v>
                </c:pt>
                <c:pt idx="547">
                  <c:v>42.400000000000304</c:v>
                </c:pt>
                <c:pt idx="548">
                  <c:v>42.500000000000306</c:v>
                </c:pt>
                <c:pt idx="549">
                  <c:v>42.600000000000307</c:v>
                </c:pt>
                <c:pt idx="550">
                  <c:v>42.700000000000308</c:v>
                </c:pt>
                <c:pt idx="551">
                  <c:v>42.80000000000031</c:v>
                </c:pt>
                <c:pt idx="552">
                  <c:v>42.900000000000311</c:v>
                </c:pt>
                <c:pt idx="553">
                  <c:v>43.000000000000313</c:v>
                </c:pt>
                <c:pt idx="554">
                  <c:v>43.100000000000314</c:v>
                </c:pt>
                <c:pt idx="555">
                  <c:v>43.200000000000315</c:v>
                </c:pt>
                <c:pt idx="556">
                  <c:v>43.300000000000317</c:v>
                </c:pt>
                <c:pt idx="557">
                  <c:v>43.400000000000318</c:v>
                </c:pt>
                <c:pt idx="558">
                  <c:v>43.50000000000032</c:v>
                </c:pt>
                <c:pt idx="559">
                  <c:v>43.600000000000321</c:v>
                </c:pt>
                <c:pt idx="560">
                  <c:v>43.700000000000323</c:v>
                </c:pt>
                <c:pt idx="561">
                  <c:v>43.800000000000324</c:v>
                </c:pt>
                <c:pt idx="562">
                  <c:v>43.900000000000325</c:v>
                </c:pt>
                <c:pt idx="563">
                  <c:v>44.000000000000327</c:v>
                </c:pt>
                <c:pt idx="564">
                  <c:v>44.100000000000328</c:v>
                </c:pt>
                <c:pt idx="565">
                  <c:v>44.20000000000033</c:v>
                </c:pt>
                <c:pt idx="566">
                  <c:v>44.300000000000331</c:v>
                </c:pt>
                <c:pt idx="567">
                  <c:v>44.400000000000333</c:v>
                </c:pt>
                <c:pt idx="568">
                  <c:v>44.500000000000334</c:v>
                </c:pt>
                <c:pt idx="569">
                  <c:v>44.600000000000335</c:v>
                </c:pt>
                <c:pt idx="570">
                  <c:v>44.700000000000337</c:v>
                </c:pt>
                <c:pt idx="571">
                  <c:v>44.800000000000338</c:v>
                </c:pt>
                <c:pt idx="572">
                  <c:v>44.90000000000034</c:v>
                </c:pt>
                <c:pt idx="573">
                  <c:v>45.000000000000341</c:v>
                </c:pt>
                <c:pt idx="574">
                  <c:v>45.100000000000342</c:v>
                </c:pt>
                <c:pt idx="575">
                  <c:v>45.200000000000344</c:v>
                </c:pt>
                <c:pt idx="576">
                  <c:v>45.300000000000345</c:v>
                </c:pt>
                <c:pt idx="577">
                  <c:v>45.400000000000347</c:v>
                </c:pt>
                <c:pt idx="578">
                  <c:v>45.500000000000348</c:v>
                </c:pt>
                <c:pt idx="579">
                  <c:v>45.60000000000035</c:v>
                </c:pt>
                <c:pt idx="580">
                  <c:v>45.700000000000351</c:v>
                </c:pt>
                <c:pt idx="581">
                  <c:v>45.800000000000352</c:v>
                </c:pt>
                <c:pt idx="582">
                  <c:v>45.900000000000354</c:v>
                </c:pt>
                <c:pt idx="583">
                  <c:v>46.000000000000355</c:v>
                </c:pt>
                <c:pt idx="584">
                  <c:v>46.100000000000357</c:v>
                </c:pt>
                <c:pt idx="585">
                  <c:v>46.200000000000358</c:v>
                </c:pt>
                <c:pt idx="586">
                  <c:v>46.30000000000036</c:v>
                </c:pt>
                <c:pt idx="587">
                  <c:v>46.400000000000361</c:v>
                </c:pt>
                <c:pt idx="588">
                  <c:v>46.500000000000362</c:v>
                </c:pt>
                <c:pt idx="589">
                  <c:v>46.600000000000364</c:v>
                </c:pt>
                <c:pt idx="590">
                  <c:v>46.700000000000365</c:v>
                </c:pt>
                <c:pt idx="591">
                  <c:v>46.800000000000367</c:v>
                </c:pt>
                <c:pt idx="592">
                  <c:v>46.900000000000368</c:v>
                </c:pt>
                <c:pt idx="593">
                  <c:v>47.000000000000369</c:v>
                </c:pt>
                <c:pt idx="594">
                  <c:v>47.100000000000371</c:v>
                </c:pt>
                <c:pt idx="595">
                  <c:v>47.100100000000374</c:v>
                </c:pt>
                <c:pt idx="596">
                  <c:v>47.100200000000378</c:v>
                </c:pt>
                <c:pt idx="597">
                  <c:v>47.100300000000381</c:v>
                </c:pt>
                <c:pt idx="598">
                  <c:v>47.100400000000384</c:v>
                </c:pt>
                <c:pt idx="599">
                  <c:v>47.100500000000388</c:v>
                </c:pt>
                <c:pt idx="600">
                  <c:v>47.100600000000391</c:v>
                </c:pt>
                <c:pt idx="601">
                  <c:v>47.100700000000394</c:v>
                </c:pt>
                <c:pt idx="602">
                  <c:v>47.100800000000397</c:v>
                </c:pt>
                <c:pt idx="603">
                  <c:v>47.100900000000401</c:v>
                </c:pt>
                <c:pt idx="604">
                  <c:v>47.101000000000404</c:v>
                </c:pt>
                <c:pt idx="605">
                  <c:v>47.101100000000407</c:v>
                </c:pt>
                <c:pt idx="606">
                  <c:v>47.101200000000411</c:v>
                </c:pt>
                <c:pt idx="607">
                  <c:v>47.101300000000414</c:v>
                </c:pt>
                <c:pt idx="608">
                  <c:v>47.101400000000417</c:v>
                </c:pt>
                <c:pt idx="609">
                  <c:v>47.101500000000421</c:v>
                </c:pt>
                <c:pt idx="610">
                  <c:v>47.101600000000424</c:v>
                </c:pt>
                <c:pt idx="611">
                  <c:v>47.101700000000427</c:v>
                </c:pt>
                <c:pt idx="612">
                  <c:v>47.101800000000431</c:v>
                </c:pt>
                <c:pt idx="613">
                  <c:v>47.101900000000434</c:v>
                </c:pt>
                <c:pt idx="614">
                  <c:v>47.102000000000437</c:v>
                </c:pt>
                <c:pt idx="615">
                  <c:v>47.102100000000441</c:v>
                </c:pt>
                <c:pt idx="616">
                  <c:v>47.102200000000444</c:v>
                </c:pt>
                <c:pt idx="617">
                  <c:v>47.102300000000447</c:v>
                </c:pt>
                <c:pt idx="618">
                  <c:v>47.102400000000451</c:v>
                </c:pt>
                <c:pt idx="619">
                  <c:v>47.102500000000454</c:v>
                </c:pt>
                <c:pt idx="620">
                  <c:v>47.102600000000457</c:v>
                </c:pt>
                <c:pt idx="621">
                  <c:v>47.102700000000461</c:v>
                </c:pt>
                <c:pt idx="622">
                  <c:v>47.102800000000464</c:v>
                </c:pt>
                <c:pt idx="623">
                  <c:v>47.102900000000467</c:v>
                </c:pt>
                <c:pt idx="624">
                  <c:v>47.10300000000047</c:v>
                </c:pt>
                <c:pt idx="625">
                  <c:v>47.103100000000474</c:v>
                </c:pt>
                <c:pt idx="626">
                  <c:v>47.103200000000477</c:v>
                </c:pt>
                <c:pt idx="627">
                  <c:v>47.10330000000048</c:v>
                </c:pt>
                <c:pt idx="628">
                  <c:v>47.103400000000484</c:v>
                </c:pt>
                <c:pt idx="629">
                  <c:v>47.103500000000487</c:v>
                </c:pt>
                <c:pt idx="630">
                  <c:v>47.10360000000049</c:v>
                </c:pt>
                <c:pt idx="631">
                  <c:v>47.103700000000494</c:v>
                </c:pt>
                <c:pt idx="632">
                  <c:v>47.103800000000497</c:v>
                </c:pt>
                <c:pt idx="633">
                  <c:v>47.1039000000005</c:v>
                </c:pt>
                <c:pt idx="634">
                  <c:v>47.104000000000504</c:v>
                </c:pt>
                <c:pt idx="635">
                  <c:v>47.104100000000507</c:v>
                </c:pt>
                <c:pt idx="636">
                  <c:v>47.10420000000051</c:v>
                </c:pt>
                <c:pt idx="637">
                  <c:v>47.104300000000514</c:v>
                </c:pt>
                <c:pt idx="638">
                  <c:v>47.104400000000517</c:v>
                </c:pt>
                <c:pt idx="639">
                  <c:v>47.10450000000052</c:v>
                </c:pt>
                <c:pt idx="640">
                  <c:v>47.104600000000524</c:v>
                </c:pt>
                <c:pt idx="641">
                  <c:v>47.104700000000527</c:v>
                </c:pt>
                <c:pt idx="642">
                  <c:v>47.10480000000053</c:v>
                </c:pt>
                <c:pt idx="643">
                  <c:v>47.104900000000534</c:v>
                </c:pt>
                <c:pt idx="644">
                  <c:v>47.105000000000537</c:v>
                </c:pt>
                <c:pt idx="645">
                  <c:v>47.10510000000054</c:v>
                </c:pt>
                <c:pt idx="646">
                  <c:v>47.105200000000544</c:v>
                </c:pt>
                <c:pt idx="647">
                  <c:v>47.105300000000547</c:v>
                </c:pt>
                <c:pt idx="648">
                  <c:v>47.10540000000055</c:v>
                </c:pt>
                <c:pt idx="649">
                  <c:v>47.105500000000553</c:v>
                </c:pt>
                <c:pt idx="650">
                  <c:v>47.105600000000557</c:v>
                </c:pt>
                <c:pt idx="651">
                  <c:v>47.10570000000056</c:v>
                </c:pt>
                <c:pt idx="652">
                  <c:v>47.105800000000563</c:v>
                </c:pt>
                <c:pt idx="653">
                  <c:v>47.105900000000567</c:v>
                </c:pt>
                <c:pt idx="654">
                  <c:v>47.10600000000057</c:v>
                </c:pt>
                <c:pt idx="655">
                  <c:v>47.106100000000573</c:v>
                </c:pt>
                <c:pt idx="656">
                  <c:v>47.106200000000577</c:v>
                </c:pt>
                <c:pt idx="657">
                  <c:v>47.10630000000058</c:v>
                </c:pt>
                <c:pt idx="658">
                  <c:v>47.106400000000583</c:v>
                </c:pt>
                <c:pt idx="659">
                  <c:v>47.106500000000587</c:v>
                </c:pt>
                <c:pt idx="660">
                  <c:v>47.10660000000059</c:v>
                </c:pt>
                <c:pt idx="661">
                  <c:v>47.106700000000593</c:v>
                </c:pt>
                <c:pt idx="662">
                  <c:v>47.106800000000597</c:v>
                </c:pt>
                <c:pt idx="663">
                  <c:v>47.1069000000006</c:v>
                </c:pt>
                <c:pt idx="664">
                  <c:v>47.107000000000603</c:v>
                </c:pt>
                <c:pt idx="665">
                  <c:v>47.107100000000607</c:v>
                </c:pt>
                <c:pt idx="666">
                  <c:v>47.10720000000061</c:v>
                </c:pt>
                <c:pt idx="667">
                  <c:v>47.107300000000613</c:v>
                </c:pt>
                <c:pt idx="668">
                  <c:v>47.107400000000617</c:v>
                </c:pt>
                <c:pt idx="669">
                  <c:v>47.10750000000062</c:v>
                </c:pt>
                <c:pt idx="670">
                  <c:v>47.107600000000623</c:v>
                </c:pt>
                <c:pt idx="671">
                  <c:v>47.107700000000627</c:v>
                </c:pt>
                <c:pt idx="672">
                  <c:v>47.10780000000063</c:v>
                </c:pt>
                <c:pt idx="673">
                  <c:v>47.107900000000633</c:v>
                </c:pt>
                <c:pt idx="674">
                  <c:v>47.108000000000636</c:v>
                </c:pt>
                <c:pt idx="675">
                  <c:v>47.10810000000064</c:v>
                </c:pt>
                <c:pt idx="676">
                  <c:v>47.108200000000643</c:v>
                </c:pt>
                <c:pt idx="677">
                  <c:v>47.108300000000646</c:v>
                </c:pt>
                <c:pt idx="678">
                  <c:v>47.10840000000065</c:v>
                </c:pt>
                <c:pt idx="679">
                  <c:v>47.108500000000653</c:v>
                </c:pt>
                <c:pt idx="680">
                  <c:v>47.108600000000656</c:v>
                </c:pt>
                <c:pt idx="681">
                  <c:v>47.10870000000066</c:v>
                </c:pt>
                <c:pt idx="682">
                  <c:v>47.108800000000663</c:v>
                </c:pt>
                <c:pt idx="683">
                  <c:v>47.108900000000666</c:v>
                </c:pt>
                <c:pt idx="684">
                  <c:v>47.10900000000067</c:v>
                </c:pt>
                <c:pt idx="685">
                  <c:v>47.109100000000673</c:v>
                </c:pt>
                <c:pt idx="686">
                  <c:v>47.109200000000676</c:v>
                </c:pt>
                <c:pt idx="687">
                  <c:v>47.10930000000068</c:v>
                </c:pt>
                <c:pt idx="688">
                  <c:v>47.109400000000683</c:v>
                </c:pt>
                <c:pt idx="689">
                  <c:v>47.109500000000686</c:v>
                </c:pt>
                <c:pt idx="690">
                  <c:v>47.10960000000069</c:v>
                </c:pt>
                <c:pt idx="691">
                  <c:v>47.109700000000693</c:v>
                </c:pt>
                <c:pt idx="692">
                  <c:v>47.109800000000696</c:v>
                </c:pt>
                <c:pt idx="693">
                  <c:v>47.1099000000007</c:v>
                </c:pt>
                <c:pt idx="694">
                  <c:v>47.110000000000703</c:v>
                </c:pt>
                <c:pt idx="695">
                  <c:v>47.110100000000706</c:v>
                </c:pt>
                <c:pt idx="696">
                  <c:v>47.11020000000071</c:v>
                </c:pt>
                <c:pt idx="697">
                  <c:v>47.110300000000713</c:v>
                </c:pt>
                <c:pt idx="698">
                  <c:v>47.110400000000716</c:v>
                </c:pt>
                <c:pt idx="699">
                  <c:v>47.110500000000719</c:v>
                </c:pt>
                <c:pt idx="700">
                  <c:v>47.110600000000723</c:v>
                </c:pt>
                <c:pt idx="701">
                  <c:v>47.110700000000726</c:v>
                </c:pt>
                <c:pt idx="702">
                  <c:v>47.110800000000729</c:v>
                </c:pt>
                <c:pt idx="703">
                  <c:v>47.110900000000733</c:v>
                </c:pt>
                <c:pt idx="704">
                  <c:v>47.111000000000736</c:v>
                </c:pt>
                <c:pt idx="705">
                  <c:v>47.111100000000739</c:v>
                </c:pt>
                <c:pt idx="706">
                  <c:v>47.111200000000743</c:v>
                </c:pt>
                <c:pt idx="707">
                  <c:v>47.111300000000746</c:v>
                </c:pt>
                <c:pt idx="708">
                  <c:v>47.111400000000749</c:v>
                </c:pt>
                <c:pt idx="709">
                  <c:v>47.111500000000753</c:v>
                </c:pt>
                <c:pt idx="710">
                  <c:v>47.111600000000756</c:v>
                </c:pt>
                <c:pt idx="711">
                  <c:v>47.111700000000759</c:v>
                </c:pt>
                <c:pt idx="712">
                  <c:v>47.111800000000763</c:v>
                </c:pt>
                <c:pt idx="713">
                  <c:v>47.111900000000766</c:v>
                </c:pt>
                <c:pt idx="714">
                  <c:v>47.112000000000769</c:v>
                </c:pt>
                <c:pt idx="715">
                  <c:v>47.112100000000773</c:v>
                </c:pt>
                <c:pt idx="716">
                  <c:v>47.112200000000776</c:v>
                </c:pt>
                <c:pt idx="717">
                  <c:v>47.112300000000779</c:v>
                </c:pt>
                <c:pt idx="718">
                  <c:v>47.112400000000783</c:v>
                </c:pt>
                <c:pt idx="719">
                  <c:v>47.112500000000786</c:v>
                </c:pt>
                <c:pt idx="720">
                  <c:v>47.112600000000789</c:v>
                </c:pt>
                <c:pt idx="721">
                  <c:v>47.112700000000792</c:v>
                </c:pt>
                <c:pt idx="722">
                  <c:v>47.112800000000796</c:v>
                </c:pt>
                <c:pt idx="723">
                  <c:v>47.112900000000799</c:v>
                </c:pt>
                <c:pt idx="724">
                  <c:v>47.113000000000802</c:v>
                </c:pt>
                <c:pt idx="725">
                  <c:v>47.113100000000806</c:v>
                </c:pt>
                <c:pt idx="726">
                  <c:v>47.113200000000809</c:v>
                </c:pt>
                <c:pt idx="727">
                  <c:v>47.113300000000812</c:v>
                </c:pt>
                <c:pt idx="728">
                  <c:v>47.113400000000816</c:v>
                </c:pt>
                <c:pt idx="729">
                  <c:v>47.113500000000819</c:v>
                </c:pt>
                <c:pt idx="730">
                  <c:v>47.113600000000822</c:v>
                </c:pt>
                <c:pt idx="731">
                  <c:v>47.113700000000826</c:v>
                </c:pt>
                <c:pt idx="732">
                  <c:v>47.113800000000829</c:v>
                </c:pt>
                <c:pt idx="733">
                  <c:v>47.113900000000832</c:v>
                </c:pt>
                <c:pt idx="734">
                  <c:v>47.114000000000836</c:v>
                </c:pt>
                <c:pt idx="735">
                  <c:v>47.114100000000839</c:v>
                </c:pt>
                <c:pt idx="736">
                  <c:v>47.114200000000842</c:v>
                </c:pt>
                <c:pt idx="737">
                  <c:v>47.114300000000846</c:v>
                </c:pt>
                <c:pt idx="738">
                  <c:v>47.114400000000849</c:v>
                </c:pt>
                <c:pt idx="739">
                  <c:v>47.114500000000852</c:v>
                </c:pt>
                <c:pt idx="740">
                  <c:v>47.114600000000856</c:v>
                </c:pt>
                <c:pt idx="741">
                  <c:v>47.114700000000859</c:v>
                </c:pt>
                <c:pt idx="742">
                  <c:v>47.114800000000862</c:v>
                </c:pt>
                <c:pt idx="743">
                  <c:v>47.114900000000866</c:v>
                </c:pt>
                <c:pt idx="744">
                  <c:v>47.115000000000869</c:v>
                </c:pt>
                <c:pt idx="745">
                  <c:v>47.115100000000872</c:v>
                </c:pt>
                <c:pt idx="746">
                  <c:v>47.115200000000875</c:v>
                </c:pt>
                <c:pt idx="747">
                  <c:v>47.115300000000879</c:v>
                </c:pt>
                <c:pt idx="748">
                  <c:v>47.115400000000882</c:v>
                </c:pt>
                <c:pt idx="749">
                  <c:v>47.115500000000885</c:v>
                </c:pt>
                <c:pt idx="750">
                  <c:v>47.115600000000889</c:v>
                </c:pt>
                <c:pt idx="751">
                  <c:v>47.115700000000892</c:v>
                </c:pt>
                <c:pt idx="752">
                  <c:v>47.115800000000895</c:v>
                </c:pt>
                <c:pt idx="753">
                  <c:v>47.115900000000899</c:v>
                </c:pt>
                <c:pt idx="754">
                  <c:v>47.116000000000902</c:v>
                </c:pt>
                <c:pt idx="755">
                  <c:v>47.116100000000905</c:v>
                </c:pt>
                <c:pt idx="756">
                  <c:v>47.116200000000909</c:v>
                </c:pt>
                <c:pt idx="757">
                  <c:v>47.116300000000912</c:v>
                </c:pt>
                <c:pt idx="758">
                  <c:v>47.116400000000915</c:v>
                </c:pt>
                <c:pt idx="759">
                  <c:v>47.116500000000919</c:v>
                </c:pt>
                <c:pt idx="760">
                  <c:v>47.116600000000922</c:v>
                </c:pt>
                <c:pt idx="761">
                  <c:v>47.116700000000925</c:v>
                </c:pt>
                <c:pt idx="762">
                  <c:v>47.116800000000929</c:v>
                </c:pt>
                <c:pt idx="763">
                  <c:v>47.116900000000932</c:v>
                </c:pt>
                <c:pt idx="764">
                  <c:v>47.117000000000935</c:v>
                </c:pt>
                <c:pt idx="765">
                  <c:v>47.117100000000939</c:v>
                </c:pt>
                <c:pt idx="766">
                  <c:v>47.117200000000942</c:v>
                </c:pt>
                <c:pt idx="767">
                  <c:v>47.117300000000945</c:v>
                </c:pt>
                <c:pt idx="768">
                  <c:v>47.117400000000949</c:v>
                </c:pt>
                <c:pt idx="769">
                  <c:v>47.117500000000952</c:v>
                </c:pt>
                <c:pt idx="770">
                  <c:v>47.117600000000955</c:v>
                </c:pt>
                <c:pt idx="771">
                  <c:v>47.117700000000958</c:v>
                </c:pt>
                <c:pt idx="772">
                  <c:v>47.117800000000962</c:v>
                </c:pt>
                <c:pt idx="773">
                  <c:v>47.117900000000965</c:v>
                </c:pt>
                <c:pt idx="774">
                  <c:v>47.118000000000968</c:v>
                </c:pt>
                <c:pt idx="775">
                  <c:v>47.118100000000972</c:v>
                </c:pt>
                <c:pt idx="776">
                  <c:v>47.118200000000975</c:v>
                </c:pt>
                <c:pt idx="777">
                  <c:v>47.118300000000978</c:v>
                </c:pt>
                <c:pt idx="778">
                  <c:v>47.118400000000982</c:v>
                </c:pt>
                <c:pt idx="779">
                  <c:v>47.118500000000985</c:v>
                </c:pt>
                <c:pt idx="780">
                  <c:v>47.118600000000988</c:v>
                </c:pt>
                <c:pt idx="781">
                  <c:v>47.118700000000992</c:v>
                </c:pt>
                <c:pt idx="782">
                  <c:v>47.118800000000995</c:v>
                </c:pt>
                <c:pt idx="783">
                  <c:v>47.118900000000998</c:v>
                </c:pt>
                <c:pt idx="784">
                  <c:v>47.119000000001002</c:v>
                </c:pt>
                <c:pt idx="785">
                  <c:v>47.119100000001005</c:v>
                </c:pt>
                <c:pt idx="786">
                  <c:v>47.119200000001008</c:v>
                </c:pt>
                <c:pt idx="787">
                  <c:v>47.119300000001012</c:v>
                </c:pt>
                <c:pt idx="788">
                  <c:v>47.119400000001015</c:v>
                </c:pt>
                <c:pt idx="789">
                  <c:v>47.119500000001018</c:v>
                </c:pt>
                <c:pt idx="790">
                  <c:v>47.119600000001022</c:v>
                </c:pt>
                <c:pt idx="791">
                  <c:v>47.119700000001025</c:v>
                </c:pt>
                <c:pt idx="792">
                  <c:v>47.119800000001028</c:v>
                </c:pt>
                <c:pt idx="793">
                  <c:v>47.119900000001032</c:v>
                </c:pt>
                <c:pt idx="794">
                  <c:v>47.120000000001035</c:v>
                </c:pt>
                <c:pt idx="795">
                  <c:v>47.120100000001038</c:v>
                </c:pt>
                <c:pt idx="796">
                  <c:v>47.120200000001041</c:v>
                </c:pt>
                <c:pt idx="797">
                  <c:v>47.120300000001045</c:v>
                </c:pt>
                <c:pt idx="798">
                  <c:v>47.120400000001048</c:v>
                </c:pt>
                <c:pt idx="799">
                  <c:v>47.120500000001051</c:v>
                </c:pt>
                <c:pt idx="800">
                  <c:v>47.120600000001055</c:v>
                </c:pt>
                <c:pt idx="801">
                  <c:v>47.120700000001058</c:v>
                </c:pt>
                <c:pt idx="802">
                  <c:v>47.120800000001061</c:v>
                </c:pt>
                <c:pt idx="803">
                  <c:v>47.120900000001065</c:v>
                </c:pt>
                <c:pt idx="804">
                  <c:v>47.121000000001068</c:v>
                </c:pt>
                <c:pt idx="805">
                  <c:v>47.121100000001071</c:v>
                </c:pt>
                <c:pt idx="806">
                  <c:v>47.121200000001075</c:v>
                </c:pt>
                <c:pt idx="807">
                  <c:v>47.121300000001078</c:v>
                </c:pt>
                <c:pt idx="808">
                  <c:v>47.121400000001081</c:v>
                </c:pt>
                <c:pt idx="809">
                  <c:v>47.121500000001085</c:v>
                </c:pt>
                <c:pt idx="810">
                  <c:v>47.121600000001088</c:v>
                </c:pt>
                <c:pt idx="811">
                  <c:v>47.121700000001091</c:v>
                </c:pt>
                <c:pt idx="812">
                  <c:v>47.121800000001095</c:v>
                </c:pt>
                <c:pt idx="813">
                  <c:v>47.121900000001098</c:v>
                </c:pt>
                <c:pt idx="814">
                  <c:v>47.122000000001101</c:v>
                </c:pt>
                <c:pt idx="815">
                  <c:v>47.122100000001105</c:v>
                </c:pt>
                <c:pt idx="816">
                  <c:v>47.122200000001108</c:v>
                </c:pt>
                <c:pt idx="817">
                  <c:v>47.122300000001111</c:v>
                </c:pt>
                <c:pt idx="818">
                  <c:v>47.122400000001115</c:v>
                </c:pt>
                <c:pt idx="819">
                  <c:v>47.122500000001118</c:v>
                </c:pt>
                <c:pt idx="820">
                  <c:v>47.122600000001121</c:v>
                </c:pt>
                <c:pt idx="821">
                  <c:v>47.122700000001124</c:v>
                </c:pt>
                <c:pt idx="822">
                  <c:v>47.122800000001128</c:v>
                </c:pt>
                <c:pt idx="823">
                  <c:v>47.122900000001131</c:v>
                </c:pt>
                <c:pt idx="824">
                  <c:v>47.123000000001134</c:v>
                </c:pt>
                <c:pt idx="825">
                  <c:v>47.123100000001138</c:v>
                </c:pt>
                <c:pt idx="826">
                  <c:v>47.123200000001141</c:v>
                </c:pt>
                <c:pt idx="827">
                  <c:v>47.123300000001144</c:v>
                </c:pt>
                <c:pt idx="828">
                  <c:v>47.123400000001148</c:v>
                </c:pt>
                <c:pt idx="829">
                  <c:v>47.123500000001151</c:v>
                </c:pt>
                <c:pt idx="830">
                  <c:v>47.123600000001154</c:v>
                </c:pt>
                <c:pt idx="831">
                  <c:v>47.123700000001158</c:v>
                </c:pt>
                <c:pt idx="832">
                  <c:v>47.123800000001161</c:v>
                </c:pt>
                <c:pt idx="833">
                  <c:v>47.123900000001164</c:v>
                </c:pt>
                <c:pt idx="834">
                  <c:v>47.124000000001168</c:v>
                </c:pt>
                <c:pt idx="835">
                  <c:v>47.124100000001171</c:v>
                </c:pt>
                <c:pt idx="836">
                  <c:v>47.124200000001174</c:v>
                </c:pt>
                <c:pt idx="837">
                  <c:v>47.124300000001178</c:v>
                </c:pt>
                <c:pt idx="838">
                  <c:v>47.124400000001181</c:v>
                </c:pt>
                <c:pt idx="839">
                  <c:v>47.124500000001184</c:v>
                </c:pt>
                <c:pt idx="840">
                  <c:v>47.124600000001188</c:v>
                </c:pt>
                <c:pt idx="841">
                  <c:v>47.124700000001191</c:v>
                </c:pt>
                <c:pt idx="842">
                  <c:v>47.124800000001194</c:v>
                </c:pt>
                <c:pt idx="843">
                  <c:v>47.124900000001197</c:v>
                </c:pt>
                <c:pt idx="844">
                  <c:v>47.125000000001201</c:v>
                </c:pt>
                <c:pt idx="845">
                  <c:v>47.125100000001204</c:v>
                </c:pt>
                <c:pt idx="846">
                  <c:v>47.125200000001207</c:v>
                </c:pt>
                <c:pt idx="847">
                  <c:v>47.125300000001211</c:v>
                </c:pt>
                <c:pt idx="848">
                  <c:v>47.125400000001214</c:v>
                </c:pt>
                <c:pt idx="849">
                  <c:v>47.125500000001217</c:v>
                </c:pt>
                <c:pt idx="850">
                  <c:v>47.125600000001221</c:v>
                </c:pt>
                <c:pt idx="851">
                  <c:v>47.125700000001224</c:v>
                </c:pt>
                <c:pt idx="852">
                  <c:v>47.125800000001227</c:v>
                </c:pt>
                <c:pt idx="853">
                  <c:v>47.125900000001231</c:v>
                </c:pt>
                <c:pt idx="854">
                  <c:v>47.126000000001234</c:v>
                </c:pt>
                <c:pt idx="855">
                  <c:v>47.126100000001237</c:v>
                </c:pt>
                <c:pt idx="856">
                  <c:v>47.126200000001241</c:v>
                </c:pt>
                <c:pt idx="857">
                  <c:v>47.126300000001244</c:v>
                </c:pt>
                <c:pt idx="858">
                  <c:v>47.126400000001247</c:v>
                </c:pt>
                <c:pt idx="859">
                  <c:v>47.126500000001251</c:v>
                </c:pt>
                <c:pt idx="860">
                  <c:v>47.126600000001254</c:v>
                </c:pt>
                <c:pt idx="861">
                  <c:v>47.126700000001257</c:v>
                </c:pt>
                <c:pt idx="862">
                  <c:v>47.126800000001261</c:v>
                </c:pt>
                <c:pt idx="863">
                  <c:v>47.126900000001264</c:v>
                </c:pt>
                <c:pt idx="864">
                  <c:v>47.127000000001267</c:v>
                </c:pt>
                <c:pt idx="865">
                  <c:v>47.127100000001271</c:v>
                </c:pt>
                <c:pt idx="866">
                  <c:v>47.127200000001274</c:v>
                </c:pt>
                <c:pt idx="867">
                  <c:v>47.127300000001277</c:v>
                </c:pt>
                <c:pt idx="868">
                  <c:v>47.12740000000128</c:v>
                </c:pt>
                <c:pt idx="869">
                  <c:v>47.127500000001284</c:v>
                </c:pt>
                <c:pt idx="870">
                  <c:v>47.127600000001287</c:v>
                </c:pt>
                <c:pt idx="871">
                  <c:v>47.12770000000129</c:v>
                </c:pt>
                <c:pt idx="872">
                  <c:v>47.127800000001294</c:v>
                </c:pt>
                <c:pt idx="873">
                  <c:v>47.127900000001297</c:v>
                </c:pt>
                <c:pt idx="874">
                  <c:v>47.1280000000013</c:v>
                </c:pt>
                <c:pt idx="875">
                  <c:v>47.128100000001304</c:v>
                </c:pt>
                <c:pt idx="876">
                  <c:v>47.128200000001307</c:v>
                </c:pt>
                <c:pt idx="877">
                  <c:v>47.12830000000131</c:v>
                </c:pt>
                <c:pt idx="878">
                  <c:v>47.128400000001314</c:v>
                </c:pt>
                <c:pt idx="879">
                  <c:v>47.128500000001317</c:v>
                </c:pt>
                <c:pt idx="880">
                  <c:v>47.12860000000132</c:v>
                </c:pt>
                <c:pt idx="881">
                  <c:v>47.128700000001324</c:v>
                </c:pt>
                <c:pt idx="882">
                  <c:v>47.128800000001327</c:v>
                </c:pt>
                <c:pt idx="883">
                  <c:v>47.12890000000133</c:v>
                </c:pt>
                <c:pt idx="884">
                  <c:v>47.129000000001334</c:v>
                </c:pt>
                <c:pt idx="885">
                  <c:v>47.129100000001337</c:v>
                </c:pt>
                <c:pt idx="886">
                  <c:v>47.12920000000134</c:v>
                </c:pt>
                <c:pt idx="887">
                  <c:v>47.129300000001344</c:v>
                </c:pt>
                <c:pt idx="888">
                  <c:v>47.129400000001347</c:v>
                </c:pt>
                <c:pt idx="889">
                  <c:v>47.12950000000135</c:v>
                </c:pt>
                <c:pt idx="890">
                  <c:v>47.129600000001354</c:v>
                </c:pt>
                <c:pt idx="891">
                  <c:v>47.129700000001357</c:v>
                </c:pt>
                <c:pt idx="892">
                  <c:v>47.12980000000136</c:v>
                </c:pt>
                <c:pt idx="893">
                  <c:v>47.129900000001363</c:v>
                </c:pt>
                <c:pt idx="894">
                  <c:v>47.130000000001367</c:v>
                </c:pt>
                <c:pt idx="895">
                  <c:v>47.13010000000137</c:v>
                </c:pt>
                <c:pt idx="896">
                  <c:v>47.130200000001373</c:v>
                </c:pt>
                <c:pt idx="897">
                  <c:v>47.130300000001377</c:v>
                </c:pt>
                <c:pt idx="898">
                  <c:v>47.13040000000138</c:v>
                </c:pt>
                <c:pt idx="899">
                  <c:v>47.130500000001383</c:v>
                </c:pt>
                <c:pt idx="900">
                  <c:v>47.130600000001387</c:v>
                </c:pt>
                <c:pt idx="901">
                  <c:v>47.13070000000139</c:v>
                </c:pt>
                <c:pt idx="902">
                  <c:v>47.130800000001393</c:v>
                </c:pt>
                <c:pt idx="903">
                  <c:v>47.130900000001397</c:v>
                </c:pt>
                <c:pt idx="904">
                  <c:v>47.1310000000014</c:v>
                </c:pt>
                <c:pt idx="905">
                  <c:v>47.131100000001403</c:v>
                </c:pt>
                <c:pt idx="906">
                  <c:v>47.131200000001407</c:v>
                </c:pt>
                <c:pt idx="907">
                  <c:v>47.13130000000141</c:v>
                </c:pt>
                <c:pt idx="908">
                  <c:v>47.131400000001413</c:v>
                </c:pt>
                <c:pt idx="909">
                  <c:v>47.131500000001417</c:v>
                </c:pt>
                <c:pt idx="910">
                  <c:v>47.13160000000142</c:v>
                </c:pt>
                <c:pt idx="911">
                  <c:v>47.131700000001423</c:v>
                </c:pt>
                <c:pt idx="912">
                  <c:v>47.131800000001427</c:v>
                </c:pt>
                <c:pt idx="913">
                  <c:v>47.13190000000143</c:v>
                </c:pt>
                <c:pt idx="914">
                  <c:v>47.132000000001433</c:v>
                </c:pt>
                <c:pt idx="915">
                  <c:v>47.132100000001437</c:v>
                </c:pt>
                <c:pt idx="916">
                  <c:v>47.13220000000144</c:v>
                </c:pt>
                <c:pt idx="917">
                  <c:v>47.132300000001443</c:v>
                </c:pt>
                <c:pt idx="918">
                  <c:v>47.132400000001446</c:v>
                </c:pt>
                <c:pt idx="919">
                  <c:v>47.13250000000145</c:v>
                </c:pt>
                <c:pt idx="920">
                  <c:v>47.132600000001453</c:v>
                </c:pt>
                <c:pt idx="921">
                  <c:v>47.132700000001456</c:v>
                </c:pt>
                <c:pt idx="922">
                  <c:v>47.13280000000146</c:v>
                </c:pt>
                <c:pt idx="923">
                  <c:v>47.132900000001463</c:v>
                </c:pt>
                <c:pt idx="924">
                  <c:v>47.133000000001466</c:v>
                </c:pt>
                <c:pt idx="925">
                  <c:v>47.13310000000147</c:v>
                </c:pt>
                <c:pt idx="926">
                  <c:v>47.133200000001473</c:v>
                </c:pt>
                <c:pt idx="927">
                  <c:v>47.133300000001476</c:v>
                </c:pt>
                <c:pt idx="928">
                  <c:v>47.13340000000148</c:v>
                </c:pt>
                <c:pt idx="929">
                  <c:v>47.133500000001483</c:v>
                </c:pt>
                <c:pt idx="930">
                  <c:v>47.133600000001486</c:v>
                </c:pt>
                <c:pt idx="931">
                  <c:v>47.13370000000149</c:v>
                </c:pt>
                <c:pt idx="932">
                  <c:v>47.133800000001493</c:v>
                </c:pt>
                <c:pt idx="933">
                  <c:v>47.133900000001496</c:v>
                </c:pt>
                <c:pt idx="934">
                  <c:v>47.1340000000015</c:v>
                </c:pt>
                <c:pt idx="935">
                  <c:v>47.134100000001503</c:v>
                </c:pt>
                <c:pt idx="936">
                  <c:v>47.134200000001506</c:v>
                </c:pt>
                <c:pt idx="937">
                  <c:v>47.13430000000151</c:v>
                </c:pt>
                <c:pt idx="938">
                  <c:v>47.134400000001513</c:v>
                </c:pt>
                <c:pt idx="939">
                  <c:v>47.134500000001516</c:v>
                </c:pt>
                <c:pt idx="940">
                  <c:v>47.13460000000152</c:v>
                </c:pt>
                <c:pt idx="941">
                  <c:v>47.134700000001523</c:v>
                </c:pt>
                <c:pt idx="942">
                  <c:v>47.134800000001526</c:v>
                </c:pt>
                <c:pt idx="943">
                  <c:v>47.134900000001529</c:v>
                </c:pt>
                <c:pt idx="944">
                  <c:v>47.135000000001533</c:v>
                </c:pt>
                <c:pt idx="945">
                  <c:v>47.135100000001536</c:v>
                </c:pt>
                <c:pt idx="946">
                  <c:v>47.135200000001539</c:v>
                </c:pt>
                <c:pt idx="947">
                  <c:v>47.135300000001543</c:v>
                </c:pt>
                <c:pt idx="948">
                  <c:v>47.135400000001546</c:v>
                </c:pt>
                <c:pt idx="949">
                  <c:v>47.135500000001549</c:v>
                </c:pt>
                <c:pt idx="950">
                  <c:v>47.135600000001553</c:v>
                </c:pt>
                <c:pt idx="951">
                  <c:v>47.135700000001556</c:v>
                </c:pt>
                <c:pt idx="952">
                  <c:v>47.135800000001559</c:v>
                </c:pt>
                <c:pt idx="953">
                  <c:v>47.135900000001563</c:v>
                </c:pt>
                <c:pt idx="954">
                  <c:v>47.136000000001566</c:v>
                </c:pt>
                <c:pt idx="955">
                  <c:v>47.136100000001569</c:v>
                </c:pt>
                <c:pt idx="956">
                  <c:v>47.136200000001573</c:v>
                </c:pt>
                <c:pt idx="957">
                  <c:v>47.136300000001576</c:v>
                </c:pt>
                <c:pt idx="958">
                  <c:v>47.136400000001579</c:v>
                </c:pt>
                <c:pt idx="959">
                  <c:v>47.136500000001583</c:v>
                </c:pt>
                <c:pt idx="960">
                  <c:v>47.136600000001586</c:v>
                </c:pt>
                <c:pt idx="961">
                  <c:v>47.136700000001589</c:v>
                </c:pt>
                <c:pt idx="962">
                  <c:v>47.136800000001593</c:v>
                </c:pt>
                <c:pt idx="963">
                  <c:v>47.136900000001596</c:v>
                </c:pt>
                <c:pt idx="964">
                  <c:v>47.137000000001599</c:v>
                </c:pt>
                <c:pt idx="965">
                  <c:v>47.137100000001602</c:v>
                </c:pt>
                <c:pt idx="966">
                  <c:v>47.137200000001606</c:v>
                </c:pt>
                <c:pt idx="967">
                  <c:v>47.137300000001609</c:v>
                </c:pt>
                <c:pt idx="968">
                  <c:v>47.137400000001612</c:v>
                </c:pt>
                <c:pt idx="969">
                  <c:v>47.137500000001616</c:v>
                </c:pt>
                <c:pt idx="970">
                  <c:v>47.137600000001619</c:v>
                </c:pt>
                <c:pt idx="971">
                  <c:v>47.137700000001622</c:v>
                </c:pt>
                <c:pt idx="972">
                  <c:v>47.137800000001626</c:v>
                </c:pt>
                <c:pt idx="973">
                  <c:v>47.137900000001629</c:v>
                </c:pt>
                <c:pt idx="974">
                  <c:v>47.138000000001632</c:v>
                </c:pt>
                <c:pt idx="975">
                  <c:v>47.138100000001636</c:v>
                </c:pt>
                <c:pt idx="976">
                  <c:v>47.138200000001639</c:v>
                </c:pt>
                <c:pt idx="977">
                  <c:v>47.138300000001642</c:v>
                </c:pt>
                <c:pt idx="978">
                  <c:v>47.138400000001646</c:v>
                </c:pt>
                <c:pt idx="979">
                  <c:v>47.138500000001649</c:v>
                </c:pt>
                <c:pt idx="980">
                  <c:v>47.138600000001652</c:v>
                </c:pt>
                <c:pt idx="981">
                  <c:v>47.138700000001656</c:v>
                </c:pt>
                <c:pt idx="982">
                  <c:v>47.138800000001659</c:v>
                </c:pt>
                <c:pt idx="983">
                  <c:v>47.138900000001662</c:v>
                </c:pt>
                <c:pt idx="984">
                  <c:v>47.139000000001666</c:v>
                </c:pt>
                <c:pt idx="985">
                  <c:v>47.139100000001669</c:v>
                </c:pt>
                <c:pt idx="986">
                  <c:v>47.139200000001672</c:v>
                </c:pt>
                <c:pt idx="987">
                  <c:v>47.139300000001676</c:v>
                </c:pt>
                <c:pt idx="988">
                  <c:v>47.139400000001679</c:v>
                </c:pt>
                <c:pt idx="989">
                  <c:v>47.139500000001682</c:v>
                </c:pt>
                <c:pt idx="990">
                  <c:v>47.139600000001685</c:v>
                </c:pt>
                <c:pt idx="991">
                  <c:v>47.139700000001689</c:v>
                </c:pt>
                <c:pt idx="992">
                  <c:v>47.139800000001692</c:v>
                </c:pt>
                <c:pt idx="993">
                  <c:v>47.139900000001695</c:v>
                </c:pt>
                <c:pt idx="994">
                  <c:v>47.140000000001699</c:v>
                </c:pt>
                <c:pt idx="995">
                  <c:v>47.140100000001702</c:v>
                </c:pt>
                <c:pt idx="996">
                  <c:v>47.140200000001705</c:v>
                </c:pt>
                <c:pt idx="997">
                  <c:v>47.140300000001709</c:v>
                </c:pt>
                <c:pt idx="998">
                  <c:v>47.140400000001712</c:v>
                </c:pt>
                <c:pt idx="999">
                  <c:v>47.140500000001715</c:v>
                </c:pt>
                <c:pt idx="1000">
                  <c:v>47.140600000001719</c:v>
                </c:pt>
              </c:numCache>
            </c:numRef>
          </c:xVal>
          <c:yVal>
            <c:numRef>
              <c:f>Calculs!$J$4:$J$1004</c:f>
              <c:numCache>
                <c:formatCode>0.00</c:formatCode>
                <c:ptCount val="1001"/>
                <c:pt idx="0">
                  <c:v>105.52</c:v>
                </c:pt>
                <c:pt idx="1">
                  <c:v>105.77618482600093</c:v>
                </c:pt>
                <c:pt idx="2">
                  <c:v>106.03284709276828</c:v>
                </c:pt>
                <c:pt idx="3">
                  <c:v>106.29052867418451</c:v>
                </c:pt>
                <c:pt idx="4">
                  <c:v>106.54932797775811</c:v>
                </c:pt>
                <c:pt idx="5">
                  <c:v>106.80915084513762</c:v>
                </c:pt>
                <c:pt idx="6">
                  <c:v>107.06996175689233</c:v>
                </c:pt>
                <c:pt idx="7">
                  <c:v>107.33175452859925</c:v>
                </c:pt>
                <c:pt idx="8">
                  <c:v>107.59452296869966</c:v>
                </c:pt>
                <c:pt idx="9">
                  <c:v>107.85826087873517</c:v>
                </c:pt>
                <c:pt idx="10">
                  <c:v>108.12296205358183</c:v>
                </c:pt>
                <c:pt idx="11">
                  <c:v>108.38862028168248</c:v>
                </c:pt>
                <c:pt idx="12">
                  <c:v>108.65522934527701</c:v>
                </c:pt>
                <c:pt idx="13">
                  <c:v>108.92278302063087</c:v>
                </c:pt>
                <c:pt idx="14">
                  <c:v>109.1912750782616</c:v>
                </c:pt>
                <c:pt idx="15">
                  <c:v>109.46069928316341</c:v>
                </c:pt>
                <c:pt idx="16">
                  <c:v>109.73104939502997</c:v>
                </c:pt>
                <c:pt idx="17">
                  <c:v>110.00231916847522</c:v>
                </c:pt>
                <c:pt idx="18">
                  <c:v>110.27450235325232</c:v>
                </c:pt>
                <c:pt idx="19">
                  <c:v>110.54759269447058</c:v>
                </c:pt>
                <c:pt idx="20">
                  <c:v>110.82158393281074</c:v>
                </c:pt>
                <c:pt idx="21">
                  <c:v>111.09646980473804</c:v>
                </c:pt>
                <c:pt idx="22">
                  <c:v>111.37224404271363</c:v>
                </c:pt>
                <c:pt idx="23">
                  <c:v>111.64890037540397</c:v>
                </c:pt>
                <c:pt idx="24">
                  <c:v>111.92643252788835</c:v>
                </c:pt>
                <c:pt idx="25">
                  <c:v>112.20483422186453</c:v>
                </c:pt>
                <c:pt idx="26">
                  <c:v>112.48409917585245</c:v>
                </c:pt>
                <c:pt idx="27">
                  <c:v>112.76422110539608</c:v>
                </c:pt>
                <c:pt idx="28">
                  <c:v>113.04519372326335</c:v>
                </c:pt>
                <c:pt idx="29">
                  <c:v>113.32701073964424</c:v>
                </c:pt>
                <c:pt idx="30">
                  <c:v>113.60966586234687</c:v>
                </c:pt>
                <c:pt idx="31">
                  <c:v>113.89315279699181</c:v>
                </c:pt>
                <c:pt idx="32">
                  <c:v>114.17746524720447</c:v>
                </c:pt>
                <c:pt idx="33">
                  <c:v>114.4625969148055</c:v>
                </c:pt>
                <c:pt idx="34">
                  <c:v>114.74854149999952</c:v>
                </c:pt>
                <c:pt idx="35">
                  <c:v>115.03529270156174</c:v>
                </c:pt>
                <c:pt idx="36">
                  <c:v>115.32284421702285</c:v>
                </c:pt>
                <c:pt idx="37">
                  <c:v>115.61118974285192</c:v>
                </c:pt>
                <c:pt idx="38">
                  <c:v>115.90032297463756</c:v>
                </c:pt>
                <c:pt idx="39">
                  <c:v>116.19023760726702</c:v>
                </c:pt>
                <c:pt idx="40">
                  <c:v>116.4809273351036</c:v>
                </c:pt>
                <c:pt idx="41">
                  <c:v>116.77238585216206</c:v>
                </c:pt>
                <c:pt idx="42">
                  <c:v>117.0646068522822</c:v>
                </c:pt>
                <c:pt idx="43">
                  <c:v>117.35758402930057</c:v>
                </c:pt>
                <c:pt idx="44">
                  <c:v>117.65131107722038</c:v>
                </c:pt>
                <c:pt idx="45">
                  <c:v>117.94578169037943</c:v>
                </c:pt>
                <c:pt idx="46">
                  <c:v>118.24098956361627</c:v>
                </c:pt>
                <c:pt idx="47">
                  <c:v>118.53692839243442</c:v>
                </c:pt>
                <c:pt idx="48">
                  <c:v>118.83359187316489</c:v>
                </c:pt>
                <c:pt idx="49">
                  <c:v>119.13097370312667</c:v>
                </c:pt>
                <c:pt idx="50">
                  <c:v>119.4290675807855</c:v>
                </c:pt>
                <c:pt idx="51">
                  <c:v>119.72786720591073</c:v>
                </c:pt>
                <c:pt idx="52">
                  <c:v>120.02736627973039</c:v>
                </c:pt>
                <c:pt idx="53">
                  <c:v>120.32755850508438</c:v>
                </c:pt>
                <c:pt idx="54">
                  <c:v>120.62843758657586</c:v>
                </c:pt>
                <c:pt idx="55">
                  <c:v>120.92999723072079</c:v>
                </c:pt>
                <c:pt idx="56">
                  <c:v>121.23223114609566</c:v>
                </c:pt>
                <c:pt idx="57">
                  <c:v>121.53513304348341</c:v>
                </c:pt>
                <c:pt idx="58">
                  <c:v>121.83869663601753</c:v>
                </c:pt>
                <c:pt idx="59">
                  <c:v>122.1429156393243</c:v>
                </c:pt>
                <c:pt idx="60">
                  <c:v>122.44778377166331</c:v>
                </c:pt>
                <c:pt idx="61">
                  <c:v>122.75329475406613</c:v>
                </c:pt>
                <c:pt idx="62">
                  <c:v>123.05944231047319</c:v>
                </c:pt>
                <c:pt idx="63">
                  <c:v>123.36621752207093</c:v>
                </c:pt>
                <c:pt idx="64">
                  <c:v>123.67360618144421</c:v>
                </c:pt>
                <c:pt idx="65">
                  <c:v>123.98159144265</c:v>
                </c:pt>
                <c:pt idx="66">
                  <c:v>124.29015647167509</c:v>
                </c:pt>
                <c:pt idx="67">
                  <c:v>124.59928201614211</c:v>
                </c:pt>
                <c:pt idx="68">
                  <c:v>124.90894397522767</c:v>
                </c:pt>
                <c:pt idx="69">
                  <c:v>125.21911150732882</c:v>
                </c:pt>
                <c:pt idx="70">
                  <c:v>125.52974513877702</c:v>
                </c:pt>
                <c:pt idx="71">
                  <c:v>125.84080110211627</c:v>
                </c:pt>
                <c:pt idx="72">
                  <c:v>126.15223567411029</c:v>
                </c:pt>
                <c:pt idx="73">
                  <c:v>126.46400517821905</c:v>
                </c:pt>
                <c:pt idx="74">
                  <c:v>126.77606598700605</c:v>
                </c:pt>
                <c:pt idx="75">
                  <c:v>127.08837452447619</c:v>
                </c:pt>
                <c:pt idx="76">
                  <c:v>127.40088726834463</c:v>
                </c:pt>
                <c:pt idx="77">
                  <c:v>127.71356075223642</c:v>
                </c:pt>
                <c:pt idx="78">
                  <c:v>128.02635156781727</c:v>
                </c:pt>
                <c:pt idx="79">
                  <c:v>128.3392163668556</c:v>
                </c:pt>
                <c:pt idx="80">
                  <c:v>128.65211186321582</c:v>
                </c:pt>
                <c:pt idx="81">
                  <c:v>128.96500001467101</c:v>
                </c:pt>
                <c:pt idx="82">
                  <c:v>129.27785319923512</c:v>
                </c:pt>
                <c:pt idx="83">
                  <c:v>129.59064902001057</c:v>
                </c:pt>
                <c:pt idx="84">
                  <c:v>129.9033651147183</c:v>
                </c:pt>
                <c:pt idx="85">
                  <c:v>130.21597915605273</c:v>
                </c:pt>
                <c:pt idx="86">
                  <c:v>130.52846885201885</c:v>
                </c:pt>
                <c:pt idx="87">
                  <c:v>130.84081194625185</c:v>
                </c:pt>
                <c:pt idx="88">
                  <c:v>131.15298621831914</c:v>
                </c:pt>
                <c:pt idx="89">
                  <c:v>131.4649711267175</c:v>
                </c:pt>
                <c:pt idx="90">
                  <c:v>131.77674944979864</c:v>
                </c:pt>
                <c:pt idx="91">
                  <c:v>132.08830563749493</c:v>
                </c:pt>
                <c:pt idx="92">
                  <c:v>132.3996241649931</c:v>
                </c:pt>
                <c:pt idx="93">
                  <c:v>132.71068994426017</c:v>
                </c:pt>
                <c:pt idx="94">
                  <c:v>133.02148873501972</c:v>
                </c:pt>
                <c:pt idx="95">
                  <c:v>133.3320067318086</c:v>
                </c:pt>
                <c:pt idx="96">
                  <c:v>133.64223015155389</c:v>
                </c:pt>
                <c:pt idx="97">
                  <c:v>133.95214688258278</c:v>
                </c:pt>
                <c:pt idx="98">
                  <c:v>134.26174813137135</c:v>
                </c:pt>
                <c:pt idx="99">
                  <c:v>134.57102676744753</c:v>
                </c:pt>
                <c:pt idx="100">
                  <c:v>134.87997567052739</c:v>
                </c:pt>
                <c:pt idx="101">
                  <c:v>135.18858773044735</c:v>
                </c:pt>
                <c:pt idx="102">
                  <c:v>135.49685584709542</c:v>
                </c:pt>
                <c:pt idx="103">
                  <c:v>135.80477293034065</c:v>
                </c:pt>
                <c:pt idx="104">
                  <c:v>136.11233189996153</c:v>
                </c:pt>
                <c:pt idx="105">
                  <c:v>136.41952568557301</c:v>
                </c:pt>
                <c:pt idx="106">
                  <c:v>136.72634722655204</c:v>
                </c:pt>
                <c:pt idx="107">
                  <c:v>137.03278947196199</c:v>
                </c:pt>
                <c:pt idx="108">
                  <c:v>137.33884538047562</c:v>
                </c:pt>
                <c:pt idx="109">
                  <c:v>137.64450999270449</c:v>
                </c:pt>
                <c:pt idx="110">
                  <c:v>137.9497825006118</c:v>
                </c:pt>
                <c:pt idx="111">
                  <c:v>138.25466416741696</c:v>
                </c:pt>
                <c:pt idx="112">
                  <c:v>138.55915625047399</c:v>
                </c:pt>
                <c:pt idx="113">
                  <c:v>138.8632600013085</c:v>
                </c:pt>
                <c:pt idx="114">
                  <c:v>139.16697666565426</c:v>
                </c:pt>
                <c:pt idx="115">
                  <c:v>139.47030748348959</c:v>
                </c:pt>
                <c:pt idx="116">
                  <c:v>139.77325368907333</c:v>
                </c:pt>
                <c:pt idx="117">
                  <c:v>140.07581651098064</c:v>
                </c:pt>
                <c:pt idx="118">
                  <c:v>140.37799717213852</c:v>
                </c:pt>
                <c:pt idx="119">
                  <c:v>140.67979688986088</c:v>
                </c:pt>
                <c:pt idx="120">
                  <c:v>140.98121687588363</c:v>
                </c:pt>
                <c:pt idx="121">
                  <c:v>141.28225833639922</c:v>
                </c:pt>
                <c:pt idx="122">
                  <c:v>141.58292247209107</c:v>
                </c:pt>
                <c:pt idx="123">
                  <c:v>141.88321047816765</c:v>
                </c:pt>
                <c:pt idx="124">
                  <c:v>142.18312354439641</c:v>
                </c:pt>
                <c:pt idx="125">
                  <c:v>142.48266285513728</c:v>
                </c:pt>
                <c:pt idx="126">
                  <c:v>142.78182958937606</c:v>
                </c:pt>
                <c:pt idx="127">
                  <c:v>143.08062492075746</c:v>
                </c:pt>
                <c:pt idx="128">
                  <c:v>143.37905001761794</c:v>
                </c:pt>
                <c:pt idx="129">
                  <c:v>143.67710604301828</c:v>
                </c:pt>
                <c:pt idx="130">
                  <c:v>143.97479415477588</c:v>
                </c:pt>
                <c:pt idx="131">
                  <c:v>144.2721155054968</c:v>
                </c:pt>
                <c:pt idx="132">
                  <c:v>144.56907124260761</c:v>
                </c:pt>
                <c:pt idx="133">
                  <c:v>144.865662508387</c:v>
                </c:pt>
                <c:pt idx="134">
                  <c:v>145.16189043999705</c:v>
                </c:pt>
                <c:pt idx="135">
                  <c:v>145.45775616951437</c:v>
                </c:pt>
                <c:pt idx="136">
                  <c:v>145.75326082396097</c:v>
                </c:pt>
                <c:pt idx="137">
                  <c:v>146.04840552533483</c:v>
                </c:pt>
                <c:pt idx="138">
                  <c:v>146.34319139064036</c:v>
                </c:pt>
                <c:pt idx="139">
                  <c:v>146.63761953191852</c:v>
                </c:pt>
                <c:pt idx="140">
                  <c:v>146.93169105627678</c:v>
                </c:pt>
                <c:pt idx="141">
                  <c:v>147.22540706591877</c:v>
                </c:pt>
                <c:pt idx="142">
                  <c:v>147.51876865817388</c:v>
                </c:pt>
                <c:pt idx="143">
                  <c:v>147.81177692552637</c:v>
                </c:pt>
                <c:pt idx="144">
                  <c:v>148.10443295564457</c:v>
                </c:pt>
                <c:pt idx="145">
                  <c:v>148.39673783140958</c:v>
                </c:pt>
                <c:pt idx="146">
                  <c:v>148.68869263094393</c:v>
                </c:pt>
                <c:pt idx="147">
                  <c:v>148.98029842764001</c:v>
                </c:pt>
                <c:pt idx="148">
                  <c:v>149.27155629018816</c:v>
                </c:pt>
                <c:pt idx="149">
                  <c:v>149.5624672826047</c:v>
                </c:pt>
                <c:pt idx="150">
                  <c:v>149.85303246425968</c:v>
                </c:pt>
                <c:pt idx="151">
                  <c:v>150.14325288990449</c:v>
                </c:pt>
                <c:pt idx="152">
                  <c:v>150.43312960969911</c:v>
                </c:pt>
                <c:pt idx="153">
                  <c:v>150.72266366923932</c:v>
                </c:pt>
                <c:pt idx="154">
                  <c:v>151.01185610958368</c:v>
                </c:pt>
                <c:pt idx="155">
                  <c:v>151.30070796728015</c:v>
                </c:pt>
                <c:pt idx="156">
                  <c:v>151.5892202743928</c:v>
                </c:pt>
                <c:pt idx="157">
                  <c:v>151.87739405852804</c:v>
                </c:pt>
                <c:pt idx="158">
                  <c:v>152.16523034286089</c:v>
                </c:pt>
                <c:pt idx="159">
                  <c:v>152.45273014616083</c:v>
                </c:pt>
                <c:pt idx="160">
                  <c:v>152.73989448281765</c:v>
                </c:pt>
                <c:pt idx="161">
                  <c:v>153.02672436286704</c:v>
                </c:pt>
                <c:pt idx="162">
                  <c:v>153.31322079201601</c:v>
                </c:pt>
                <c:pt idx="163">
                  <c:v>153.59938477166799</c:v>
                </c:pt>
                <c:pt idx="164">
                  <c:v>153.88521729894802</c:v>
                </c:pt>
                <c:pt idx="165">
                  <c:v>154.17071936672747</c:v>
                </c:pt>
                <c:pt idx="166">
                  <c:v>154.45589196364881</c:v>
                </c:pt>
                <c:pt idx="167">
                  <c:v>154.74073607415002</c:v>
                </c:pt>
                <c:pt idx="168">
                  <c:v>155.02525267848895</c:v>
                </c:pt>
                <c:pt idx="169">
                  <c:v>155.30944275276747</c:v>
                </c:pt>
                <c:pt idx="170">
                  <c:v>155.59330726895533</c:v>
                </c:pt>
                <c:pt idx="171">
                  <c:v>155.87684719491406</c:v>
                </c:pt>
                <c:pt idx="172">
                  <c:v>156.16006349442057</c:v>
                </c:pt>
                <c:pt idx="173">
                  <c:v>156.44295712719054</c:v>
                </c:pt>
                <c:pt idx="174">
                  <c:v>156.72552904890176</c:v>
                </c:pt>
                <c:pt idx="175">
                  <c:v>157.00778021121721</c:v>
                </c:pt>
                <c:pt idx="176">
                  <c:v>157.28971156180796</c:v>
                </c:pt>
                <c:pt idx="177">
                  <c:v>157.5713240443761</c:v>
                </c:pt>
                <c:pt idx="178">
                  <c:v>157.85261859867714</c:v>
                </c:pt>
                <c:pt idx="179">
                  <c:v>158.13359616054268</c:v>
                </c:pt>
                <c:pt idx="180">
                  <c:v>158.41425766190258</c:v>
                </c:pt>
                <c:pt idx="181">
                  <c:v>158.69460403080714</c:v>
                </c:pt>
                <c:pt idx="182">
                  <c:v>158.97463619144906</c:v>
                </c:pt>
                <c:pt idx="183">
                  <c:v>159.25435506418529</c:v>
                </c:pt>
                <c:pt idx="184">
                  <c:v>159.53376156555868</c:v>
                </c:pt>
                <c:pt idx="185">
                  <c:v>159.81285660831949</c:v>
                </c:pt>
                <c:pt idx="186">
                  <c:v>160.09164110144681</c:v>
                </c:pt>
                <c:pt idx="187">
                  <c:v>160.37011595016972</c:v>
                </c:pt>
                <c:pt idx="188">
                  <c:v>160.64828205598837</c:v>
                </c:pt>
                <c:pt idx="189">
                  <c:v>160.92614031669493</c:v>
                </c:pt>
                <c:pt idx="190">
                  <c:v>161.20369162639426</c:v>
                </c:pt>
                <c:pt idx="191">
                  <c:v>161.48093687552466</c:v>
                </c:pt>
                <c:pt idx="192">
                  <c:v>161.75787695087828</c:v>
                </c:pt>
                <c:pt idx="193">
                  <c:v>162.03451273562149</c:v>
                </c:pt>
                <c:pt idx="194">
                  <c:v>162.31084510931501</c:v>
                </c:pt>
                <c:pt idx="195">
                  <c:v>162.58687494793404</c:v>
                </c:pt>
                <c:pt idx="196">
                  <c:v>162.86260312388814</c:v>
                </c:pt>
                <c:pt idx="197">
                  <c:v>163.13803050604099</c:v>
                </c:pt>
                <c:pt idx="198">
                  <c:v>163.41315795973009</c:v>
                </c:pt>
                <c:pt idx="199">
                  <c:v>163.6879863467862</c:v>
                </c:pt>
                <c:pt idx="200">
                  <c:v>163.96251652555273</c:v>
                </c:pt>
                <c:pt idx="201">
                  <c:v>166.69148307121728</c:v>
                </c:pt>
                <c:pt idx="202">
                  <c:v>169.39117859101259</c:v>
                </c:pt>
                <c:pt idx="203">
                  <c:v>172.06242971446144</c:v>
                </c:pt>
                <c:pt idx="204">
                  <c:v>174.70603058892223</c:v>
                </c:pt>
                <c:pt idx="205">
                  <c:v>177.32274460420297</c:v>
                </c:pt>
                <c:pt idx="206">
                  <c:v>179.91330600375494</c:v>
                </c:pt>
                <c:pt idx="207">
                  <c:v>182.4784213913334</c:v>
                </c:pt>
                <c:pt idx="208">
                  <c:v>185.01877114120759</c:v>
                </c:pt>
                <c:pt idx="209">
                  <c:v>187.53501071927951</c:v>
                </c:pt>
                <c:pt idx="210">
                  <c:v>190.02777192182177</c:v>
                </c:pt>
                <c:pt idx="211">
                  <c:v>192.49766403796005</c:v>
                </c:pt>
                <c:pt idx="212">
                  <c:v>194.9452749414987</c:v>
                </c:pt>
                <c:pt idx="213">
                  <c:v>197.37117211721267</c:v>
                </c:pt>
                <c:pt idx="214">
                  <c:v>199.7759036262988</c:v>
                </c:pt>
                <c:pt idx="215">
                  <c:v>202.15999901529094</c:v>
                </c:pt>
                <c:pt idx="216">
                  <c:v>204.52397017239039</c:v>
                </c:pt>
                <c:pt idx="217">
                  <c:v>206.86831213484382</c:v>
                </c:pt>
                <c:pt idx="218">
                  <c:v>209.19350385071007</c:v>
                </c:pt>
                <c:pt idx="219">
                  <c:v>211.5000088980934</c:v>
                </c:pt>
                <c:pt idx="220">
                  <c:v>213.7882761646799</c:v>
                </c:pt>
                <c:pt idx="221">
                  <c:v>216.05874049019511</c:v>
                </c:pt>
                <c:pt idx="222">
                  <c:v>218.31182327420024</c:v>
                </c:pt>
                <c:pt idx="223">
                  <c:v>220.54793305146262</c:v>
                </c:pt>
                <c:pt idx="224">
                  <c:v>222.76746603696785</c:v>
                </c:pt>
                <c:pt idx="225">
                  <c:v>224.97080664248938</c:v>
                </c:pt>
                <c:pt idx="226">
                  <c:v>227.15832796649036</c:v>
                </c:pt>
                <c:pt idx="227">
                  <c:v>229.33039225900461</c:v>
                </c:pt>
                <c:pt idx="228">
                  <c:v>231.48735136302534</c:v>
                </c:pt>
                <c:pt idx="229">
                  <c:v>233.62954713382217</c:v>
                </c:pt>
                <c:pt idx="230">
                  <c:v>235.7573118375071</c:v>
                </c:pt>
                <c:pt idx="231">
                  <c:v>237.87096853007861</c:v>
                </c:pt>
                <c:pt idx="232">
                  <c:v>239.9708314180883</c:v>
                </c:pt>
                <c:pt idx="233">
                  <c:v>242.05720620199673</c:v>
                </c:pt>
                <c:pt idx="234">
                  <c:v>244.13039040321326</c:v>
                </c:pt>
                <c:pt idx="235">
                  <c:v>246.19067367574789</c:v>
                </c:pt>
                <c:pt idx="236">
                  <c:v>248.23833810334233</c:v>
                </c:pt>
                <c:pt idx="237">
                  <c:v>250.27365848288991</c:v>
                </c:pt>
                <c:pt idx="238">
                  <c:v>252.29690259490224</c:v>
                </c:pt>
                <c:pt idx="239">
                  <c:v>254.30833146173077</c:v>
                </c:pt>
                <c:pt idx="240">
                  <c:v>256.30819959420728</c:v>
                </c:pt>
                <c:pt idx="241">
                  <c:v>258.29675522732447</c:v>
                </c:pt>
                <c:pt idx="242">
                  <c:v>260.27424054553916</c:v>
                </c:pt>
                <c:pt idx="243">
                  <c:v>262.24089189824502</c:v>
                </c:pt>
                <c:pt idx="244">
                  <c:v>264.19694000592654</c:v>
                </c:pt>
                <c:pt idx="245">
                  <c:v>266.14261015747644</c:v>
                </c:pt>
                <c:pt idx="246">
                  <c:v>268.07812239912801</c:v>
                </c:pt>
                <c:pt idx="247">
                  <c:v>270.00369171542752</c:v>
                </c:pt>
                <c:pt idx="248">
                  <c:v>271.91952820264595</c:v>
                </c:pt>
                <c:pt idx="249">
                  <c:v>273.82583723500585</c:v>
                </c:pt>
                <c:pt idx="250">
                  <c:v>275.72281962407681</c:v>
                </c:pt>
                <c:pt idx="251">
                  <c:v>277.61067177167217</c:v>
                </c:pt>
                <c:pt idx="252">
                  <c:v>279.48958581656086</c:v>
                </c:pt>
                <c:pt idx="253">
                  <c:v>281.35974977528883</c:v>
                </c:pt>
                <c:pt idx="254">
                  <c:v>283.22134767738885</c:v>
                </c:pt>
                <c:pt idx="255">
                  <c:v>285.07455969524045</c:v>
                </c:pt>
                <c:pt idx="256">
                  <c:v>286.91956226882746</c:v>
                </c:pt>
                <c:pt idx="257">
                  <c:v>288.75652822562586</c:v>
                </c:pt>
                <c:pt idx="258">
                  <c:v>290.58562689584164</c:v>
                </c:pt>
                <c:pt idx="259">
                  <c:v>292.40702422320629</c:v>
                </c:pt>
                <c:pt idx="260">
                  <c:v>294.22088287152479</c:v>
                </c:pt>
                <c:pt idx="261">
                  <c:v>296.0273623271604</c:v>
                </c:pt>
                <c:pt idx="262">
                  <c:v>297.82661899762996</c:v>
                </c:pt>
                <c:pt idx="263">
                  <c:v>299.61880630647335</c:v>
                </c:pt>
                <c:pt idx="264">
                  <c:v>301.4040747845508</c:v>
                </c:pt>
                <c:pt idx="265">
                  <c:v>303.18257215791363</c:v>
                </c:pt>
                <c:pt idx="266">
                  <c:v>304.95444343238432</c:v>
                </c:pt>
                <c:pt idx="267">
                  <c:v>306.71983097497429</c:v>
                </c:pt>
                <c:pt idx="268">
                  <c:v>308.4788745922595</c:v>
                </c:pt>
                <c:pt idx="269">
                  <c:v>310.23171160582655</c:v>
                </c:pt>
                <c:pt idx="270">
                  <c:v>311.97847692489461</c:v>
                </c:pt>
                <c:pt idx="271">
                  <c:v>313.71930311621117</c:v>
                </c:pt>
                <c:pt idx="272">
                  <c:v>315.45432047131305</c:v>
                </c:pt>
                <c:pt idx="273">
                  <c:v>317.18365707123723</c:v>
                </c:pt>
                <c:pt idx="274">
                  <c:v>318.90743884875911</c:v>
                </c:pt>
                <c:pt idx="275">
                  <c:v>320.62578964822973</c:v>
                </c:pt>
                <c:pt idx="276">
                  <c:v>322.33883128307701</c:v>
                </c:pt>
                <c:pt idx="277">
                  <c:v>324.04668359102902</c:v>
                </c:pt>
                <c:pt idx="278">
                  <c:v>325.74946448711148</c:v>
                </c:pt>
                <c:pt idx="279">
                  <c:v>327.44729001446422</c:v>
                </c:pt>
                <c:pt idx="280">
                  <c:v>329.14027439301572</c:v>
                </c:pt>
                <c:pt idx="281">
                  <c:v>330.82853006604711</c:v>
                </c:pt>
                <c:pt idx="282">
                  <c:v>332.51216774466945</c:v>
                </c:pt>
                <c:pt idx="283">
                  <c:v>334.19129645023219</c:v>
                </c:pt>
                <c:pt idx="284">
                  <c:v>335.86602355467107</c:v>
                </c:pt>
                <c:pt idx="285">
                  <c:v>337.53645481879659</c:v>
                </c:pt>
                <c:pt idx="286">
                  <c:v>339.20269442851452</c:v>
                </c:pt>
                <c:pt idx="287">
                  <c:v>340.86484502896121</c:v>
                </c:pt>
                <c:pt idx="288">
                  <c:v>342.52300775652532</c:v>
                </c:pt>
                <c:pt idx="289">
                  <c:v>344.17728226871674</c:v>
                </c:pt>
                <c:pt idx="290">
                  <c:v>345.8277667718317</c:v>
                </c:pt>
                <c:pt idx="291">
                  <c:v>347.47455804634865</c:v>
                </c:pt>
                <c:pt idx="292">
                  <c:v>349.11775146997576</c:v>
                </c:pt>
                <c:pt idx="293">
                  <c:v>350.75744103825383</c:v>
                </c:pt>
                <c:pt idx="294">
                  <c:v>352.39371938260041</c:v>
                </c:pt>
                <c:pt idx="295">
                  <c:v>354.0266777856607</c:v>
                </c:pt>
                <c:pt idx="296">
                  <c:v>355.65640619380849</c:v>
                </c:pt>
                <c:pt idx="297">
                  <c:v>357.28299322661474</c:v>
                </c:pt>
                <c:pt idx="298">
                  <c:v>358.90652618307308</c:v>
                </c:pt>
                <c:pt idx="299">
                  <c:v>360.52709104434092</c:v>
                </c:pt>
                <c:pt idx="300">
                  <c:v>362.14477247271799</c:v>
                </c:pt>
                <c:pt idx="301">
                  <c:v>363.75965380654617</c:v>
                </c:pt>
                <c:pt idx="302">
                  <c:v>365.37181705066894</c:v>
                </c:pt>
                <c:pt idx="303">
                  <c:v>366.98134286204157</c:v>
                </c:pt>
                <c:pt idx="304">
                  <c:v>368.58831053002734</c:v>
                </c:pt>
                <c:pt idx="305">
                  <c:v>370.1927979508572</c:v>
                </c:pt>
                <c:pt idx="306">
                  <c:v>371.79488159566461</c:v>
                </c:pt>
                <c:pt idx="307">
                  <c:v>373.39463647143901</c:v>
                </c:pt>
                <c:pt idx="308">
                  <c:v>374.99213607416749</c:v>
                </c:pt>
                <c:pt idx="309">
                  <c:v>376.58745233335924</c:v>
                </c:pt>
                <c:pt idx="310">
                  <c:v>378.18065554707357</c:v>
                </c:pt>
                <c:pt idx="311">
                  <c:v>379.77181430650245</c:v>
                </c:pt>
                <c:pt idx="312">
                  <c:v>381.36099540910027</c:v>
                </c:pt>
                <c:pt idx="313">
                  <c:v>382.94826375921633</c:v>
                </c:pt>
                <c:pt idx="314">
                  <c:v>384.53368225517909</c:v>
                </c:pt>
                <c:pt idx="315">
                  <c:v>386.11731166182443</c:v>
                </c:pt>
                <c:pt idx="316">
                  <c:v>387.69921046757122</c:v>
                </c:pt>
                <c:pt idx="317">
                  <c:v>389.27943472535418</c:v>
                </c:pt>
                <c:pt idx="318">
                  <c:v>390.85803787705419</c:v>
                </c:pt>
                <c:pt idx="319">
                  <c:v>392.43507056155352</c:v>
                </c:pt>
                <c:pt idx="320">
                  <c:v>394.01058040721938</c:v>
                </c:pt>
                <c:pt idx="321">
                  <c:v>395.58461181050774</c:v>
                </c:pt>
                <c:pt idx="322">
                  <c:v>397.1572057034877</c:v>
                </c:pt>
                <c:pt idx="323">
                  <c:v>398.72839931439569</c:v>
                </c:pt>
                <c:pt idx="324">
                  <c:v>400.29822592677141</c:v>
                </c:pt>
                <c:pt idx="325">
                  <c:v>401.86671464419197</c:v>
                </c:pt>
                <c:pt idx="326">
                  <c:v>403.43389016892581</c:v>
                </c:pt>
                <c:pt idx="327">
                  <c:v>404.99977260375965</c:v>
                </c:pt>
                <c:pt idx="328">
                  <c:v>406.56437728656948</c:v>
                </c:pt>
                <c:pt idx="329">
                  <c:v>408.12771466670995</c:v>
                </c:pt>
                <c:pt idx="330">
                  <c:v>409.68979023088002</c:v>
                </c:pt>
                <c:pt idx="331">
                  <c:v>411.25060448382828</c:v>
                </c:pt>
                <c:pt idx="332">
                  <c:v>412.81015298629552</c:v>
                </c:pt>
                <c:pt idx="333">
                  <c:v>414.3684264493138</c:v>
                </c:pt>
                <c:pt idx="334">
                  <c:v>415.92541088080935</c:v>
                </c:pt>
                <c:pt idx="335">
                  <c:v>417.48108777779493</c:v>
                </c:pt>
                <c:pt idx="336">
                  <c:v>419.03543435557634</c:v>
                </c:pt>
                <c:pt idx="337">
                  <c:v>420.58842380445952</c:v>
                </c:pt>
                <c:pt idx="338">
                  <c:v>422.14002556439698</c:v>
                </c:pt>
                <c:pt idx="339">
                  <c:v>423.69020560868904</c:v>
                </c:pt>
                <c:pt idx="340">
                  <c:v>425.23892672902969</c:v>
                </c:pt>
                <c:pt idx="341">
                  <c:v>426.78614881561998</c:v>
                </c:pt>
                <c:pt idx="342">
                  <c:v>428.33182912756678</c:v>
                </c:pt>
                <c:pt idx="343">
                  <c:v>429.87592255018723</c:v>
                </c:pt>
                <c:pt idx="344">
                  <c:v>431.41838183706477</c:v>
                </c:pt>
                <c:pt idx="345">
                  <c:v>432.95915783570854</c:v>
                </c:pt>
                <c:pt idx="346">
                  <c:v>434.49819969645034</c:v>
                </c:pt>
                <c:pt idx="347">
                  <c:v>436.03545506478957</c:v>
                </c:pt>
                <c:pt idx="348">
                  <c:v>437.57087025779964</c:v>
                </c:pt>
                <c:pt idx="349">
                  <c:v>439.10439042546761</c:v>
                </c:pt>
                <c:pt idx="350">
                  <c:v>440.63595969798996</c:v>
                </c:pt>
                <c:pt idx="351">
                  <c:v>442.16552132011543</c:v>
                </c:pt>
                <c:pt idx="352">
                  <c:v>443.69301777363722</c:v>
                </c:pt>
                <c:pt idx="353">
                  <c:v>445.21839088910843</c:v>
                </c:pt>
                <c:pt idx="354">
                  <c:v>446.74158194780028</c:v>
                </c:pt>
                <c:pt idx="355">
                  <c:v>448.26253177485574</c:v>
                </c:pt>
                <c:pt idx="356">
                  <c:v>449.78118082451437</c:v>
                </c:pt>
                <c:pt idx="357">
                  <c:v>451.29746925820746</c:v>
                </c:pt>
                <c:pt idx="358">
                  <c:v>452.81133701624634</c:v>
                </c:pt>
                <c:pt idx="359">
                  <c:v>454.32272388375316</c:v>
                </c:pt>
                <c:pt idx="360">
                  <c:v>455.83156955141686</c:v>
                </c:pt>
                <c:pt idx="361">
                  <c:v>457.33781367159378</c:v>
                </c:pt>
                <c:pt idx="362">
                  <c:v>458.84139591021517</c:v>
                </c:pt>
                <c:pt idx="363">
                  <c:v>460.34225599491384</c:v>
                </c:pt>
                <c:pt idx="364">
                  <c:v>461.84033375973496</c:v>
                </c:pt>
                <c:pt idx="365">
                  <c:v>463.33556918675527</c:v>
                </c:pt>
                <c:pt idx="366">
                  <c:v>464.82790244489888</c:v>
                </c:pt>
                <c:pt idx="367">
                  <c:v>466.3172739262053</c:v>
                </c:pt>
                <c:pt idx="368">
                  <c:v>467.80362427977582</c:v>
                </c:pt>
                <c:pt idx="369">
                  <c:v>469.28689444360066</c:v>
                </c:pt>
                <c:pt idx="370">
                  <c:v>470.76702567444505</c:v>
                </c:pt>
                <c:pt idx="371">
                  <c:v>472.24395957595431</c:v>
                </c:pt>
                <c:pt idx="372">
                  <c:v>473.71763812511927</c:v>
                </c:pt>
                <c:pt idx="373">
                  <c:v>475.18800369722896</c:v>
                </c:pt>
                <c:pt idx="374">
                  <c:v>476.65499908942286</c:v>
                </c:pt>
                <c:pt idx="375">
                  <c:v>478.11856754294422</c:v>
                </c:pt>
                <c:pt idx="376">
                  <c:v>479.57865276418426</c:v>
                </c:pt>
                <c:pt idx="377">
                  <c:v>481.03519894459828</c:v>
                </c:pt>
                <c:pt idx="378">
                  <c:v>482.48815077956624</c:v>
                </c:pt>
                <c:pt idx="379">
                  <c:v>483.93745348626322</c:v>
                </c:pt>
                <c:pt idx="380">
                  <c:v>485.38305282059821</c:v>
                </c:pt>
                <c:pt idx="381">
                  <c:v>486.82489509327428</c:v>
                </c:pt>
                <c:pt idx="382">
                  <c:v>488.26292718501827</c:v>
                </c:pt>
                <c:pt idx="383">
                  <c:v>489.69709656102282</c:v>
                </c:pt>
                <c:pt idx="384">
                  <c:v>491.1273512846405</c:v>
                </c:pt>
                <c:pt idx="385">
                  <c:v>492.55364003036516</c:v>
                </c:pt>
                <c:pt idx="386">
                  <c:v>493.97591209613375</c:v>
                </c:pt>
                <c:pt idx="387">
                  <c:v>495.39411741497759</c:v>
                </c:pt>
                <c:pt idx="388">
                  <c:v>496.80820656605027</c:v>
                </c:pt>
                <c:pt idx="389">
                  <c:v>498.21813078505761</c:v>
                </c:pt>
                <c:pt idx="390">
                  <c:v>499.62384197411183</c:v>
                </c:pt>
                <c:pt idx="391">
                  <c:v>501.02529271103151</c:v>
                </c:pt>
                <c:pt idx="392">
                  <c:v>502.42243625810625</c:v>
                </c:pt>
                <c:pt idx="393">
                  <c:v>503.81522657034469</c:v>
                </c:pt>
                <c:pt idx="394">
                  <c:v>505.20361830322213</c:v>
                </c:pt>
                <c:pt idx="395">
                  <c:v>506.58756681994333</c:v>
                </c:pt>
                <c:pt idx="396">
                  <c:v>507.96702819823571</c:v>
                </c:pt>
                <c:pt idx="397">
                  <c:v>509.34195923668551</c:v>
                </c:pt>
                <c:pt idx="398">
                  <c:v>510.71231746063097</c:v>
                </c:pt>
                <c:pt idx="399">
                  <c:v>512.07806112762353</c:v>
                </c:pt>
                <c:pt idx="400">
                  <c:v>513.43914923246928</c:v>
                </c:pt>
                <c:pt idx="401">
                  <c:v>514.79554151186119</c:v>
                </c:pt>
                <c:pt idx="402">
                  <c:v>516.1471984486127</c:v>
                </c:pt>
                <c:pt idx="403">
                  <c:v>517.49408127550203</c:v>
                </c:pt>
                <c:pt idx="404">
                  <c:v>518.83615197873712</c:v>
                </c:pt>
                <c:pt idx="405">
                  <c:v>520.17337330105033</c:v>
                </c:pt>
                <c:pt idx="406">
                  <c:v>521.50570874443156</c:v>
                </c:pt>
                <c:pt idx="407">
                  <c:v>522.83312257250782</c:v>
                </c:pt>
                <c:pt idx="408">
                  <c:v>524.1555798125778</c:v>
                </c:pt>
                <c:pt idx="409">
                  <c:v>525.47304625730987</c:v>
                </c:pt>
                <c:pt idx="410">
                  <c:v>526.78548846610988</c:v>
                </c:pt>
                <c:pt idx="411">
                  <c:v>528.09287376616771</c:v>
                </c:pt>
                <c:pt idx="412">
                  <c:v>529.39517025318924</c:v>
                </c:pt>
                <c:pt idx="413">
                  <c:v>530.69234679182057</c:v>
                </c:pt>
                <c:pt idx="414">
                  <c:v>531.98437301577246</c:v>
                </c:pt>
                <c:pt idx="415">
                  <c:v>533.27121932765124</c:v>
                </c:pt>
                <c:pt idx="416">
                  <c:v>534.5528568985028</c:v>
                </c:pt>
                <c:pt idx="417">
                  <c:v>535.82925766707763</c:v>
                </c:pt>
                <c:pt idx="418">
                  <c:v>537.10039433882162</c:v>
                </c:pt>
                <c:pt idx="419">
                  <c:v>538.3662403846007</c:v>
                </c:pt>
                <c:pt idx="420">
                  <c:v>539.62677003916542</c:v>
                </c:pt>
                <c:pt idx="421">
                  <c:v>540.88195829936069</c:v>
                </c:pt>
                <c:pt idx="422">
                  <c:v>542.13178092208921</c:v>
                </c:pt>
                <c:pt idx="423">
                  <c:v>543.37621442203249</c:v>
                </c:pt>
                <c:pt idx="424">
                  <c:v>544.61523606913727</c:v>
                </c:pt>
                <c:pt idx="425">
                  <c:v>545.84882388587243</c:v>
                </c:pt>
                <c:pt idx="426">
                  <c:v>547.07695664426353</c:v>
                </c:pt>
                <c:pt idx="427">
                  <c:v>548.29961386270963</c:v>
                </c:pt>
                <c:pt idx="428">
                  <c:v>549.5167758025899</c:v>
                </c:pt>
                <c:pt idx="429">
                  <c:v>550.72842346466462</c:v>
                </c:pt>
                <c:pt idx="430">
                  <c:v>551.93453858527675</c:v>
                </c:pt>
                <c:pt idx="431">
                  <c:v>553.13510363236117</c:v>
                </c:pt>
                <c:pt idx="432">
                  <c:v>554.33010180126519</c:v>
                </c:pt>
                <c:pt idx="433">
                  <c:v>555.51951701038774</c:v>
                </c:pt>
                <c:pt idx="434">
                  <c:v>556.70333389664245</c:v>
                </c:pt>
                <c:pt idx="435">
                  <c:v>557.88153781075005</c:v>
                </c:pt>
                <c:pt idx="436">
                  <c:v>559.05411481236581</c:v>
                </c:pt>
                <c:pt idx="437">
                  <c:v>560.22105166504787</c:v>
                </c:pt>
                <c:pt idx="438">
                  <c:v>561.38233583107115</c:v>
                </c:pt>
                <c:pt idx="439">
                  <c:v>562.53795546609365</c:v>
                </c:pt>
                <c:pt idx="440">
                  <c:v>563.68789941367891</c:v>
                </c:pt>
                <c:pt idx="441">
                  <c:v>564.83215719968121</c:v>
                </c:pt>
                <c:pt idx="442">
                  <c:v>565.97071902649861</c:v>
                </c:pt>
                <c:pt idx="443">
                  <c:v>567.10357576719809</c:v>
                </c:pt>
                <c:pt idx="444">
                  <c:v>568.23071895951978</c:v>
                </c:pt>
                <c:pt idx="445">
                  <c:v>569.35214079976345</c:v>
                </c:pt>
                <c:pt idx="446">
                  <c:v>570.46783413656362</c:v>
                </c:pt>
                <c:pt idx="447">
                  <c:v>571.577792464558</c:v>
                </c:pt>
                <c:pt idx="448">
                  <c:v>572.68200991795413</c:v>
                </c:pt>
                <c:pt idx="449">
                  <c:v>573.78048126399915</c:v>
                </c:pt>
                <c:pt idx="450">
                  <c:v>574.87320189635716</c:v>
                </c:pt>
                <c:pt idx="451">
                  <c:v>575.9601678283999</c:v>
                </c:pt>
                <c:pt idx="452">
                  <c:v>577.0413756864142</c:v>
                </c:pt>
                <c:pt idx="453">
                  <c:v>578.11682270273218</c:v>
                </c:pt>
                <c:pt idx="454">
                  <c:v>579.18650670878731</c:v>
                </c:pt>
                <c:pt idx="455">
                  <c:v>580.25042612810216</c:v>
                </c:pt>
                <c:pt idx="456">
                  <c:v>581.30857996921145</c:v>
                </c:pt>
                <c:pt idx="457">
                  <c:v>582.36096781852473</c:v>
                </c:pt>
                <c:pt idx="458">
                  <c:v>583.40758983313413</c:v>
                </c:pt>
                <c:pt idx="459">
                  <c:v>584.44844673356931</c:v>
                </c:pt>
                <c:pt idx="460">
                  <c:v>585.48353979650608</c:v>
                </c:pt>
                <c:pt idx="461">
                  <c:v>586.5128708474308</c:v>
                </c:pt>
                <c:pt idx="462">
                  <c:v>587.53644225326605</c:v>
                </c:pt>
                <c:pt idx="463">
                  <c:v>588.55425691496021</c:v>
                </c:pt>
                <c:pt idx="464">
                  <c:v>589.56631826004593</c:v>
                </c:pt>
                <c:pt idx="465">
                  <c:v>590.57263023517055</c:v>
                </c:pt>
                <c:pt idx="466">
                  <c:v>591.57319729860251</c:v>
                </c:pt>
                <c:pt idx="467">
                  <c:v>592.5680244127168</c:v>
                </c:pt>
                <c:pt idx="468">
                  <c:v>593.55711703646409</c:v>
                </c:pt>
                <c:pt idx="469">
                  <c:v>594.54048111782549</c:v>
                </c:pt>
                <c:pt idx="470">
                  <c:v>595.51812308625813</c:v>
                </c:pt>
                <c:pt idx="471">
                  <c:v>596.49004984513306</c:v>
                </c:pt>
                <c:pt idx="472">
                  <c:v>597.45626876416986</c:v>
                </c:pt>
                <c:pt idx="473">
                  <c:v>598.41678767187113</c:v>
                </c:pt>
                <c:pt idx="474">
                  <c:v>599.37161484795888</c:v>
                </c:pt>
                <c:pt idx="475">
                  <c:v>600.3207590158172</c:v>
                </c:pt>
                <c:pt idx="476">
                  <c:v>601.26422933494291</c:v>
                </c:pt>
                <c:pt idx="477">
                  <c:v>602.2020353934081</c:v>
                </c:pt>
                <c:pt idx="478">
                  <c:v>603.13418720033633</c:v>
                </c:pt>
                <c:pt idx="479">
                  <c:v>604.06069517839626</c:v>
                </c:pt>
                <c:pt idx="480">
                  <c:v>604.98157015631386</c:v>
                </c:pt>
                <c:pt idx="481">
                  <c:v>605.89682336140743</c:v>
                </c:pt>
                <c:pt idx="482">
                  <c:v>606.80646641214662</c:v>
                </c:pt>
                <c:pt idx="483">
                  <c:v>607.71051131073807</c:v>
                </c:pt>
                <c:pt idx="484">
                  <c:v>608.60897043574084</c:v>
                </c:pt>
                <c:pt idx="485">
                  <c:v>609.50185653471272</c:v>
                </c:pt>
                <c:pt idx="486">
                  <c:v>610.3891827168901</c:v>
                </c:pt>
                <c:pt idx="487">
                  <c:v>611.27096244590348</c:v>
                </c:pt>
                <c:pt idx="488">
                  <c:v>612.14720953253095</c:v>
                </c:pt>
                <c:pt idx="489">
                  <c:v>613.01793812749065</c:v>
                </c:pt>
                <c:pt idx="490">
                  <c:v>613.88316271427539</c:v>
                </c:pt>
                <c:pt idx="491">
                  <c:v>614.74289810203015</c:v>
                </c:pt>
                <c:pt idx="492">
                  <c:v>615.59715941847435</c:v>
                </c:pt>
                <c:pt idx="493">
                  <c:v>616.44596210287159</c:v>
                </c:pt>
                <c:pt idx="494">
                  <c:v>617.28932189904685</c:v>
                </c:pt>
                <c:pt idx="495">
                  <c:v>618.12725484845407</c:v>
                </c:pt>
                <c:pt idx="496">
                  <c:v>618.95977728329501</c:v>
                </c:pt>
                <c:pt idx="497">
                  <c:v>619.78690581969045</c:v>
                </c:pt>
                <c:pt idx="498">
                  <c:v>620.60865735090567</c:v>
                </c:pt>
                <c:pt idx="499">
                  <c:v>621.42504904063173</c:v>
                </c:pt>
                <c:pt idx="500">
                  <c:v>622.23609831632234</c:v>
                </c:pt>
                <c:pt idx="501">
                  <c:v>623.04182286258958</c:v>
                </c:pt>
                <c:pt idx="502">
                  <c:v>623.84224061465761</c:v>
                </c:pt>
                <c:pt idx="503">
                  <c:v>624.63736975187658</c:v>
                </c:pt>
                <c:pt idx="504">
                  <c:v>625.4272286912975</c:v>
                </c:pt>
                <c:pt idx="505">
                  <c:v>626.21183608130877</c:v>
                </c:pt>
                <c:pt idx="506">
                  <c:v>626.99121079533575</c:v>
                </c:pt>
                <c:pt idx="507">
                  <c:v>627.76537192560306</c:v>
                </c:pt>
                <c:pt idx="508">
                  <c:v>628.53433877696204</c:v>
                </c:pt>
                <c:pt idx="509">
                  <c:v>629.29813086078275</c:v>
                </c:pt>
                <c:pt idx="510">
                  <c:v>630.05676788891162</c:v>
                </c:pt>
                <c:pt idx="511">
                  <c:v>630.81026976769556</c:v>
                </c:pt>
                <c:pt idx="512">
                  <c:v>631.55865659207279</c:v>
                </c:pt>
                <c:pt idx="513">
                  <c:v>632.30194863973134</c:v>
                </c:pt>
                <c:pt idx="514">
                  <c:v>633.04016636533493</c:v>
                </c:pt>
                <c:pt idx="515">
                  <c:v>633.77333039481755</c:v>
                </c:pt>
                <c:pt idx="516">
                  <c:v>634.50146151974661</c:v>
                </c:pt>
                <c:pt idx="517">
                  <c:v>635.22458069175514</c:v>
                </c:pt>
                <c:pt idx="518">
                  <c:v>635.94270901704328</c:v>
                </c:pt>
                <c:pt idx="519">
                  <c:v>636.65586775094926</c:v>
                </c:pt>
                <c:pt idx="520">
                  <c:v>637.36407829259042</c:v>
                </c:pt>
                <c:pt idx="521">
                  <c:v>638.06736217957427</c:v>
                </c:pt>
                <c:pt idx="522">
                  <c:v>638.76574108277941</c:v>
                </c:pt>
                <c:pt idx="523">
                  <c:v>639.45923680120723</c:v>
                </c:pt>
                <c:pt idx="524">
                  <c:v>640.14787125690316</c:v>
                </c:pt>
                <c:pt idx="525">
                  <c:v>640.83166648994927</c:v>
                </c:pt>
                <c:pt idx="526">
                  <c:v>641.51064465352658</c:v>
                </c:pt>
                <c:pt idx="527">
                  <c:v>642.18482800904803</c:v>
                </c:pt>
                <c:pt idx="528">
                  <c:v>642.85423892136157</c:v>
                </c:pt>
                <c:pt idx="529">
                  <c:v>643.51889985402397</c:v>
                </c:pt>
                <c:pt idx="530">
                  <c:v>644.17883336464422</c:v>
                </c:pt>
                <c:pt idx="531">
                  <c:v>644.83406210029716</c:v>
                </c:pt>
                <c:pt idx="532">
                  <c:v>645.48460879300694</c:v>
                </c:pt>
                <c:pt idx="533">
                  <c:v>646.13049625530016</c:v>
                </c:pt>
                <c:pt idx="534">
                  <c:v>646.77174737582823</c:v>
                </c:pt>
                <c:pt idx="535">
                  <c:v>647.40838511505922</c:v>
                </c:pt>
                <c:pt idx="536">
                  <c:v>648.04043250103803</c:v>
                </c:pt>
                <c:pt idx="537">
                  <c:v>648.66791262521588</c:v>
                </c:pt>
                <c:pt idx="538">
                  <c:v>649.2908486383476</c:v>
                </c:pt>
                <c:pt idx="539">
                  <c:v>649.9092637464571</c:v>
                </c:pt>
                <c:pt idx="540">
                  <c:v>650.52318120687016</c:v>
                </c:pt>
                <c:pt idx="541">
                  <c:v>651.13262432431497</c:v>
                </c:pt>
                <c:pt idx="542">
                  <c:v>651.73761644708907</c:v>
                </c:pt>
                <c:pt idx="543">
                  <c:v>652.33818096329264</c:v>
                </c:pt>
                <c:pt idx="544">
                  <c:v>652.93434129712853</c:v>
                </c:pt>
                <c:pt idx="545">
                  <c:v>653.52612090526691</c:v>
                </c:pt>
                <c:pt idx="546">
                  <c:v>654.1135432732757</c:v>
                </c:pt>
                <c:pt idx="547">
                  <c:v>654.69663191211532</c:v>
                </c:pt>
                <c:pt idx="548">
                  <c:v>655.27541035469778</c:v>
                </c:pt>
                <c:pt idx="549">
                  <c:v>655.84990215250912</c:v>
                </c:pt>
                <c:pt idx="550">
                  <c:v>656.42013087229566</c:v>
                </c:pt>
                <c:pt idx="551">
                  <c:v>656.9861200928118</c:v>
                </c:pt>
                <c:pt idx="552">
                  <c:v>657.5478934016312</c:v>
                </c:pt>
                <c:pt idx="553">
                  <c:v>658.10547439201832</c:v>
                </c:pt>
                <c:pt idx="554">
                  <c:v>658.65888665986165</c:v>
                </c:pt>
                <c:pt idx="555">
                  <c:v>659.20815380066745</c:v>
                </c:pt>
                <c:pt idx="556">
                  <c:v>659.75329940661254</c:v>
                </c:pt>
                <c:pt idx="557">
                  <c:v>660.29434706365748</c:v>
                </c:pt>
                <c:pt idx="558">
                  <c:v>660.83132034871755</c:v>
                </c:pt>
                <c:pt idx="559">
                  <c:v>661.36424282689211</c:v>
                </c:pt>
                <c:pt idx="560">
                  <c:v>661.89313804875178</c:v>
                </c:pt>
                <c:pt idx="561">
                  <c:v>662.41802954768184</c:v>
                </c:pt>
                <c:pt idx="562">
                  <c:v>662.93894083728253</c:v>
                </c:pt>
                <c:pt idx="563">
                  <c:v>663.45589540882486</c:v>
                </c:pt>
                <c:pt idx="564">
                  <c:v>663.96891672876097</c:v>
                </c:pt>
                <c:pt idx="565">
                  <c:v>664.47802823628956</c:v>
                </c:pt>
                <c:pt idx="566">
                  <c:v>664.98325334097478</c:v>
                </c:pt>
                <c:pt idx="567">
                  <c:v>665.48461542041821</c:v>
                </c:pt>
                <c:pt idx="568">
                  <c:v>665.9821378179837</c:v>
                </c:pt>
                <c:pt idx="569">
                  <c:v>666.47584384057348</c:v>
                </c:pt>
                <c:pt idx="570">
                  <c:v>666.96575675645624</c:v>
                </c:pt>
                <c:pt idx="571">
                  <c:v>667.45189979314512</c:v>
                </c:pt>
                <c:pt idx="572">
                  <c:v>667.93429613532624</c:v>
                </c:pt>
                <c:pt idx="573">
                  <c:v>668.41296892283594</c:v>
                </c:pt>
                <c:pt idx="574">
                  <c:v>668.88794124868741</c:v>
                </c:pt>
                <c:pt idx="575">
                  <c:v>669.35923615714466</c:v>
                </c:pt>
                <c:pt idx="576">
                  <c:v>669.82687664184425</c:v>
                </c:pt>
                <c:pt idx="577">
                  <c:v>670.29088564396386</c:v>
                </c:pt>
                <c:pt idx="578">
                  <c:v>670.75128605043653</c:v>
                </c:pt>
                <c:pt idx="579">
                  <c:v>671.20810069221091</c:v>
                </c:pt>
                <c:pt idx="580">
                  <c:v>671.66135234255569</c:v>
                </c:pt>
                <c:pt idx="581">
                  <c:v>672.11106371540893</c:v>
                </c:pt>
                <c:pt idx="582">
                  <c:v>672.55725746377038</c:v>
                </c:pt>
                <c:pt idx="583">
                  <c:v>672.99995617813693</c:v>
                </c:pt>
                <c:pt idx="584">
                  <c:v>673.43918238498031</c:v>
                </c:pt>
                <c:pt idx="585">
                  <c:v>673.87495854526674</c:v>
                </c:pt>
                <c:pt idx="586">
                  <c:v>674.30730705301698</c:v>
                </c:pt>
                <c:pt idx="587">
                  <c:v>674.73625023390741</c:v>
                </c:pt>
                <c:pt idx="588">
                  <c:v>675.1618103439107</c:v>
                </c:pt>
                <c:pt idx="589">
                  <c:v>675.58400956797539</c:v>
                </c:pt>
                <c:pt idx="590">
                  <c:v>676.00287001874437</c:v>
                </c:pt>
                <c:pt idx="591">
                  <c:v>676.41841373531133</c:v>
                </c:pt>
                <c:pt idx="592">
                  <c:v>676.83066268201446</c:v>
                </c:pt>
                <c:pt idx="593">
                  <c:v>677.23963874726667</c:v>
                </c:pt>
                <c:pt idx="594">
                  <c:v>677.64536374242232</c:v>
                </c:pt>
                <c:pt idx="595">
                  <c:v>677.64536374242232</c:v>
                </c:pt>
                <c:pt idx="596">
                  <c:v>677.64536374242232</c:v>
                </c:pt>
                <c:pt idx="597">
                  <c:v>677.64536374242232</c:v>
                </c:pt>
                <c:pt idx="598">
                  <c:v>677.64536374242232</c:v>
                </c:pt>
                <c:pt idx="599">
                  <c:v>677.64536374242232</c:v>
                </c:pt>
                <c:pt idx="600">
                  <c:v>677.64536374242232</c:v>
                </c:pt>
                <c:pt idx="601">
                  <c:v>677.64536374242232</c:v>
                </c:pt>
                <c:pt idx="602">
                  <c:v>677.64536374242232</c:v>
                </c:pt>
                <c:pt idx="603">
                  <c:v>677.64536374242232</c:v>
                </c:pt>
                <c:pt idx="604">
                  <c:v>677.64536374242232</c:v>
                </c:pt>
                <c:pt idx="605">
                  <c:v>677.64536374242232</c:v>
                </c:pt>
                <c:pt idx="606">
                  <c:v>677.64536374242232</c:v>
                </c:pt>
                <c:pt idx="607">
                  <c:v>677.64536374242232</c:v>
                </c:pt>
                <c:pt idx="608">
                  <c:v>677.64536374242232</c:v>
                </c:pt>
                <c:pt idx="609">
                  <c:v>677.64536374242232</c:v>
                </c:pt>
                <c:pt idx="610">
                  <c:v>677.64536374242232</c:v>
                </c:pt>
                <c:pt idx="611">
                  <c:v>677.64536374242232</c:v>
                </c:pt>
                <c:pt idx="612">
                  <c:v>677.64536374242232</c:v>
                </c:pt>
                <c:pt idx="613">
                  <c:v>677.64536374242232</c:v>
                </c:pt>
                <c:pt idx="614">
                  <c:v>677.64536374242232</c:v>
                </c:pt>
                <c:pt idx="615">
                  <c:v>677.64536374242232</c:v>
                </c:pt>
                <c:pt idx="616">
                  <c:v>677.64536374242232</c:v>
                </c:pt>
                <c:pt idx="617">
                  <c:v>677.64536374242232</c:v>
                </c:pt>
                <c:pt idx="618">
                  <c:v>677.64536374242232</c:v>
                </c:pt>
                <c:pt idx="619">
                  <c:v>677.64536374242232</c:v>
                </c:pt>
                <c:pt idx="620">
                  <c:v>677.64536374242232</c:v>
                </c:pt>
                <c:pt idx="621">
                  <c:v>677.64536374242232</c:v>
                </c:pt>
                <c:pt idx="622">
                  <c:v>677.64536374242232</c:v>
                </c:pt>
                <c:pt idx="623">
                  <c:v>677.64536374242232</c:v>
                </c:pt>
                <c:pt idx="624">
                  <c:v>677.64536374242232</c:v>
                </c:pt>
                <c:pt idx="625">
                  <c:v>677.64536374242232</c:v>
                </c:pt>
                <c:pt idx="626">
                  <c:v>677.64536374242232</c:v>
                </c:pt>
                <c:pt idx="627">
                  <c:v>677.64536374242232</c:v>
                </c:pt>
                <c:pt idx="628">
                  <c:v>677.64536374242232</c:v>
                </c:pt>
                <c:pt idx="629">
                  <c:v>677.64536374242232</c:v>
                </c:pt>
                <c:pt idx="630">
                  <c:v>677.64536374242232</c:v>
                </c:pt>
                <c:pt idx="631">
                  <c:v>677.64536374242232</c:v>
                </c:pt>
                <c:pt idx="632">
                  <c:v>677.64536374242232</c:v>
                </c:pt>
                <c:pt idx="633">
                  <c:v>677.64536374242232</c:v>
                </c:pt>
                <c:pt idx="634">
                  <c:v>677.64536374242232</c:v>
                </c:pt>
                <c:pt idx="635">
                  <c:v>677.64536374242232</c:v>
                </c:pt>
                <c:pt idx="636">
                  <c:v>677.64536374242232</c:v>
                </c:pt>
                <c:pt idx="637">
                  <c:v>677.64536374242232</c:v>
                </c:pt>
                <c:pt idx="638">
                  <c:v>677.64536374242232</c:v>
                </c:pt>
                <c:pt idx="639">
                  <c:v>677.64536374242232</c:v>
                </c:pt>
                <c:pt idx="640">
                  <c:v>677.64536374242232</c:v>
                </c:pt>
                <c:pt idx="641">
                  <c:v>677.64536374242232</c:v>
                </c:pt>
                <c:pt idx="642">
                  <c:v>677.64536374242232</c:v>
                </c:pt>
                <c:pt idx="643">
                  <c:v>677.64536374242232</c:v>
                </c:pt>
                <c:pt idx="644">
                  <c:v>677.64536374242232</c:v>
                </c:pt>
                <c:pt idx="645">
                  <c:v>677.64536374242232</c:v>
                </c:pt>
                <c:pt idx="646">
                  <c:v>677.64536374242232</c:v>
                </c:pt>
                <c:pt idx="647">
                  <c:v>677.64536374242232</c:v>
                </c:pt>
                <c:pt idx="648">
                  <c:v>677.64536374242232</c:v>
                </c:pt>
                <c:pt idx="649">
                  <c:v>677.64536374242232</c:v>
                </c:pt>
                <c:pt idx="650">
                  <c:v>677.64536374242232</c:v>
                </c:pt>
                <c:pt idx="651">
                  <c:v>677.64536374242232</c:v>
                </c:pt>
                <c:pt idx="652">
                  <c:v>677.64536374242232</c:v>
                </c:pt>
                <c:pt idx="653">
                  <c:v>677.64536374242232</c:v>
                </c:pt>
                <c:pt idx="654">
                  <c:v>677.64536374242232</c:v>
                </c:pt>
                <c:pt idx="655">
                  <c:v>677.64536374242232</c:v>
                </c:pt>
                <c:pt idx="656">
                  <c:v>677.64536374242232</c:v>
                </c:pt>
                <c:pt idx="657">
                  <c:v>677.64536374242232</c:v>
                </c:pt>
                <c:pt idx="658">
                  <c:v>677.64536374242232</c:v>
                </c:pt>
                <c:pt idx="659">
                  <c:v>677.64536374242232</c:v>
                </c:pt>
                <c:pt idx="660">
                  <c:v>677.64536374242232</c:v>
                </c:pt>
                <c:pt idx="661">
                  <c:v>677.64536374242232</c:v>
                </c:pt>
                <c:pt idx="662">
                  <c:v>677.64536374242232</c:v>
                </c:pt>
                <c:pt idx="663">
                  <c:v>677.64536374242232</c:v>
                </c:pt>
                <c:pt idx="664">
                  <c:v>677.64536374242232</c:v>
                </c:pt>
                <c:pt idx="665">
                  <c:v>677.64536374242232</c:v>
                </c:pt>
                <c:pt idx="666">
                  <c:v>677.64536374242232</c:v>
                </c:pt>
                <c:pt idx="667">
                  <c:v>677.64536374242232</c:v>
                </c:pt>
                <c:pt idx="668">
                  <c:v>677.64536374242232</c:v>
                </c:pt>
                <c:pt idx="669">
                  <c:v>677.64536374242232</c:v>
                </c:pt>
                <c:pt idx="670">
                  <c:v>677.64536374242232</c:v>
                </c:pt>
                <c:pt idx="671">
                  <c:v>677.64536374242232</c:v>
                </c:pt>
                <c:pt idx="672">
                  <c:v>677.64536374242232</c:v>
                </c:pt>
                <c:pt idx="673">
                  <c:v>677.64536374242232</c:v>
                </c:pt>
                <c:pt idx="674">
                  <c:v>677.64536374242232</c:v>
                </c:pt>
                <c:pt idx="675">
                  <c:v>677.64536374242232</c:v>
                </c:pt>
                <c:pt idx="676">
                  <c:v>677.64536374242232</c:v>
                </c:pt>
                <c:pt idx="677">
                  <c:v>677.64536374242232</c:v>
                </c:pt>
                <c:pt idx="678">
                  <c:v>677.64536374242232</c:v>
                </c:pt>
                <c:pt idx="679">
                  <c:v>677.64536374242232</c:v>
                </c:pt>
                <c:pt idx="680">
                  <c:v>677.64536374242232</c:v>
                </c:pt>
                <c:pt idx="681">
                  <c:v>677.64536374242232</c:v>
                </c:pt>
                <c:pt idx="682">
                  <c:v>677.64536374242232</c:v>
                </c:pt>
                <c:pt idx="683">
                  <c:v>677.64536374242232</c:v>
                </c:pt>
                <c:pt idx="684">
                  <c:v>677.64536374242232</c:v>
                </c:pt>
                <c:pt idx="685">
                  <c:v>677.64536374242232</c:v>
                </c:pt>
                <c:pt idx="686">
                  <c:v>677.64536374242232</c:v>
                </c:pt>
                <c:pt idx="687">
                  <c:v>677.64536374242232</c:v>
                </c:pt>
                <c:pt idx="688">
                  <c:v>677.64536374242232</c:v>
                </c:pt>
                <c:pt idx="689">
                  <c:v>677.64536374242232</c:v>
                </c:pt>
                <c:pt idx="690">
                  <c:v>677.64536374242232</c:v>
                </c:pt>
                <c:pt idx="691">
                  <c:v>677.64536374242232</c:v>
                </c:pt>
                <c:pt idx="692">
                  <c:v>677.64536374242232</c:v>
                </c:pt>
                <c:pt idx="693">
                  <c:v>677.64536374242232</c:v>
                </c:pt>
                <c:pt idx="694">
                  <c:v>677.64536374242232</c:v>
                </c:pt>
                <c:pt idx="695">
                  <c:v>677.64536374242232</c:v>
                </c:pt>
                <c:pt idx="696">
                  <c:v>677.64536374242232</c:v>
                </c:pt>
                <c:pt idx="697">
                  <c:v>677.64536374242232</c:v>
                </c:pt>
                <c:pt idx="698">
                  <c:v>677.64536374242232</c:v>
                </c:pt>
                <c:pt idx="699">
                  <c:v>677.64536374242232</c:v>
                </c:pt>
                <c:pt idx="700">
                  <c:v>677.64536374242232</c:v>
                </c:pt>
                <c:pt idx="701">
                  <c:v>677.64536374242232</c:v>
                </c:pt>
                <c:pt idx="702">
                  <c:v>677.64536374242232</c:v>
                </c:pt>
                <c:pt idx="703">
                  <c:v>677.64536374242232</c:v>
                </c:pt>
                <c:pt idx="704">
                  <c:v>677.64536374242232</c:v>
                </c:pt>
                <c:pt idx="705">
                  <c:v>677.64536374242232</c:v>
                </c:pt>
                <c:pt idx="706">
                  <c:v>677.64536374242232</c:v>
                </c:pt>
                <c:pt idx="707">
                  <c:v>677.64536374242232</c:v>
                </c:pt>
                <c:pt idx="708">
                  <c:v>677.64536374242232</c:v>
                </c:pt>
                <c:pt idx="709">
                  <c:v>677.64536374242232</c:v>
                </c:pt>
                <c:pt idx="710">
                  <c:v>677.64536374242232</c:v>
                </c:pt>
                <c:pt idx="711">
                  <c:v>677.64536374242232</c:v>
                </c:pt>
                <c:pt idx="712">
                  <c:v>677.64536374242232</c:v>
                </c:pt>
                <c:pt idx="713">
                  <c:v>677.64536374242232</c:v>
                </c:pt>
                <c:pt idx="714">
                  <c:v>677.64536374242232</c:v>
                </c:pt>
                <c:pt idx="715">
                  <c:v>677.64536374242232</c:v>
                </c:pt>
                <c:pt idx="716">
                  <c:v>677.64536374242232</c:v>
                </c:pt>
                <c:pt idx="717">
                  <c:v>677.64536374242232</c:v>
                </c:pt>
                <c:pt idx="718">
                  <c:v>677.64536374242232</c:v>
                </c:pt>
                <c:pt idx="719">
                  <c:v>677.64536374242232</c:v>
                </c:pt>
                <c:pt idx="720">
                  <c:v>677.64536374242232</c:v>
                </c:pt>
                <c:pt idx="721">
                  <c:v>677.64536374242232</c:v>
                </c:pt>
                <c:pt idx="722">
                  <c:v>677.64536374242232</c:v>
                </c:pt>
                <c:pt idx="723">
                  <c:v>677.64536374242232</c:v>
                </c:pt>
                <c:pt idx="724">
                  <c:v>677.64536374242232</c:v>
                </c:pt>
                <c:pt idx="725">
                  <c:v>677.64536374242232</c:v>
                </c:pt>
                <c:pt idx="726">
                  <c:v>677.64536374242232</c:v>
                </c:pt>
                <c:pt idx="727">
                  <c:v>677.64536374242232</c:v>
                </c:pt>
                <c:pt idx="728">
                  <c:v>677.64536374242232</c:v>
                </c:pt>
                <c:pt idx="729">
                  <c:v>677.64536374242232</c:v>
                </c:pt>
                <c:pt idx="730">
                  <c:v>677.64536374242232</c:v>
                </c:pt>
                <c:pt idx="731">
                  <c:v>677.64536374242232</c:v>
                </c:pt>
                <c:pt idx="732">
                  <c:v>677.64536374242232</c:v>
                </c:pt>
                <c:pt idx="733">
                  <c:v>677.64536374242232</c:v>
                </c:pt>
                <c:pt idx="734">
                  <c:v>677.64536374242232</c:v>
                </c:pt>
                <c:pt idx="735">
                  <c:v>677.64536374242232</c:v>
                </c:pt>
                <c:pt idx="736">
                  <c:v>677.64536374242232</c:v>
                </c:pt>
                <c:pt idx="737">
                  <c:v>677.64536374242232</c:v>
                </c:pt>
                <c:pt idx="738">
                  <c:v>677.64536374242232</c:v>
                </c:pt>
                <c:pt idx="739">
                  <c:v>677.64536374242232</c:v>
                </c:pt>
                <c:pt idx="740">
                  <c:v>677.64536374242232</c:v>
                </c:pt>
                <c:pt idx="741">
                  <c:v>677.64536374242232</c:v>
                </c:pt>
                <c:pt idx="742">
                  <c:v>677.64536374242232</c:v>
                </c:pt>
                <c:pt idx="743">
                  <c:v>677.64536374242232</c:v>
                </c:pt>
                <c:pt idx="744">
                  <c:v>677.64536374242232</c:v>
                </c:pt>
                <c:pt idx="745">
                  <c:v>677.64536374242232</c:v>
                </c:pt>
                <c:pt idx="746">
                  <c:v>677.64536374242232</c:v>
                </c:pt>
                <c:pt idx="747">
                  <c:v>677.64536374242232</c:v>
                </c:pt>
                <c:pt idx="748">
                  <c:v>677.64536374242232</c:v>
                </c:pt>
                <c:pt idx="749">
                  <c:v>677.64536374242232</c:v>
                </c:pt>
                <c:pt idx="750">
                  <c:v>677.64536374242232</c:v>
                </c:pt>
                <c:pt idx="751">
                  <c:v>677.64536374242232</c:v>
                </c:pt>
                <c:pt idx="752">
                  <c:v>677.64536374242232</c:v>
                </c:pt>
                <c:pt idx="753">
                  <c:v>677.64536374242232</c:v>
                </c:pt>
                <c:pt idx="754">
                  <c:v>677.64536374242232</c:v>
                </c:pt>
                <c:pt idx="755">
                  <c:v>677.64536374242232</c:v>
                </c:pt>
                <c:pt idx="756">
                  <c:v>677.64536374242232</c:v>
                </c:pt>
                <c:pt idx="757">
                  <c:v>677.64536374242232</c:v>
                </c:pt>
                <c:pt idx="758">
                  <c:v>677.64536374242232</c:v>
                </c:pt>
                <c:pt idx="759">
                  <c:v>677.64536374242232</c:v>
                </c:pt>
                <c:pt idx="760">
                  <c:v>677.64536374242232</c:v>
                </c:pt>
                <c:pt idx="761">
                  <c:v>677.64536374242232</c:v>
                </c:pt>
                <c:pt idx="762">
                  <c:v>677.64536374242232</c:v>
                </c:pt>
                <c:pt idx="763">
                  <c:v>677.64536374242232</c:v>
                </c:pt>
                <c:pt idx="764">
                  <c:v>677.64536374242232</c:v>
                </c:pt>
                <c:pt idx="765">
                  <c:v>677.64536374242232</c:v>
                </c:pt>
                <c:pt idx="766">
                  <c:v>677.64536374242232</c:v>
                </c:pt>
                <c:pt idx="767">
                  <c:v>677.64536374242232</c:v>
                </c:pt>
                <c:pt idx="768">
                  <c:v>677.64536374242232</c:v>
                </c:pt>
                <c:pt idx="769">
                  <c:v>677.64536374242232</c:v>
                </c:pt>
                <c:pt idx="770">
                  <c:v>677.64536374242232</c:v>
                </c:pt>
                <c:pt idx="771">
                  <c:v>677.64536374242232</c:v>
                </c:pt>
                <c:pt idx="772">
                  <c:v>677.64536374242232</c:v>
                </c:pt>
                <c:pt idx="773">
                  <c:v>677.64536374242232</c:v>
                </c:pt>
                <c:pt idx="774">
                  <c:v>677.64536374242232</c:v>
                </c:pt>
                <c:pt idx="775">
                  <c:v>677.64536374242232</c:v>
                </c:pt>
                <c:pt idx="776">
                  <c:v>677.64536374242232</c:v>
                </c:pt>
                <c:pt idx="777">
                  <c:v>677.64536374242232</c:v>
                </c:pt>
                <c:pt idx="778">
                  <c:v>677.64536374242232</c:v>
                </c:pt>
                <c:pt idx="779">
                  <c:v>677.64536374242232</c:v>
                </c:pt>
                <c:pt idx="780">
                  <c:v>677.64536374242232</c:v>
                </c:pt>
                <c:pt idx="781">
                  <c:v>677.64536374242232</c:v>
                </c:pt>
                <c:pt idx="782">
                  <c:v>677.64536374242232</c:v>
                </c:pt>
                <c:pt idx="783">
                  <c:v>677.64536374242232</c:v>
                </c:pt>
                <c:pt idx="784">
                  <c:v>677.64536374242232</c:v>
                </c:pt>
                <c:pt idx="785">
                  <c:v>677.64536374242232</c:v>
                </c:pt>
                <c:pt idx="786">
                  <c:v>677.64536374242232</c:v>
                </c:pt>
                <c:pt idx="787">
                  <c:v>677.64536374242232</c:v>
                </c:pt>
                <c:pt idx="788">
                  <c:v>677.64536374242232</c:v>
                </c:pt>
                <c:pt idx="789">
                  <c:v>677.64536374242232</c:v>
                </c:pt>
                <c:pt idx="790">
                  <c:v>677.64536374242232</c:v>
                </c:pt>
                <c:pt idx="791">
                  <c:v>677.64536374242232</c:v>
                </c:pt>
                <c:pt idx="792">
                  <c:v>677.64536374242232</c:v>
                </c:pt>
                <c:pt idx="793">
                  <c:v>677.64536374242232</c:v>
                </c:pt>
                <c:pt idx="794">
                  <c:v>677.64536374242232</c:v>
                </c:pt>
                <c:pt idx="795">
                  <c:v>677.64536374242232</c:v>
                </c:pt>
                <c:pt idx="796">
                  <c:v>677.64536374242232</c:v>
                </c:pt>
                <c:pt idx="797">
                  <c:v>677.64536374242232</c:v>
                </c:pt>
                <c:pt idx="798">
                  <c:v>677.64536374242232</c:v>
                </c:pt>
                <c:pt idx="799">
                  <c:v>677.64536374242232</c:v>
                </c:pt>
                <c:pt idx="800">
                  <c:v>677.64536374242232</c:v>
                </c:pt>
                <c:pt idx="801">
                  <c:v>677.64536374242232</c:v>
                </c:pt>
                <c:pt idx="802">
                  <c:v>677.64536374242232</c:v>
                </c:pt>
                <c:pt idx="803">
                  <c:v>677.64536374242232</c:v>
                </c:pt>
                <c:pt idx="804">
                  <c:v>677.64536374242232</c:v>
                </c:pt>
                <c:pt idx="805">
                  <c:v>677.64536374242232</c:v>
                </c:pt>
                <c:pt idx="806">
                  <c:v>677.64536374242232</c:v>
                </c:pt>
                <c:pt idx="807">
                  <c:v>677.64536374242232</c:v>
                </c:pt>
                <c:pt idx="808">
                  <c:v>677.64536374242232</c:v>
                </c:pt>
                <c:pt idx="809">
                  <c:v>677.64536374242232</c:v>
                </c:pt>
                <c:pt idx="810">
                  <c:v>677.64536374242232</c:v>
                </c:pt>
                <c:pt idx="811">
                  <c:v>677.64536374242232</c:v>
                </c:pt>
                <c:pt idx="812">
                  <c:v>677.64536374242232</c:v>
                </c:pt>
                <c:pt idx="813">
                  <c:v>677.64536374242232</c:v>
                </c:pt>
                <c:pt idx="814">
                  <c:v>677.64536374242232</c:v>
                </c:pt>
                <c:pt idx="815">
                  <c:v>677.64536374242232</c:v>
                </c:pt>
                <c:pt idx="816">
                  <c:v>677.64536374242232</c:v>
                </c:pt>
                <c:pt idx="817">
                  <c:v>677.64536374242232</c:v>
                </c:pt>
                <c:pt idx="818">
                  <c:v>677.64536374242232</c:v>
                </c:pt>
                <c:pt idx="819">
                  <c:v>677.64536374242232</c:v>
                </c:pt>
                <c:pt idx="820">
                  <c:v>677.64536374242232</c:v>
                </c:pt>
                <c:pt idx="821">
                  <c:v>677.64536374242232</c:v>
                </c:pt>
                <c:pt idx="822">
                  <c:v>677.64536374242232</c:v>
                </c:pt>
                <c:pt idx="823">
                  <c:v>677.64536374242232</c:v>
                </c:pt>
                <c:pt idx="824">
                  <c:v>677.64536374242232</c:v>
                </c:pt>
                <c:pt idx="825">
                  <c:v>677.64536374242232</c:v>
                </c:pt>
                <c:pt idx="826">
                  <c:v>677.64536374242232</c:v>
                </c:pt>
                <c:pt idx="827">
                  <c:v>677.64536374242232</c:v>
                </c:pt>
                <c:pt idx="828">
                  <c:v>677.64536374242232</c:v>
                </c:pt>
                <c:pt idx="829">
                  <c:v>677.64536374242232</c:v>
                </c:pt>
                <c:pt idx="830">
                  <c:v>677.64536374242232</c:v>
                </c:pt>
                <c:pt idx="831">
                  <c:v>677.64536374242232</c:v>
                </c:pt>
                <c:pt idx="832">
                  <c:v>677.64536374242232</c:v>
                </c:pt>
                <c:pt idx="833">
                  <c:v>677.64536374242232</c:v>
                </c:pt>
                <c:pt idx="834">
                  <c:v>677.64536374242232</c:v>
                </c:pt>
                <c:pt idx="835">
                  <c:v>677.64536374242232</c:v>
                </c:pt>
                <c:pt idx="836">
                  <c:v>677.64536374242232</c:v>
                </c:pt>
                <c:pt idx="837">
                  <c:v>677.64536374242232</c:v>
                </c:pt>
                <c:pt idx="838">
                  <c:v>677.64536374242232</c:v>
                </c:pt>
                <c:pt idx="839">
                  <c:v>677.64536374242232</c:v>
                </c:pt>
                <c:pt idx="840">
                  <c:v>677.64536374242232</c:v>
                </c:pt>
                <c:pt idx="841">
                  <c:v>677.64536374242232</c:v>
                </c:pt>
                <c:pt idx="842">
                  <c:v>677.64536374242232</c:v>
                </c:pt>
                <c:pt idx="843">
                  <c:v>677.64536374242232</c:v>
                </c:pt>
                <c:pt idx="844">
                  <c:v>677.64536374242232</c:v>
                </c:pt>
                <c:pt idx="845">
                  <c:v>677.64536374242232</c:v>
                </c:pt>
                <c:pt idx="846">
                  <c:v>677.64536374242232</c:v>
                </c:pt>
                <c:pt idx="847">
                  <c:v>677.64536374242232</c:v>
                </c:pt>
                <c:pt idx="848">
                  <c:v>677.64536374242232</c:v>
                </c:pt>
                <c:pt idx="849">
                  <c:v>677.64536374242232</c:v>
                </c:pt>
                <c:pt idx="850">
                  <c:v>677.64536374242232</c:v>
                </c:pt>
                <c:pt idx="851">
                  <c:v>677.64536374242232</c:v>
                </c:pt>
                <c:pt idx="852">
                  <c:v>677.64536374242232</c:v>
                </c:pt>
                <c:pt idx="853">
                  <c:v>677.64536374242232</c:v>
                </c:pt>
                <c:pt idx="854">
                  <c:v>677.64536374242232</c:v>
                </c:pt>
                <c:pt idx="855">
                  <c:v>677.64536374242232</c:v>
                </c:pt>
                <c:pt idx="856">
                  <c:v>677.64536374242232</c:v>
                </c:pt>
                <c:pt idx="857">
                  <c:v>677.64536374242232</c:v>
                </c:pt>
                <c:pt idx="858">
                  <c:v>677.64536374242232</c:v>
                </c:pt>
                <c:pt idx="859">
                  <c:v>677.64536374242232</c:v>
                </c:pt>
                <c:pt idx="860">
                  <c:v>677.64536374242232</c:v>
                </c:pt>
                <c:pt idx="861">
                  <c:v>677.64536374242232</c:v>
                </c:pt>
                <c:pt idx="862">
                  <c:v>677.64536374242232</c:v>
                </c:pt>
                <c:pt idx="863">
                  <c:v>677.64536374242232</c:v>
                </c:pt>
                <c:pt idx="864">
                  <c:v>677.64536374242232</c:v>
                </c:pt>
                <c:pt idx="865">
                  <c:v>677.64536374242232</c:v>
                </c:pt>
                <c:pt idx="866">
                  <c:v>677.64536374242232</c:v>
                </c:pt>
                <c:pt idx="867">
                  <c:v>677.64536374242232</c:v>
                </c:pt>
                <c:pt idx="868">
                  <c:v>677.64536374242232</c:v>
                </c:pt>
                <c:pt idx="869">
                  <c:v>677.64536374242232</c:v>
                </c:pt>
                <c:pt idx="870">
                  <c:v>677.64536374242232</c:v>
                </c:pt>
                <c:pt idx="871">
                  <c:v>677.64536374242232</c:v>
                </c:pt>
                <c:pt idx="872">
                  <c:v>677.64536374242232</c:v>
                </c:pt>
                <c:pt idx="873">
                  <c:v>677.64536374242232</c:v>
                </c:pt>
                <c:pt idx="874">
                  <c:v>677.64536374242232</c:v>
                </c:pt>
                <c:pt idx="875">
                  <c:v>677.64536374242232</c:v>
                </c:pt>
                <c:pt idx="876">
                  <c:v>677.64536374242232</c:v>
                </c:pt>
                <c:pt idx="877">
                  <c:v>677.64536374242232</c:v>
                </c:pt>
                <c:pt idx="878">
                  <c:v>677.64536374242232</c:v>
                </c:pt>
                <c:pt idx="879">
                  <c:v>677.64536374242232</c:v>
                </c:pt>
                <c:pt idx="880">
                  <c:v>677.64536374242232</c:v>
                </c:pt>
                <c:pt idx="881">
                  <c:v>677.64536374242232</c:v>
                </c:pt>
                <c:pt idx="882">
                  <c:v>677.64536374242232</c:v>
                </c:pt>
                <c:pt idx="883">
                  <c:v>677.64536374242232</c:v>
                </c:pt>
                <c:pt idx="884">
                  <c:v>677.64536374242232</c:v>
                </c:pt>
                <c:pt idx="885">
                  <c:v>677.64536374242232</c:v>
                </c:pt>
                <c:pt idx="886">
                  <c:v>677.64536374242232</c:v>
                </c:pt>
                <c:pt idx="887">
                  <c:v>677.64536374242232</c:v>
                </c:pt>
                <c:pt idx="888">
                  <c:v>677.64536374242232</c:v>
                </c:pt>
                <c:pt idx="889">
                  <c:v>677.64536374242232</c:v>
                </c:pt>
                <c:pt idx="890">
                  <c:v>677.64536374242232</c:v>
                </c:pt>
                <c:pt idx="891">
                  <c:v>677.64536374242232</c:v>
                </c:pt>
                <c:pt idx="892">
                  <c:v>677.64536374242232</c:v>
                </c:pt>
                <c:pt idx="893">
                  <c:v>677.64536374242232</c:v>
                </c:pt>
                <c:pt idx="894">
                  <c:v>677.64536374242232</c:v>
                </c:pt>
                <c:pt idx="895">
                  <c:v>677.64536374242232</c:v>
                </c:pt>
                <c:pt idx="896">
                  <c:v>677.64536374242232</c:v>
                </c:pt>
                <c:pt idx="897">
                  <c:v>677.64536374242232</c:v>
                </c:pt>
                <c:pt idx="898">
                  <c:v>677.64536374242232</c:v>
                </c:pt>
                <c:pt idx="899">
                  <c:v>677.64536374242232</c:v>
                </c:pt>
                <c:pt idx="900">
                  <c:v>677.64536374242232</c:v>
                </c:pt>
                <c:pt idx="901">
                  <c:v>677.64536374242232</c:v>
                </c:pt>
                <c:pt idx="902">
                  <c:v>677.64536374242232</c:v>
                </c:pt>
                <c:pt idx="903">
                  <c:v>677.64536374242232</c:v>
                </c:pt>
                <c:pt idx="904">
                  <c:v>677.64536374242232</c:v>
                </c:pt>
                <c:pt idx="905">
                  <c:v>677.64536374242232</c:v>
                </c:pt>
                <c:pt idx="906">
                  <c:v>677.64536374242232</c:v>
                </c:pt>
                <c:pt idx="907">
                  <c:v>677.64536374242232</c:v>
                </c:pt>
                <c:pt idx="908">
                  <c:v>677.64536374242232</c:v>
                </c:pt>
                <c:pt idx="909">
                  <c:v>677.64536374242232</c:v>
                </c:pt>
                <c:pt idx="910">
                  <c:v>677.64536374242232</c:v>
                </c:pt>
                <c:pt idx="911">
                  <c:v>677.64536374242232</c:v>
                </c:pt>
                <c:pt idx="912">
                  <c:v>677.64536374242232</c:v>
                </c:pt>
                <c:pt idx="913">
                  <c:v>677.64536374242232</c:v>
                </c:pt>
                <c:pt idx="914">
                  <c:v>677.64536374242232</c:v>
                </c:pt>
                <c:pt idx="915">
                  <c:v>677.64536374242232</c:v>
                </c:pt>
                <c:pt idx="916">
                  <c:v>677.64536374242232</c:v>
                </c:pt>
                <c:pt idx="917">
                  <c:v>677.64536374242232</c:v>
                </c:pt>
                <c:pt idx="918">
                  <c:v>677.64536374242232</c:v>
                </c:pt>
                <c:pt idx="919">
                  <c:v>677.64536374242232</c:v>
                </c:pt>
                <c:pt idx="920">
                  <c:v>677.64536374242232</c:v>
                </c:pt>
                <c:pt idx="921">
                  <c:v>677.64536374242232</c:v>
                </c:pt>
                <c:pt idx="922">
                  <c:v>677.64536374242232</c:v>
                </c:pt>
                <c:pt idx="923">
                  <c:v>677.64536374242232</c:v>
                </c:pt>
                <c:pt idx="924">
                  <c:v>677.64536374242232</c:v>
                </c:pt>
                <c:pt idx="925">
                  <c:v>677.64536374242232</c:v>
                </c:pt>
                <c:pt idx="926">
                  <c:v>677.64536374242232</c:v>
                </c:pt>
                <c:pt idx="927">
                  <c:v>677.64536374242232</c:v>
                </c:pt>
                <c:pt idx="928">
                  <c:v>677.64536374242232</c:v>
                </c:pt>
                <c:pt idx="929">
                  <c:v>677.64536374242232</c:v>
                </c:pt>
                <c:pt idx="930">
                  <c:v>677.64536374242232</c:v>
                </c:pt>
                <c:pt idx="931">
                  <c:v>677.64536374242232</c:v>
                </c:pt>
                <c:pt idx="932">
                  <c:v>677.64536374242232</c:v>
                </c:pt>
                <c:pt idx="933">
                  <c:v>677.64536374242232</c:v>
                </c:pt>
                <c:pt idx="934">
                  <c:v>677.64536374242232</c:v>
                </c:pt>
                <c:pt idx="935">
                  <c:v>677.64536374242232</c:v>
                </c:pt>
                <c:pt idx="936">
                  <c:v>677.64536374242232</c:v>
                </c:pt>
                <c:pt idx="937">
                  <c:v>677.64536374242232</c:v>
                </c:pt>
                <c:pt idx="938">
                  <c:v>677.64536374242232</c:v>
                </c:pt>
                <c:pt idx="939">
                  <c:v>677.64536374242232</c:v>
                </c:pt>
                <c:pt idx="940">
                  <c:v>677.64536374242232</c:v>
                </c:pt>
                <c:pt idx="941">
                  <c:v>677.64536374242232</c:v>
                </c:pt>
                <c:pt idx="942">
                  <c:v>677.64536374242232</c:v>
                </c:pt>
                <c:pt idx="943">
                  <c:v>677.64536374242232</c:v>
                </c:pt>
                <c:pt idx="944">
                  <c:v>677.64536374242232</c:v>
                </c:pt>
                <c:pt idx="945">
                  <c:v>677.64536374242232</c:v>
                </c:pt>
                <c:pt idx="946">
                  <c:v>677.64536374242232</c:v>
                </c:pt>
                <c:pt idx="947">
                  <c:v>677.64536374242232</c:v>
                </c:pt>
                <c:pt idx="948">
                  <c:v>677.64536374242232</c:v>
                </c:pt>
                <c:pt idx="949">
                  <c:v>677.64536374242232</c:v>
                </c:pt>
                <c:pt idx="950">
                  <c:v>677.64536374242232</c:v>
                </c:pt>
                <c:pt idx="951">
                  <c:v>677.64536374242232</c:v>
                </c:pt>
                <c:pt idx="952">
                  <c:v>677.64536374242232</c:v>
                </c:pt>
                <c:pt idx="953">
                  <c:v>677.64536374242232</c:v>
                </c:pt>
                <c:pt idx="954">
                  <c:v>677.64536374242232</c:v>
                </c:pt>
                <c:pt idx="955">
                  <c:v>677.64536374242232</c:v>
                </c:pt>
                <c:pt idx="956">
                  <c:v>677.64536374242232</c:v>
                </c:pt>
                <c:pt idx="957">
                  <c:v>677.64536374242232</c:v>
                </c:pt>
                <c:pt idx="958">
                  <c:v>677.64536374242232</c:v>
                </c:pt>
                <c:pt idx="959">
                  <c:v>677.64536374242232</c:v>
                </c:pt>
                <c:pt idx="960">
                  <c:v>677.64536374242232</c:v>
                </c:pt>
                <c:pt idx="961">
                  <c:v>677.64536374242232</c:v>
                </c:pt>
                <c:pt idx="962">
                  <c:v>677.64536374242232</c:v>
                </c:pt>
                <c:pt idx="963">
                  <c:v>677.64536374242232</c:v>
                </c:pt>
                <c:pt idx="964">
                  <c:v>677.64536374242232</c:v>
                </c:pt>
                <c:pt idx="965">
                  <c:v>677.64536374242232</c:v>
                </c:pt>
                <c:pt idx="966">
                  <c:v>677.64536374242232</c:v>
                </c:pt>
                <c:pt idx="967">
                  <c:v>677.64536374242232</c:v>
                </c:pt>
                <c:pt idx="968">
                  <c:v>677.64536374242232</c:v>
                </c:pt>
                <c:pt idx="969">
                  <c:v>677.64536374242232</c:v>
                </c:pt>
                <c:pt idx="970">
                  <c:v>677.64536374242232</c:v>
                </c:pt>
                <c:pt idx="971">
                  <c:v>677.64536374242232</c:v>
                </c:pt>
                <c:pt idx="972">
                  <c:v>677.64536374242232</c:v>
                </c:pt>
                <c:pt idx="973">
                  <c:v>677.64536374242232</c:v>
                </c:pt>
                <c:pt idx="974">
                  <c:v>677.64536374242232</c:v>
                </c:pt>
                <c:pt idx="975">
                  <c:v>677.64536374242232</c:v>
                </c:pt>
                <c:pt idx="976">
                  <c:v>677.64536374242232</c:v>
                </c:pt>
                <c:pt idx="977">
                  <c:v>677.64536374242232</c:v>
                </c:pt>
                <c:pt idx="978">
                  <c:v>677.64536374242232</c:v>
                </c:pt>
                <c:pt idx="979">
                  <c:v>677.64536374242232</c:v>
                </c:pt>
                <c:pt idx="980">
                  <c:v>677.64536374242232</c:v>
                </c:pt>
                <c:pt idx="981">
                  <c:v>677.64536374242232</c:v>
                </c:pt>
                <c:pt idx="982">
                  <c:v>677.64536374242232</c:v>
                </c:pt>
                <c:pt idx="983">
                  <c:v>677.64536374242232</c:v>
                </c:pt>
                <c:pt idx="984">
                  <c:v>677.64536374242232</c:v>
                </c:pt>
                <c:pt idx="985">
                  <c:v>677.64536374242232</c:v>
                </c:pt>
                <c:pt idx="986">
                  <c:v>677.64536374242232</c:v>
                </c:pt>
                <c:pt idx="987">
                  <c:v>677.64536374242232</c:v>
                </c:pt>
                <c:pt idx="988">
                  <c:v>677.64536374242232</c:v>
                </c:pt>
                <c:pt idx="989">
                  <c:v>677.64536374242232</c:v>
                </c:pt>
                <c:pt idx="990">
                  <c:v>677.64536374242232</c:v>
                </c:pt>
                <c:pt idx="991">
                  <c:v>677.64536374242232</c:v>
                </c:pt>
                <c:pt idx="992">
                  <c:v>677.64536374242232</c:v>
                </c:pt>
                <c:pt idx="993">
                  <c:v>677.64536374242232</c:v>
                </c:pt>
                <c:pt idx="994">
                  <c:v>677.64536374242232</c:v>
                </c:pt>
                <c:pt idx="995">
                  <c:v>677.64536374242232</c:v>
                </c:pt>
                <c:pt idx="996">
                  <c:v>677.64536374242232</c:v>
                </c:pt>
                <c:pt idx="997">
                  <c:v>677.64536374242232</c:v>
                </c:pt>
                <c:pt idx="998">
                  <c:v>677.64536374242232</c:v>
                </c:pt>
                <c:pt idx="999">
                  <c:v>677.64536374242232</c:v>
                </c:pt>
                <c:pt idx="1000">
                  <c:v>677.64536374242232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0-41C6-97FC-918778B11BA0}"/>
            </c:ext>
          </c:extLst>
        </c:ser>
        <c:ser>
          <c:idx val="1"/>
          <c:order val="1"/>
          <c:tx>
            <c:strRef>
              <c:f>Courbes!$B$143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5.7</c:v>
                </c:pt>
                <c:pt idx="1">
                  <c:v>5.71</c:v>
                </c:pt>
                <c:pt idx="2">
                  <c:v>5.72</c:v>
                </c:pt>
                <c:pt idx="3">
                  <c:v>5.7299999999999995</c:v>
                </c:pt>
                <c:pt idx="4">
                  <c:v>5.7399999999999993</c:v>
                </c:pt>
                <c:pt idx="5">
                  <c:v>5.7499999999999991</c:v>
                </c:pt>
                <c:pt idx="6">
                  <c:v>5.7599999999999989</c:v>
                </c:pt>
                <c:pt idx="7">
                  <c:v>5.7699999999999987</c:v>
                </c:pt>
                <c:pt idx="8">
                  <c:v>5.7799999999999985</c:v>
                </c:pt>
                <c:pt idx="9">
                  <c:v>5.7899999999999983</c:v>
                </c:pt>
                <c:pt idx="10">
                  <c:v>5.799999999999998</c:v>
                </c:pt>
                <c:pt idx="11">
                  <c:v>5.8099999999999978</c:v>
                </c:pt>
                <c:pt idx="12">
                  <c:v>5.8199999999999976</c:v>
                </c:pt>
                <c:pt idx="13">
                  <c:v>5.8299999999999974</c:v>
                </c:pt>
                <c:pt idx="14">
                  <c:v>5.8399999999999972</c:v>
                </c:pt>
                <c:pt idx="15">
                  <c:v>5.849999999999997</c:v>
                </c:pt>
                <c:pt idx="16">
                  <c:v>5.8599999999999968</c:v>
                </c:pt>
                <c:pt idx="17">
                  <c:v>5.8699999999999966</c:v>
                </c:pt>
                <c:pt idx="18">
                  <c:v>5.8799999999999963</c:v>
                </c:pt>
                <c:pt idx="19">
                  <c:v>5.8899999999999961</c:v>
                </c:pt>
                <c:pt idx="20">
                  <c:v>5.8999999999999959</c:v>
                </c:pt>
                <c:pt idx="21">
                  <c:v>5.9099999999999957</c:v>
                </c:pt>
                <c:pt idx="22">
                  <c:v>5.9199999999999955</c:v>
                </c:pt>
                <c:pt idx="23">
                  <c:v>5.9299999999999953</c:v>
                </c:pt>
                <c:pt idx="24">
                  <c:v>5.9399999999999951</c:v>
                </c:pt>
                <c:pt idx="25">
                  <c:v>5.9499999999999948</c:v>
                </c:pt>
                <c:pt idx="26">
                  <c:v>5.9599999999999946</c:v>
                </c:pt>
                <c:pt idx="27">
                  <c:v>5.9699999999999944</c:v>
                </c:pt>
                <c:pt idx="28">
                  <c:v>5.9799999999999942</c:v>
                </c:pt>
                <c:pt idx="29">
                  <c:v>5.989999999999994</c:v>
                </c:pt>
                <c:pt idx="30">
                  <c:v>5.9999999999999938</c:v>
                </c:pt>
                <c:pt idx="31">
                  <c:v>6.0099999999999936</c:v>
                </c:pt>
                <c:pt idx="32">
                  <c:v>6.0199999999999934</c:v>
                </c:pt>
                <c:pt idx="33">
                  <c:v>6.0299999999999931</c:v>
                </c:pt>
                <c:pt idx="34">
                  <c:v>6.0399999999999929</c:v>
                </c:pt>
                <c:pt idx="35">
                  <c:v>6.0499999999999927</c:v>
                </c:pt>
                <c:pt idx="36">
                  <c:v>6.0599999999999925</c:v>
                </c:pt>
                <c:pt idx="37">
                  <c:v>6.0699999999999923</c:v>
                </c:pt>
                <c:pt idx="38">
                  <c:v>6.0799999999999921</c:v>
                </c:pt>
                <c:pt idx="39">
                  <c:v>6.0899999999999919</c:v>
                </c:pt>
                <c:pt idx="40">
                  <c:v>6.0999999999999917</c:v>
                </c:pt>
                <c:pt idx="41">
                  <c:v>6.1099999999999914</c:v>
                </c:pt>
                <c:pt idx="42">
                  <c:v>6.1199999999999912</c:v>
                </c:pt>
                <c:pt idx="43">
                  <c:v>6.129999999999991</c:v>
                </c:pt>
                <c:pt idx="44">
                  <c:v>6.1399999999999908</c:v>
                </c:pt>
                <c:pt idx="45">
                  <c:v>6.1499999999999906</c:v>
                </c:pt>
                <c:pt idx="46">
                  <c:v>6.1599999999999904</c:v>
                </c:pt>
                <c:pt idx="47">
                  <c:v>6.1699999999999902</c:v>
                </c:pt>
                <c:pt idx="48">
                  <c:v>6.1799999999999899</c:v>
                </c:pt>
                <c:pt idx="49">
                  <c:v>6.1899999999999897</c:v>
                </c:pt>
                <c:pt idx="50">
                  <c:v>6.1999999999999895</c:v>
                </c:pt>
                <c:pt idx="51">
                  <c:v>6.2099999999999893</c:v>
                </c:pt>
                <c:pt idx="52">
                  <c:v>6.2199999999999891</c:v>
                </c:pt>
                <c:pt idx="53">
                  <c:v>6.2299999999999889</c:v>
                </c:pt>
                <c:pt idx="54">
                  <c:v>6.2399999999999887</c:v>
                </c:pt>
                <c:pt idx="55">
                  <c:v>6.2499999999999885</c:v>
                </c:pt>
                <c:pt idx="56">
                  <c:v>6.2599999999999882</c:v>
                </c:pt>
                <c:pt idx="57">
                  <c:v>6.269999999999988</c:v>
                </c:pt>
                <c:pt idx="58">
                  <c:v>6.2799999999999878</c:v>
                </c:pt>
                <c:pt idx="59">
                  <c:v>6.2899999999999876</c:v>
                </c:pt>
                <c:pt idx="60">
                  <c:v>6.2999999999999874</c:v>
                </c:pt>
                <c:pt idx="61">
                  <c:v>6.3099999999999872</c:v>
                </c:pt>
                <c:pt idx="62">
                  <c:v>6.319999999999987</c:v>
                </c:pt>
                <c:pt idx="63">
                  <c:v>6.3299999999999867</c:v>
                </c:pt>
                <c:pt idx="64">
                  <c:v>6.3399999999999865</c:v>
                </c:pt>
                <c:pt idx="65">
                  <c:v>6.3499999999999863</c:v>
                </c:pt>
                <c:pt idx="66">
                  <c:v>6.3599999999999861</c:v>
                </c:pt>
                <c:pt idx="67">
                  <c:v>6.3699999999999859</c:v>
                </c:pt>
                <c:pt idx="68">
                  <c:v>6.3799999999999857</c:v>
                </c:pt>
                <c:pt idx="69">
                  <c:v>6.3899999999999855</c:v>
                </c:pt>
                <c:pt idx="70">
                  <c:v>6.3999999999999853</c:v>
                </c:pt>
                <c:pt idx="71">
                  <c:v>6.409999999999985</c:v>
                </c:pt>
                <c:pt idx="72">
                  <c:v>6.4199999999999848</c:v>
                </c:pt>
                <c:pt idx="73">
                  <c:v>6.4299999999999846</c:v>
                </c:pt>
                <c:pt idx="74">
                  <c:v>6.4399999999999844</c:v>
                </c:pt>
                <c:pt idx="75">
                  <c:v>6.4499999999999842</c:v>
                </c:pt>
                <c:pt idx="76">
                  <c:v>6.459999999999984</c:v>
                </c:pt>
                <c:pt idx="77">
                  <c:v>6.4699999999999838</c:v>
                </c:pt>
                <c:pt idx="78">
                  <c:v>6.4799999999999836</c:v>
                </c:pt>
                <c:pt idx="79">
                  <c:v>6.4899999999999833</c:v>
                </c:pt>
                <c:pt idx="80">
                  <c:v>6.4999999999999831</c:v>
                </c:pt>
                <c:pt idx="81">
                  <c:v>6.5099999999999829</c:v>
                </c:pt>
                <c:pt idx="82">
                  <c:v>6.5199999999999827</c:v>
                </c:pt>
                <c:pt idx="83">
                  <c:v>6.5299999999999825</c:v>
                </c:pt>
                <c:pt idx="84">
                  <c:v>6.5399999999999823</c:v>
                </c:pt>
                <c:pt idx="85">
                  <c:v>6.5499999999999821</c:v>
                </c:pt>
                <c:pt idx="86">
                  <c:v>6.5599999999999818</c:v>
                </c:pt>
                <c:pt idx="87">
                  <c:v>6.5699999999999816</c:v>
                </c:pt>
                <c:pt idx="88">
                  <c:v>6.5799999999999814</c:v>
                </c:pt>
                <c:pt idx="89">
                  <c:v>6.5899999999999812</c:v>
                </c:pt>
                <c:pt idx="90">
                  <c:v>6.599999999999981</c:v>
                </c:pt>
                <c:pt idx="91">
                  <c:v>6.6099999999999808</c:v>
                </c:pt>
                <c:pt idx="92">
                  <c:v>6.6199999999999806</c:v>
                </c:pt>
                <c:pt idx="93">
                  <c:v>6.6299999999999804</c:v>
                </c:pt>
                <c:pt idx="94">
                  <c:v>6.6399999999999801</c:v>
                </c:pt>
                <c:pt idx="95">
                  <c:v>6.6499999999999799</c:v>
                </c:pt>
                <c:pt idx="96">
                  <c:v>6.6599999999999797</c:v>
                </c:pt>
                <c:pt idx="97">
                  <c:v>6.6699999999999795</c:v>
                </c:pt>
                <c:pt idx="98">
                  <c:v>6.6799999999999793</c:v>
                </c:pt>
                <c:pt idx="99">
                  <c:v>6.6899999999999791</c:v>
                </c:pt>
                <c:pt idx="100">
                  <c:v>6.6999999999999789</c:v>
                </c:pt>
                <c:pt idx="101">
                  <c:v>6.7099999999999786</c:v>
                </c:pt>
                <c:pt idx="102">
                  <c:v>6.7199999999999784</c:v>
                </c:pt>
                <c:pt idx="103">
                  <c:v>6.7299999999999782</c:v>
                </c:pt>
                <c:pt idx="104">
                  <c:v>6.739999999999978</c:v>
                </c:pt>
                <c:pt idx="105">
                  <c:v>6.7499999999999778</c:v>
                </c:pt>
                <c:pt idx="106">
                  <c:v>6.7599999999999776</c:v>
                </c:pt>
                <c:pt idx="107">
                  <c:v>6.7699999999999774</c:v>
                </c:pt>
                <c:pt idx="108">
                  <c:v>6.7799999999999772</c:v>
                </c:pt>
                <c:pt idx="109">
                  <c:v>6.7899999999999769</c:v>
                </c:pt>
                <c:pt idx="110">
                  <c:v>6.7999999999999767</c:v>
                </c:pt>
                <c:pt idx="111">
                  <c:v>6.8099999999999765</c:v>
                </c:pt>
                <c:pt idx="112">
                  <c:v>6.8199999999999763</c:v>
                </c:pt>
                <c:pt idx="113">
                  <c:v>6.8299999999999761</c:v>
                </c:pt>
                <c:pt idx="114">
                  <c:v>6.8399999999999759</c:v>
                </c:pt>
                <c:pt idx="115">
                  <c:v>6.8499999999999757</c:v>
                </c:pt>
                <c:pt idx="116">
                  <c:v>6.8599999999999755</c:v>
                </c:pt>
                <c:pt idx="117">
                  <c:v>6.8699999999999752</c:v>
                </c:pt>
                <c:pt idx="118">
                  <c:v>6.879999999999975</c:v>
                </c:pt>
                <c:pt idx="119">
                  <c:v>6.8899999999999748</c:v>
                </c:pt>
                <c:pt idx="120">
                  <c:v>6.8999999999999746</c:v>
                </c:pt>
                <c:pt idx="121">
                  <c:v>6.9099999999999744</c:v>
                </c:pt>
                <c:pt idx="122">
                  <c:v>6.9199999999999742</c:v>
                </c:pt>
                <c:pt idx="123">
                  <c:v>6.929999999999974</c:v>
                </c:pt>
                <c:pt idx="124">
                  <c:v>6.9399999999999737</c:v>
                </c:pt>
                <c:pt idx="125">
                  <c:v>6.9499999999999735</c:v>
                </c:pt>
                <c:pt idx="126">
                  <c:v>6.9599999999999733</c:v>
                </c:pt>
                <c:pt idx="127">
                  <c:v>6.9699999999999731</c:v>
                </c:pt>
                <c:pt idx="128">
                  <c:v>6.9799999999999729</c:v>
                </c:pt>
                <c:pt idx="129">
                  <c:v>6.9899999999999727</c:v>
                </c:pt>
                <c:pt idx="130">
                  <c:v>6.9999999999999725</c:v>
                </c:pt>
                <c:pt idx="131">
                  <c:v>7.0099999999999723</c:v>
                </c:pt>
                <c:pt idx="132">
                  <c:v>7.019999999999972</c:v>
                </c:pt>
                <c:pt idx="133">
                  <c:v>7.0299999999999718</c:v>
                </c:pt>
                <c:pt idx="134">
                  <c:v>7.0399999999999716</c:v>
                </c:pt>
                <c:pt idx="135">
                  <c:v>7.0499999999999714</c:v>
                </c:pt>
                <c:pt idx="136">
                  <c:v>7.0599999999999712</c:v>
                </c:pt>
                <c:pt idx="137">
                  <c:v>7.069999999999971</c:v>
                </c:pt>
                <c:pt idx="138">
                  <c:v>7.0799999999999708</c:v>
                </c:pt>
                <c:pt idx="139">
                  <c:v>7.0899999999999705</c:v>
                </c:pt>
                <c:pt idx="140">
                  <c:v>7.0999999999999703</c:v>
                </c:pt>
                <c:pt idx="141">
                  <c:v>7.1099999999999701</c:v>
                </c:pt>
                <c:pt idx="142">
                  <c:v>7.1199999999999699</c:v>
                </c:pt>
                <c:pt idx="143">
                  <c:v>7.1299999999999697</c:v>
                </c:pt>
                <c:pt idx="144">
                  <c:v>7.1399999999999695</c:v>
                </c:pt>
                <c:pt idx="145">
                  <c:v>7.1499999999999693</c:v>
                </c:pt>
                <c:pt idx="146">
                  <c:v>7.1599999999999691</c:v>
                </c:pt>
                <c:pt idx="147">
                  <c:v>7.1699999999999688</c:v>
                </c:pt>
                <c:pt idx="148">
                  <c:v>7.1799999999999686</c:v>
                </c:pt>
                <c:pt idx="149">
                  <c:v>7.1899999999999684</c:v>
                </c:pt>
                <c:pt idx="150">
                  <c:v>7.1999999999999682</c:v>
                </c:pt>
                <c:pt idx="151">
                  <c:v>7.209999999999968</c:v>
                </c:pt>
                <c:pt idx="152">
                  <c:v>7.2199999999999678</c:v>
                </c:pt>
                <c:pt idx="153">
                  <c:v>7.2299999999999676</c:v>
                </c:pt>
                <c:pt idx="154">
                  <c:v>7.2399999999999674</c:v>
                </c:pt>
                <c:pt idx="155">
                  <c:v>7.2499999999999671</c:v>
                </c:pt>
                <c:pt idx="156">
                  <c:v>7.2599999999999669</c:v>
                </c:pt>
                <c:pt idx="157">
                  <c:v>7.2699999999999667</c:v>
                </c:pt>
                <c:pt idx="158">
                  <c:v>7.2799999999999665</c:v>
                </c:pt>
                <c:pt idx="159">
                  <c:v>7.2899999999999663</c:v>
                </c:pt>
                <c:pt idx="160">
                  <c:v>7.2999999999999661</c:v>
                </c:pt>
                <c:pt idx="161">
                  <c:v>7.3099999999999659</c:v>
                </c:pt>
                <c:pt idx="162">
                  <c:v>7.3199999999999656</c:v>
                </c:pt>
                <c:pt idx="163">
                  <c:v>7.3299999999999654</c:v>
                </c:pt>
                <c:pt idx="164">
                  <c:v>7.3399999999999652</c:v>
                </c:pt>
                <c:pt idx="165">
                  <c:v>7.349999999999965</c:v>
                </c:pt>
                <c:pt idx="166">
                  <c:v>7.3599999999999648</c:v>
                </c:pt>
                <c:pt idx="167">
                  <c:v>7.3699999999999646</c:v>
                </c:pt>
                <c:pt idx="168">
                  <c:v>7.3799999999999644</c:v>
                </c:pt>
                <c:pt idx="169">
                  <c:v>7.3899999999999642</c:v>
                </c:pt>
                <c:pt idx="170">
                  <c:v>7.3999999999999639</c:v>
                </c:pt>
                <c:pt idx="171">
                  <c:v>7.4099999999999637</c:v>
                </c:pt>
                <c:pt idx="172">
                  <c:v>7.4199999999999635</c:v>
                </c:pt>
                <c:pt idx="173">
                  <c:v>7.4299999999999633</c:v>
                </c:pt>
                <c:pt idx="174">
                  <c:v>7.4399999999999631</c:v>
                </c:pt>
                <c:pt idx="175">
                  <c:v>7.4499999999999629</c:v>
                </c:pt>
                <c:pt idx="176">
                  <c:v>7.4599999999999627</c:v>
                </c:pt>
                <c:pt idx="177">
                  <c:v>7.4699999999999624</c:v>
                </c:pt>
                <c:pt idx="178">
                  <c:v>7.4799999999999622</c:v>
                </c:pt>
                <c:pt idx="179">
                  <c:v>7.489999999999962</c:v>
                </c:pt>
                <c:pt idx="180">
                  <c:v>7.4999999999999618</c:v>
                </c:pt>
                <c:pt idx="181">
                  <c:v>7.5099999999999616</c:v>
                </c:pt>
                <c:pt idx="182">
                  <c:v>7.5199999999999614</c:v>
                </c:pt>
                <c:pt idx="183">
                  <c:v>7.5299999999999612</c:v>
                </c:pt>
                <c:pt idx="184">
                  <c:v>7.539999999999961</c:v>
                </c:pt>
                <c:pt idx="185">
                  <c:v>7.5499999999999607</c:v>
                </c:pt>
                <c:pt idx="186">
                  <c:v>7.5599999999999605</c:v>
                </c:pt>
                <c:pt idx="187">
                  <c:v>7.5699999999999603</c:v>
                </c:pt>
                <c:pt idx="188">
                  <c:v>7.5799999999999601</c:v>
                </c:pt>
                <c:pt idx="189">
                  <c:v>7.5899999999999599</c:v>
                </c:pt>
                <c:pt idx="190">
                  <c:v>7.5999999999999597</c:v>
                </c:pt>
                <c:pt idx="191">
                  <c:v>7.6099999999999595</c:v>
                </c:pt>
                <c:pt idx="192">
                  <c:v>7.6199999999999593</c:v>
                </c:pt>
                <c:pt idx="193">
                  <c:v>7.629999999999959</c:v>
                </c:pt>
                <c:pt idx="194">
                  <c:v>7.6399999999999588</c:v>
                </c:pt>
                <c:pt idx="195">
                  <c:v>7.6499999999999586</c:v>
                </c:pt>
                <c:pt idx="196">
                  <c:v>7.6599999999999584</c:v>
                </c:pt>
                <c:pt idx="197">
                  <c:v>7.6699999999999582</c:v>
                </c:pt>
                <c:pt idx="198">
                  <c:v>7.679999999999958</c:v>
                </c:pt>
                <c:pt idx="199">
                  <c:v>7.6899999999999578</c:v>
                </c:pt>
                <c:pt idx="200">
                  <c:v>7.6999999999999575</c:v>
                </c:pt>
                <c:pt idx="201">
                  <c:v>7.7999999999999572</c:v>
                </c:pt>
                <c:pt idx="202">
                  <c:v>7.8999999999999568</c:v>
                </c:pt>
                <c:pt idx="203">
                  <c:v>7.9999999999999565</c:v>
                </c:pt>
                <c:pt idx="204">
                  <c:v>8.099999999999957</c:v>
                </c:pt>
                <c:pt idx="205">
                  <c:v>8.1999999999999567</c:v>
                </c:pt>
                <c:pt idx="206">
                  <c:v>8.2999999999999563</c:v>
                </c:pt>
                <c:pt idx="207">
                  <c:v>8.3999999999999559</c:v>
                </c:pt>
                <c:pt idx="208">
                  <c:v>8.4999999999999556</c:v>
                </c:pt>
                <c:pt idx="209">
                  <c:v>8.5999999999999552</c:v>
                </c:pt>
                <c:pt idx="210">
                  <c:v>8.6999999999999549</c:v>
                </c:pt>
                <c:pt idx="211">
                  <c:v>8.7999999999999545</c:v>
                </c:pt>
                <c:pt idx="212">
                  <c:v>8.8999999999999542</c:v>
                </c:pt>
                <c:pt idx="213">
                  <c:v>8.9999999999999538</c:v>
                </c:pt>
                <c:pt idx="214">
                  <c:v>9.0999999999999535</c:v>
                </c:pt>
                <c:pt idx="215">
                  <c:v>9.1999999999999531</c:v>
                </c:pt>
                <c:pt idx="216">
                  <c:v>9.2999999999999527</c:v>
                </c:pt>
                <c:pt idx="217">
                  <c:v>9.3999999999999524</c:v>
                </c:pt>
                <c:pt idx="218">
                  <c:v>9.499999999999952</c:v>
                </c:pt>
                <c:pt idx="219">
                  <c:v>9.5999999999999517</c:v>
                </c:pt>
                <c:pt idx="220">
                  <c:v>9.6999999999999513</c:v>
                </c:pt>
                <c:pt idx="221">
                  <c:v>9.799999999999951</c:v>
                </c:pt>
                <c:pt idx="222">
                  <c:v>9.8999999999999506</c:v>
                </c:pt>
                <c:pt idx="223">
                  <c:v>9.9999999999999503</c:v>
                </c:pt>
                <c:pt idx="224">
                  <c:v>10.09999999999995</c:v>
                </c:pt>
                <c:pt idx="225">
                  <c:v>10.19999999999995</c:v>
                </c:pt>
                <c:pt idx="226">
                  <c:v>10.299999999999949</c:v>
                </c:pt>
                <c:pt idx="227">
                  <c:v>10.399999999999949</c:v>
                </c:pt>
                <c:pt idx="228">
                  <c:v>10.499999999999948</c:v>
                </c:pt>
                <c:pt idx="229">
                  <c:v>10.599999999999948</c:v>
                </c:pt>
                <c:pt idx="230">
                  <c:v>10.699999999999948</c:v>
                </c:pt>
                <c:pt idx="231">
                  <c:v>10.799999999999947</c:v>
                </c:pt>
                <c:pt idx="232">
                  <c:v>10.899999999999947</c:v>
                </c:pt>
                <c:pt idx="233">
                  <c:v>10.999999999999947</c:v>
                </c:pt>
                <c:pt idx="234">
                  <c:v>11.099999999999946</c:v>
                </c:pt>
                <c:pt idx="235">
                  <c:v>11.199999999999946</c:v>
                </c:pt>
                <c:pt idx="236">
                  <c:v>11.299999999999946</c:v>
                </c:pt>
                <c:pt idx="237">
                  <c:v>11.399999999999945</c:v>
                </c:pt>
                <c:pt idx="238">
                  <c:v>11.499999999999945</c:v>
                </c:pt>
                <c:pt idx="239">
                  <c:v>11.599999999999945</c:v>
                </c:pt>
                <c:pt idx="240">
                  <c:v>11.699999999999944</c:v>
                </c:pt>
                <c:pt idx="241">
                  <c:v>11.799999999999944</c:v>
                </c:pt>
                <c:pt idx="242">
                  <c:v>11.899999999999944</c:v>
                </c:pt>
                <c:pt idx="243">
                  <c:v>11.999999999999943</c:v>
                </c:pt>
                <c:pt idx="244">
                  <c:v>12.099999999999943</c:v>
                </c:pt>
                <c:pt idx="245">
                  <c:v>12.199999999999942</c:v>
                </c:pt>
                <c:pt idx="246">
                  <c:v>12.299999999999942</c:v>
                </c:pt>
                <c:pt idx="247">
                  <c:v>12.399999999999942</c:v>
                </c:pt>
                <c:pt idx="248">
                  <c:v>12.499999999999941</c:v>
                </c:pt>
                <c:pt idx="249">
                  <c:v>12.599999999999941</c:v>
                </c:pt>
                <c:pt idx="250">
                  <c:v>12.699999999999941</c:v>
                </c:pt>
                <c:pt idx="251">
                  <c:v>12.79999999999994</c:v>
                </c:pt>
                <c:pt idx="252">
                  <c:v>12.89999999999994</c:v>
                </c:pt>
                <c:pt idx="253">
                  <c:v>12.99999999999994</c:v>
                </c:pt>
                <c:pt idx="254">
                  <c:v>13.099999999999939</c:v>
                </c:pt>
                <c:pt idx="255">
                  <c:v>13.199999999999939</c:v>
                </c:pt>
                <c:pt idx="256">
                  <c:v>13.299999999999939</c:v>
                </c:pt>
                <c:pt idx="257">
                  <c:v>13.399999999999938</c:v>
                </c:pt>
                <c:pt idx="258">
                  <c:v>13.499999999999938</c:v>
                </c:pt>
                <c:pt idx="259">
                  <c:v>13.599999999999937</c:v>
                </c:pt>
                <c:pt idx="260">
                  <c:v>13.699999999999937</c:v>
                </c:pt>
                <c:pt idx="261">
                  <c:v>13.799999999999937</c:v>
                </c:pt>
                <c:pt idx="262">
                  <c:v>13.899999999999936</c:v>
                </c:pt>
                <c:pt idx="263">
                  <c:v>13.999999999999936</c:v>
                </c:pt>
                <c:pt idx="264">
                  <c:v>14.099999999999936</c:v>
                </c:pt>
                <c:pt idx="265">
                  <c:v>14.199999999999935</c:v>
                </c:pt>
                <c:pt idx="266">
                  <c:v>14.299999999999935</c:v>
                </c:pt>
                <c:pt idx="267">
                  <c:v>14.399999999999935</c:v>
                </c:pt>
                <c:pt idx="268">
                  <c:v>14.499999999999934</c:v>
                </c:pt>
                <c:pt idx="269">
                  <c:v>14.599999999999934</c:v>
                </c:pt>
                <c:pt idx="270">
                  <c:v>14.699999999999934</c:v>
                </c:pt>
                <c:pt idx="271">
                  <c:v>14.799999999999933</c:v>
                </c:pt>
                <c:pt idx="272">
                  <c:v>14.899999999999933</c:v>
                </c:pt>
                <c:pt idx="273">
                  <c:v>14.999999999999932</c:v>
                </c:pt>
                <c:pt idx="274">
                  <c:v>15.099999999999932</c:v>
                </c:pt>
                <c:pt idx="275">
                  <c:v>15.199999999999932</c:v>
                </c:pt>
                <c:pt idx="276">
                  <c:v>15.299999999999931</c:v>
                </c:pt>
                <c:pt idx="277">
                  <c:v>15.399999999999931</c:v>
                </c:pt>
                <c:pt idx="278">
                  <c:v>15.499999999999931</c:v>
                </c:pt>
                <c:pt idx="279">
                  <c:v>15.59999999999993</c:v>
                </c:pt>
                <c:pt idx="280">
                  <c:v>15.69999999999993</c:v>
                </c:pt>
                <c:pt idx="281">
                  <c:v>15.79999999999993</c:v>
                </c:pt>
                <c:pt idx="282">
                  <c:v>15.899999999999929</c:v>
                </c:pt>
                <c:pt idx="283">
                  <c:v>15.999999999999929</c:v>
                </c:pt>
                <c:pt idx="284">
                  <c:v>16.09999999999993</c:v>
                </c:pt>
                <c:pt idx="285">
                  <c:v>16.199999999999932</c:v>
                </c:pt>
                <c:pt idx="286">
                  <c:v>16.299999999999933</c:v>
                </c:pt>
                <c:pt idx="287">
                  <c:v>16.399999999999935</c:v>
                </c:pt>
                <c:pt idx="288">
                  <c:v>16.499999999999936</c:v>
                </c:pt>
                <c:pt idx="289">
                  <c:v>16.599999999999937</c:v>
                </c:pt>
                <c:pt idx="290">
                  <c:v>16.699999999999939</c:v>
                </c:pt>
                <c:pt idx="291">
                  <c:v>16.79999999999994</c:v>
                </c:pt>
                <c:pt idx="292">
                  <c:v>16.899999999999942</c:v>
                </c:pt>
                <c:pt idx="293">
                  <c:v>16.999999999999943</c:v>
                </c:pt>
                <c:pt idx="294">
                  <c:v>17.099999999999945</c:v>
                </c:pt>
                <c:pt idx="295">
                  <c:v>17.199999999999946</c:v>
                </c:pt>
                <c:pt idx="296">
                  <c:v>17.299999999999947</c:v>
                </c:pt>
                <c:pt idx="297">
                  <c:v>17.399999999999949</c:v>
                </c:pt>
                <c:pt idx="298">
                  <c:v>17.49999999999995</c:v>
                </c:pt>
                <c:pt idx="299">
                  <c:v>17.599999999999952</c:v>
                </c:pt>
                <c:pt idx="300">
                  <c:v>17.699999999999953</c:v>
                </c:pt>
                <c:pt idx="301">
                  <c:v>17.799999999999955</c:v>
                </c:pt>
                <c:pt idx="302">
                  <c:v>17.899999999999956</c:v>
                </c:pt>
                <c:pt idx="303">
                  <c:v>17.999999999999957</c:v>
                </c:pt>
                <c:pt idx="304">
                  <c:v>18.099999999999959</c:v>
                </c:pt>
                <c:pt idx="305">
                  <c:v>18.19999999999996</c:v>
                </c:pt>
                <c:pt idx="306">
                  <c:v>18.299999999999962</c:v>
                </c:pt>
                <c:pt idx="307">
                  <c:v>18.399999999999963</c:v>
                </c:pt>
                <c:pt idx="308">
                  <c:v>18.499999999999964</c:v>
                </c:pt>
                <c:pt idx="309">
                  <c:v>18.599999999999966</c:v>
                </c:pt>
                <c:pt idx="310">
                  <c:v>18.699999999999967</c:v>
                </c:pt>
                <c:pt idx="311">
                  <c:v>18.799999999999969</c:v>
                </c:pt>
                <c:pt idx="312">
                  <c:v>18.89999999999997</c:v>
                </c:pt>
                <c:pt idx="313">
                  <c:v>18.999999999999972</c:v>
                </c:pt>
                <c:pt idx="314">
                  <c:v>19.099999999999973</c:v>
                </c:pt>
                <c:pt idx="315">
                  <c:v>19.199999999999974</c:v>
                </c:pt>
                <c:pt idx="316">
                  <c:v>19.299999999999976</c:v>
                </c:pt>
                <c:pt idx="317">
                  <c:v>19.399999999999977</c:v>
                </c:pt>
                <c:pt idx="318">
                  <c:v>19.499999999999979</c:v>
                </c:pt>
                <c:pt idx="319">
                  <c:v>19.59999999999998</c:v>
                </c:pt>
                <c:pt idx="320">
                  <c:v>19.699999999999982</c:v>
                </c:pt>
                <c:pt idx="321">
                  <c:v>19.799999999999983</c:v>
                </c:pt>
                <c:pt idx="322">
                  <c:v>19.899999999999984</c:v>
                </c:pt>
                <c:pt idx="323">
                  <c:v>19.999999999999986</c:v>
                </c:pt>
                <c:pt idx="324">
                  <c:v>20.099999999999987</c:v>
                </c:pt>
                <c:pt idx="325">
                  <c:v>20.199999999999989</c:v>
                </c:pt>
                <c:pt idx="326">
                  <c:v>20.29999999999999</c:v>
                </c:pt>
                <c:pt idx="327">
                  <c:v>20.399999999999991</c:v>
                </c:pt>
                <c:pt idx="328">
                  <c:v>20.499999999999993</c:v>
                </c:pt>
                <c:pt idx="329">
                  <c:v>20.599999999999994</c:v>
                </c:pt>
                <c:pt idx="330">
                  <c:v>20.699999999999996</c:v>
                </c:pt>
                <c:pt idx="331">
                  <c:v>20.799999999999997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21.200000000000003</c:v>
                </c:pt>
                <c:pt idx="336">
                  <c:v>21.300000000000004</c:v>
                </c:pt>
                <c:pt idx="337">
                  <c:v>21.400000000000006</c:v>
                </c:pt>
                <c:pt idx="338">
                  <c:v>21.500000000000007</c:v>
                </c:pt>
                <c:pt idx="339">
                  <c:v>21.600000000000009</c:v>
                </c:pt>
                <c:pt idx="340">
                  <c:v>21.70000000000001</c:v>
                </c:pt>
                <c:pt idx="341">
                  <c:v>21.800000000000011</c:v>
                </c:pt>
                <c:pt idx="342">
                  <c:v>21.900000000000013</c:v>
                </c:pt>
                <c:pt idx="343">
                  <c:v>22.000000000000014</c:v>
                </c:pt>
                <c:pt idx="344">
                  <c:v>22.100000000000016</c:v>
                </c:pt>
                <c:pt idx="345">
                  <c:v>22.200000000000017</c:v>
                </c:pt>
                <c:pt idx="346">
                  <c:v>22.300000000000018</c:v>
                </c:pt>
                <c:pt idx="347">
                  <c:v>22.40000000000002</c:v>
                </c:pt>
                <c:pt idx="348">
                  <c:v>22.500000000000021</c:v>
                </c:pt>
                <c:pt idx="349">
                  <c:v>22.600000000000023</c:v>
                </c:pt>
                <c:pt idx="350">
                  <c:v>22.700000000000024</c:v>
                </c:pt>
                <c:pt idx="351">
                  <c:v>22.800000000000026</c:v>
                </c:pt>
                <c:pt idx="352">
                  <c:v>22.900000000000027</c:v>
                </c:pt>
                <c:pt idx="353">
                  <c:v>23.000000000000028</c:v>
                </c:pt>
                <c:pt idx="354">
                  <c:v>23.10000000000003</c:v>
                </c:pt>
                <c:pt idx="355">
                  <c:v>23.200000000000031</c:v>
                </c:pt>
                <c:pt idx="356">
                  <c:v>23.300000000000033</c:v>
                </c:pt>
                <c:pt idx="357">
                  <c:v>23.400000000000034</c:v>
                </c:pt>
                <c:pt idx="358">
                  <c:v>23.500000000000036</c:v>
                </c:pt>
                <c:pt idx="359">
                  <c:v>23.600000000000037</c:v>
                </c:pt>
                <c:pt idx="360">
                  <c:v>23.700000000000038</c:v>
                </c:pt>
                <c:pt idx="361">
                  <c:v>23.80000000000004</c:v>
                </c:pt>
                <c:pt idx="362">
                  <c:v>23.900000000000041</c:v>
                </c:pt>
                <c:pt idx="363">
                  <c:v>24.000000000000043</c:v>
                </c:pt>
                <c:pt idx="364">
                  <c:v>24.100000000000044</c:v>
                </c:pt>
                <c:pt idx="365">
                  <c:v>24.200000000000045</c:v>
                </c:pt>
                <c:pt idx="366">
                  <c:v>24.300000000000047</c:v>
                </c:pt>
                <c:pt idx="367">
                  <c:v>24.400000000000048</c:v>
                </c:pt>
                <c:pt idx="368">
                  <c:v>24.50000000000005</c:v>
                </c:pt>
                <c:pt idx="369">
                  <c:v>24.600000000000051</c:v>
                </c:pt>
                <c:pt idx="370">
                  <c:v>24.700000000000053</c:v>
                </c:pt>
                <c:pt idx="371">
                  <c:v>24.800000000000054</c:v>
                </c:pt>
                <c:pt idx="372">
                  <c:v>24.900000000000055</c:v>
                </c:pt>
                <c:pt idx="373">
                  <c:v>25.000000000000057</c:v>
                </c:pt>
                <c:pt idx="374">
                  <c:v>25.100000000000058</c:v>
                </c:pt>
                <c:pt idx="375">
                  <c:v>25.20000000000006</c:v>
                </c:pt>
                <c:pt idx="376">
                  <c:v>25.300000000000061</c:v>
                </c:pt>
                <c:pt idx="377">
                  <c:v>25.400000000000063</c:v>
                </c:pt>
                <c:pt idx="378">
                  <c:v>25.500000000000064</c:v>
                </c:pt>
                <c:pt idx="379">
                  <c:v>25.600000000000065</c:v>
                </c:pt>
                <c:pt idx="380">
                  <c:v>25.700000000000067</c:v>
                </c:pt>
                <c:pt idx="381">
                  <c:v>25.800000000000068</c:v>
                </c:pt>
                <c:pt idx="382">
                  <c:v>25.90000000000007</c:v>
                </c:pt>
                <c:pt idx="383">
                  <c:v>26.000000000000071</c:v>
                </c:pt>
                <c:pt idx="384">
                  <c:v>26.100000000000072</c:v>
                </c:pt>
                <c:pt idx="385">
                  <c:v>26.200000000000074</c:v>
                </c:pt>
                <c:pt idx="386">
                  <c:v>26.300000000000075</c:v>
                </c:pt>
                <c:pt idx="387">
                  <c:v>26.400000000000077</c:v>
                </c:pt>
                <c:pt idx="388">
                  <c:v>26.500000000000078</c:v>
                </c:pt>
                <c:pt idx="389">
                  <c:v>26.60000000000008</c:v>
                </c:pt>
                <c:pt idx="390">
                  <c:v>26.700000000000081</c:v>
                </c:pt>
                <c:pt idx="391">
                  <c:v>26.800000000000082</c:v>
                </c:pt>
                <c:pt idx="392">
                  <c:v>26.900000000000084</c:v>
                </c:pt>
                <c:pt idx="393">
                  <c:v>27.000000000000085</c:v>
                </c:pt>
                <c:pt idx="394">
                  <c:v>27.100000000000087</c:v>
                </c:pt>
                <c:pt idx="395">
                  <c:v>27.200000000000088</c:v>
                </c:pt>
                <c:pt idx="396">
                  <c:v>27.30000000000009</c:v>
                </c:pt>
                <c:pt idx="397">
                  <c:v>27.400000000000091</c:v>
                </c:pt>
                <c:pt idx="398">
                  <c:v>27.500000000000092</c:v>
                </c:pt>
                <c:pt idx="399">
                  <c:v>27.600000000000094</c:v>
                </c:pt>
                <c:pt idx="400">
                  <c:v>27.700000000000095</c:v>
                </c:pt>
                <c:pt idx="401">
                  <c:v>27.800000000000097</c:v>
                </c:pt>
                <c:pt idx="402">
                  <c:v>27.900000000000098</c:v>
                </c:pt>
                <c:pt idx="403">
                  <c:v>28.000000000000099</c:v>
                </c:pt>
                <c:pt idx="404">
                  <c:v>28.100000000000101</c:v>
                </c:pt>
                <c:pt idx="405">
                  <c:v>28.200000000000102</c:v>
                </c:pt>
                <c:pt idx="406">
                  <c:v>28.300000000000104</c:v>
                </c:pt>
                <c:pt idx="407">
                  <c:v>28.400000000000105</c:v>
                </c:pt>
                <c:pt idx="408">
                  <c:v>28.500000000000107</c:v>
                </c:pt>
                <c:pt idx="409">
                  <c:v>28.600000000000108</c:v>
                </c:pt>
                <c:pt idx="410">
                  <c:v>28.700000000000109</c:v>
                </c:pt>
                <c:pt idx="411">
                  <c:v>28.800000000000111</c:v>
                </c:pt>
                <c:pt idx="412">
                  <c:v>28.900000000000112</c:v>
                </c:pt>
                <c:pt idx="413">
                  <c:v>29.000000000000114</c:v>
                </c:pt>
                <c:pt idx="414">
                  <c:v>29.100000000000115</c:v>
                </c:pt>
                <c:pt idx="415">
                  <c:v>29.200000000000117</c:v>
                </c:pt>
                <c:pt idx="416">
                  <c:v>29.300000000000118</c:v>
                </c:pt>
                <c:pt idx="417">
                  <c:v>29.400000000000119</c:v>
                </c:pt>
                <c:pt idx="418">
                  <c:v>29.500000000000121</c:v>
                </c:pt>
                <c:pt idx="419">
                  <c:v>29.600000000000122</c:v>
                </c:pt>
                <c:pt idx="420">
                  <c:v>29.700000000000124</c:v>
                </c:pt>
                <c:pt idx="421">
                  <c:v>29.800000000000125</c:v>
                </c:pt>
                <c:pt idx="422">
                  <c:v>29.900000000000126</c:v>
                </c:pt>
                <c:pt idx="423">
                  <c:v>30.000000000000128</c:v>
                </c:pt>
                <c:pt idx="424">
                  <c:v>30.100000000000129</c:v>
                </c:pt>
                <c:pt idx="425">
                  <c:v>30.200000000000131</c:v>
                </c:pt>
                <c:pt idx="426">
                  <c:v>30.300000000000132</c:v>
                </c:pt>
                <c:pt idx="427">
                  <c:v>30.400000000000134</c:v>
                </c:pt>
                <c:pt idx="428">
                  <c:v>30.500000000000135</c:v>
                </c:pt>
                <c:pt idx="429">
                  <c:v>30.600000000000136</c:v>
                </c:pt>
                <c:pt idx="430">
                  <c:v>30.700000000000138</c:v>
                </c:pt>
                <c:pt idx="431">
                  <c:v>30.800000000000139</c:v>
                </c:pt>
                <c:pt idx="432">
                  <c:v>30.900000000000141</c:v>
                </c:pt>
                <c:pt idx="433">
                  <c:v>31.000000000000142</c:v>
                </c:pt>
                <c:pt idx="434">
                  <c:v>31.100000000000144</c:v>
                </c:pt>
                <c:pt idx="435">
                  <c:v>31.200000000000145</c:v>
                </c:pt>
                <c:pt idx="436">
                  <c:v>31.300000000000146</c:v>
                </c:pt>
                <c:pt idx="437">
                  <c:v>31.400000000000148</c:v>
                </c:pt>
                <c:pt idx="438">
                  <c:v>31.500000000000149</c:v>
                </c:pt>
                <c:pt idx="439">
                  <c:v>31.600000000000151</c:v>
                </c:pt>
                <c:pt idx="440">
                  <c:v>31.700000000000152</c:v>
                </c:pt>
                <c:pt idx="441">
                  <c:v>31.800000000000153</c:v>
                </c:pt>
                <c:pt idx="442">
                  <c:v>31.900000000000155</c:v>
                </c:pt>
                <c:pt idx="443">
                  <c:v>32.000000000000156</c:v>
                </c:pt>
                <c:pt idx="444">
                  <c:v>32.100000000000158</c:v>
                </c:pt>
                <c:pt idx="445">
                  <c:v>32.200000000000159</c:v>
                </c:pt>
                <c:pt idx="446">
                  <c:v>32.300000000000161</c:v>
                </c:pt>
                <c:pt idx="447">
                  <c:v>32.400000000000162</c:v>
                </c:pt>
                <c:pt idx="448">
                  <c:v>32.500000000000163</c:v>
                </c:pt>
                <c:pt idx="449">
                  <c:v>32.600000000000165</c:v>
                </c:pt>
                <c:pt idx="450">
                  <c:v>32.700000000000166</c:v>
                </c:pt>
                <c:pt idx="451">
                  <c:v>32.800000000000168</c:v>
                </c:pt>
                <c:pt idx="452">
                  <c:v>32.900000000000169</c:v>
                </c:pt>
                <c:pt idx="453">
                  <c:v>33.000000000000171</c:v>
                </c:pt>
                <c:pt idx="454">
                  <c:v>33.100000000000172</c:v>
                </c:pt>
                <c:pt idx="455">
                  <c:v>33.200000000000173</c:v>
                </c:pt>
                <c:pt idx="456">
                  <c:v>33.300000000000175</c:v>
                </c:pt>
                <c:pt idx="457">
                  <c:v>33.400000000000176</c:v>
                </c:pt>
                <c:pt idx="458">
                  <c:v>33.500000000000178</c:v>
                </c:pt>
                <c:pt idx="459">
                  <c:v>33.600000000000179</c:v>
                </c:pt>
                <c:pt idx="460">
                  <c:v>33.70000000000018</c:v>
                </c:pt>
                <c:pt idx="461">
                  <c:v>33.800000000000182</c:v>
                </c:pt>
                <c:pt idx="462">
                  <c:v>33.900000000000183</c:v>
                </c:pt>
                <c:pt idx="463">
                  <c:v>34.000000000000185</c:v>
                </c:pt>
                <c:pt idx="464">
                  <c:v>34.100000000000186</c:v>
                </c:pt>
                <c:pt idx="465">
                  <c:v>34.200000000000188</c:v>
                </c:pt>
                <c:pt idx="466">
                  <c:v>34.300000000000189</c:v>
                </c:pt>
                <c:pt idx="467">
                  <c:v>34.40000000000019</c:v>
                </c:pt>
                <c:pt idx="468">
                  <c:v>34.500000000000192</c:v>
                </c:pt>
                <c:pt idx="469">
                  <c:v>34.600000000000193</c:v>
                </c:pt>
                <c:pt idx="470">
                  <c:v>34.700000000000195</c:v>
                </c:pt>
                <c:pt idx="471">
                  <c:v>34.800000000000196</c:v>
                </c:pt>
                <c:pt idx="472">
                  <c:v>34.900000000000198</c:v>
                </c:pt>
                <c:pt idx="473">
                  <c:v>35.000000000000199</c:v>
                </c:pt>
                <c:pt idx="474">
                  <c:v>35.1000000000002</c:v>
                </c:pt>
                <c:pt idx="475">
                  <c:v>35.200000000000202</c:v>
                </c:pt>
                <c:pt idx="476">
                  <c:v>35.300000000000203</c:v>
                </c:pt>
                <c:pt idx="477">
                  <c:v>35.400000000000205</c:v>
                </c:pt>
                <c:pt idx="478">
                  <c:v>35.500000000000206</c:v>
                </c:pt>
                <c:pt idx="479">
                  <c:v>35.600000000000207</c:v>
                </c:pt>
                <c:pt idx="480">
                  <c:v>35.700000000000209</c:v>
                </c:pt>
                <c:pt idx="481">
                  <c:v>35.80000000000021</c:v>
                </c:pt>
                <c:pt idx="482">
                  <c:v>35.900000000000212</c:v>
                </c:pt>
                <c:pt idx="483">
                  <c:v>36.000000000000213</c:v>
                </c:pt>
                <c:pt idx="484">
                  <c:v>36.100000000000215</c:v>
                </c:pt>
                <c:pt idx="485">
                  <c:v>36.200000000000216</c:v>
                </c:pt>
                <c:pt idx="486">
                  <c:v>36.300000000000217</c:v>
                </c:pt>
                <c:pt idx="487">
                  <c:v>36.400000000000219</c:v>
                </c:pt>
                <c:pt idx="488">
                  <c:v>36.50000000000022</c:v>
                </c:pt>
                <c:pt idx="489">
                  <c:v>36.600000000000222</c:v>
                </c:pt>
                <c:pt idx="490">
                  <c:v>36.700000000000223</c:v>
                </c:pt>
                <c:pt idx="491">
                  <c:v>36.800000000000225</c:v>
                </c:pt>
                <c:pt idx="492">
                  <c:v>36.900000000000226</c:v>
                </c:pt>
                <c:pt idx="493">
                  <c:v>37.000000000000227</c:v>
                </c:pt>
                <c:pt idx="494">
                  <c:v>37.100000000000229</c:v>
                </c:pt>
                <c:pt idx="495">
                  <c:v>37.20000000000023</c:v>
                </c:pt>
                <c:pt idx="496">
                  <c:v>37.300000000000232</c:v>
                </c:pt>
                <c:pt idx="497">
                  <c:v>37.400000000000233</c:v>
                </c:pt>
                <c:pt idx="498">
                  <c:v>37.500000000000234</c:v>
                </c:pt>
                <c:pt idx="499">
                  <c:v>37.600000000000236</c:v>
                </c:pt>
                <c:pt idx="500">
                  <c:v>37.700000000000237</c:v>
                </c:pt>
                <c:pt idx="501">
                  <c:v>37.800000000000239</c:v>
                </c:pt>
                <c:pt idx="502">
                  <c:v>37.90000000000024</c:v>
                </c:pt>
                <c:pt idx="503">
                  <c:v>38.000000000000242</c:v>
                </c:pt>
                <c:pt idx="504">
                  <c:v>38.100000000000243</c:v>
                </c:pt>
                <c:pt idx="505">
                  <c:v>38.200000000000244</c:v>
                </c:pt>
                <c:pt idx="506">
                  <c:v>38.300000000000246</c:v>
                </c:pt>
                <c:pt idx="507">
                  <c:v>38.400000000000247</c:v>
                </c:pt>
                <c:pt idx="508">
                  <c:v>38.500000000000249</c:v>
                </c:pt>
                <c:pt idx="509">
                  <c:v>38.60000000000025</c:v>
                </c:pt>
                <c:pt idx="510">
                  <c:v>38.700000000000252</c:v>
                </c:pt>
                <c:pt idx="511">
                  <c:v>38.800000000000253</c:v>
                </c:pt>
                <c:pt idx="512">
                  <c:v>38.900000000000254</c:v>
                </c:pt>
                <c:pt idx="513">
                  <c:v>39.000000000000256</c:v>
                </c:pt>
                <c:pt idx="514">
                  <c:v>39.100000000000257</c:v>
                </c:pt>
                <c:pt idx="515">
                  <c:v>39.200000000000259</c:v>
                </c:pt>
                <c:pt idx="516">
                  <c:v>39.30000000000026</c:v>
                </c:pt>
                <c:pt idx="517">
                  <c:v>39.400000000000261</c:v>
                </c:pt>
                <c:pt idx="518">
                  <c:v>39.500000000000263</c:v>
                </c:pt>
                <c:pt idx="519">
                  <c:v>39.600000000000264</c:v>
                </c:pt>
                <c:pt idx="520">
                  <c:v>39.700000000000266</c:v>
                </c:pt>
                <c:pt idx="521">
                  <c:v>39.800000000000267</c:v>
                </c:pt>
                <c:pt idx="522">
                  <c:v>39.900000000000269</c:v>
                </c:pt>
                <c:pt idx="523">
                  <c:v>40.00000000000027</c:v>
                </c:pt>
                <c:pt idx="524">
                  <c:v>40.100000000000271</c:v>
                </c:pt>
                <c:pt idx="525">
                  <c:v>40.200000000000273</c:v>
                </c:pt>
                <c:pt idx="526">
                  <c:v>40.300000000000274</c:v>
                </c:pt>
                <c:pt idx="527">
                  <c:v>40.400000000000276</c:v>
                </c:pt>
                <c:pt idx="528">
                  <c:v>40.500000000000277</c:v>
                </c:pt>
                <c:pt idx="529">
                  <c:v>40.600000000000279</c:v>
                </c:pt>
                <c:pt idx="530">
                  <c:v>40.70000000000028</c:v>
                </c:pt>
                <c:pt idx="531">
                  <c:v>40.800000000000281</c:v>
                </c:pt>
                <c:pt idx="532">
                  <c:v>40.900000000000283</c:v>
                </c:pt>
                <c:pt idx="533">
                  <c:v>41.000000000000284</c:v>
                </c:pt>
                <c:pt idx="534">
                  <c:v>41.100000000000286</c:v>
                </c:pt>
                <c:pt idx="535">
                  <c:v>41.200000000000287</c:v>
                </c:pt>
                <c:pt idx="536">
                  <c:v>41.300000000000288</c:v>
                </c:pt>
                <c:pt idx="537">
                  <c:v>41.40000000000029</c:v>
                </c:pt>
                <c:pt idx="538">
                  <c:v>41.500000000000291</c:v>
                </c:pt>
                <c:pt idx="539">
                  <c:v>41.600000000000293</c:v>
                </c:pt>
                <c:pt idx="540">
                  <c:v>41.700000000000294</c:v>
                </c:pt>
                <c:pt idx="541">
                  <c:v>41.800000000000296</c:v>
                </c:pt>
                <c:pt idx="542">
                  <c:v>41.900000000000297</c:v>
                </c:pt>
                <c:pt idx="543">
                  <c:v>42.000000000000298</c:v>
                </c:pt>
                <c:pt idx="544">
                  <c:v>42.1000000000003</c:v>
                </c:pt>
                <c:pt idx="545">
                  <c:v>42.200000000000301</c:v>
                </c:pt>
                <c:pt idx="546">
                  <c:v>42.300000000000303</c:v>
                </c:pt>
                <c:pt idx="547">
                  <c:v>42.400000000000304</c:v>
                </c:pt>
                <c:pt idx="548">
                  <c:v>42.500000000000306</c:v>
                </c:pt>
                <c:pt idx="549">
                  <c:v>42.600000000000307</c:v>
                </c:pt>
                <c:pt idx="550">
                  <c:v>42.700000000000308</c:v>
                </c:pt>
                <c:pt idx="551">
                  <c:v>42.80000000000031</c:v>
                </c:pt>
                <c:pt idx="552">
                  <c:v>42.900000000000311</c:v>
                </c:pt>
                <c:pt idx="553">
                  <c:v>43.000000000000313</c:v>
                </c:pt>
                <c:pt idx="554">
                  <c:v>43.100000000000314</c:v>
                </c:pt>
                <c:pt idx="555">
                  <c:v>43.200000000000315</c:v>
                </c:pt>
                <c:pt idx="556">
                  <c:v>43.300000000000317</c:v>
                </c:pt>
                <c:pt idx="557">
                  <c:v>43.400000000000318</c:v>
                </c:pt>
                <c:pt idx="558">
                  <c:v>43.50000000000032</c:v>
                </c:pt>
                <c:pt idx="559">
                  <c:v>43.600000000000321</c:v>
                </c:pt>
                <c:pt idx="560">
                  <c:v>43.700000000000323</c:v>
                </c:pt>
                <c:pt idx="561">
                  <c:v>43.800000000000324</c:v>
                </c:pt>
                <c:pt idx="562">
                  <c:v>43.900000000000325</c:v>
                </c:pt>
                <c:pt idx="563">
                  <c:v>44.000000000000327</c:v>
                </c:pt>
                <c:pt idx="564">
                  <c:v>44.100000000000328</c:v>
                </c:pt>
                <c:pt idx="565">
                  <c:v>44.20000000000033</c:v>
                </c:pt>
                <c:pt idx="566">
                  <c:v>44.300000000000331</c:v>
                </c:pt>
                <c:pt idx="567">
                  <c:v>44.400000000000333</c:v>
                </c:pt>
                <c:pt idx="568">
                  <c:v>44.500000000000334</c:v>
                </c:pt>
                <c:pt idx="569">
                  <c:v>44.600000000000335</c:v>
                </c:pt>
                <c:pt idx="570">
                  <c:v>44.700000000000337</c:v>
                </c:pt>
                <c:pt idx="571">
                  <c:v>44.800000000000338</c:v>
                </c:pt>
                <c:pt idx="572">
                  <c:v>44.90000000000034</c:v>
                </c:pt>
                <c:pt idx="573">
                  <c:v>45.000000000000341</c:v>
                </c:pt>
                <c:pt idx="574">
                  <c:v>45.100000000000342</c:v>
                </c:pt>
                <c:pt idx="575">
                  <c:v>45.200000000000344</c:v>
                </c:pt>
                <c:pt idx="576">
                  <c:v>45.300000000000345</c:v>
                </c:pt>
                <c:pt idx="577">
                  <c:v>45.400000000000347</c:v>
                </c:pt>
                <c:pt idx="578">
                  <c:v>45.500000000000348</c:v>
                </c:pt>
                <c:pt idx="579">
                  <c:v>45.60000000000035</c:v>
                </c:pt>
                <c:pt idx="580">
                  <c:v>45.700000000000351</c:v>
                </c:pt>
                <c:pt idx="581">
                  <c:v>45.800000000000352</c:v>
                </c:pt>
                <c:pt idx="582">
                  <c:v>45.900000000000354</c:v>
                </c:pt>
                <c:pt idx="583">
                  <c:v>46.000000000000355</c:v>
                </c:pt>
                <c:pt idx="584">
                  <c:v>46.100000000000357</c:v>
                </c:pt>
                <c:pt idx="585">
                  <c:v>46.200000000000358</c:v>
                </c:pt>
                <c:pt idx="586">
                  <c:v>46.30000000000036</c:v>
                </c:pt>
                <c:pt idx="587">
                  <c:v>46.400000000000361</c:v>
                </c:pt>
                <c:pt idx="588">
                  <c:v>46.500000000000362</c:v>
                </c:pt>
                <c:pt idx="589">
                  <c:v>46.600000000000364</c:v>
                </c:pt>
                <c:pt idx="590">
                  <c:v>46.700000000000365</c:v>
                </c:pt>
                <c:pt idx="591">
                  <c:v>46.800000000000367</c:v>
                </c:pt>
                <c:pt idx="592">
                  <c:v>46.900000000000368</c:v>
                </c:pt>
                <c:pt idx="593">
                  <c:v>47.000000000000369</c:v>
                </c:pt>
                <c:pt idx="594">
                  <c:v>47.100000000000371</c:v>
                </c:pt>
                <c:pt idx="595">
                  <c:v>47.100100000000374</c:v>
                </c:pt>
                <c:pt idx="596">
                  <c:v>47.100200000000378</c:v>
                </c:pt>
                <c:pt idx="597">
                  <c:v>47.100300000000381</c:v>
                </c:pt>
                <c:pt idx="598">
                  <c:v>47.100400000000384</c:v>
                </c:pt>
                <c:pt idx="599">
                  <c:v>47.100500000000388</c:v>
                </c:pt>
                <c:pt idx="600">
                  <c:v>47.100600000000391</c:v>
                </c:pt>
                <c:pt idx="601">
                  <c:v>47.100700000000394</c:v>
                </c:pt>
                <c:pt idx="602">
                  <c:v>47.100800000000397</c:v>
                </c:pt>
                <c:pt idx="603">
                  <c:v>47.100900000000401</c:v>
                </c:pt>
                <c:pt idx="604">
                  <c:v>47.101000000000404</c:v>
                </c:pt>
                <c:pt idx="605">
                  <c:v>47.101100000000407</c:v>
                </c:pt>
                <c:pt idx="606">
                  <c:v>47.101200000000411</c:v>
                </c:pt>
                <c:pt idx="607">
                  <c:v>47.101300000000414</c:v>
                </c:pt>
                <c:pt idx="608">
                  <c:v>47.101400000000417</c:v>
                </c:pt>
                <c:pt idx="609">
                  <c:v>47.101500000000421</c:v>
                </c:pt>
                <c:pt idx="610">
                  <c:v>47.101600000000424</c:v>
                </c:pt>
                <c:pt idx="611">
                  <c:v>47.101700000000427</c:v>
                </c:pt>
                <c:pt idx="612">
                  <c:v>47.101800000000431</c:v>
                </c:pt>
                <c:pt idx="613">
                  <c:v>47.101900000000434</c:v>
                </c:pt>
                <c:pt idx="614">
                  <c:v>47.102000000000437</c:v>
                </c:pt>
                <c:pt idx="615">
                  <c:v>47.102100000000441</c:v>
                </c:pt>
                <c:pt idx="616">
                  <c:v>47.102200000000444</c:v>
                </c:pt>
                <c:pt idx="617">
                  <c:v>47.102300000000447</c:v>
                </c:pt>
                <c:pt idx="618">
                  <c:v>47.102400000000451</c:v>
                </c:pt>
                <c:pt idx="619">
                  <c:v>47.102500000000454</c:v>
                </c:pt>
                <c:pt idx="620">
                  <c:v>47.102600000000457</c:v>
                </c:pt>
                <c:pt idx="621">
                  <c:v>47.102700000000461</c:v>
                </c:pt>
                <c:pt idx="622">
                  <c:v>47.102800000000464</c:v>
                </c:pt>
                <c:pt idx="623">
                  <c:v>47.102900000000467</c:v>
                </c:pt>
                <c:pt idx="624">
                  <c:v>47.10300000000047</c:v>
                </c:pt>
                <c:pt idx="625">
                  <c:v>47.103100000000474</c:v>
                </c:pt>
                <c:pt idx="626">
                  <c:v>47.103200000000477</c:v>
                </c:pt>
                <c:pt idx="627">
                  <c:v>47.10330000000048</c:v>
                </c:pt>
                <c:pt idx="628">
                  <c:v>47.103400000000484</c:v>
                </c:pt>
                <c:pt idx="629">
                  <c:v>47.103500000000487</c:v>
                </c:pt>
                <c:pt idx="630">
                  <c:v>47.10360000000049</c:v>
                </c:pt>
                <c:pt idx="631">
                  <c:v>47.103700000000494</c:v>
                </c:pt>
                <c:pt idx="632">
                  <c:v>47.103800000000497</c:v>
                </c:pt>
                <c:pt idx="633">
                  <c:v>47.1039000000005</c:v>
                </c:pt>
                <c:pt idx="634">
                  <c:v>47.104000000000504</c:v>
                </c:pt>
                <c:pt idx="635">
                  <c:v>47.104100000000507</c:v>
                </c:pt>
                <c:pt idx="636">
                  <c:v>47.10420000000051</c:v>
                </c:pt>
                <c:pt idx="637">
                  <c:v>47.104300000000514</c:v>
                </c:pt>
                <c:pt idx="638">
                  <c:v>47.104400000000517</c:v>
                </c:pt>
                <c:pt idx="639">
                  <c:v>47.10450000000052</c:v>
                </c:pt>
                <c:pt idx="640">
                  <c:v>47.104600000000524</c:v>
                </c:pt>
                <c:pt idx="641">
                  <c:v>47.104700000000527</c:v>
                </c:pt>
                <c:pt idx="642">
                  <c:v>47.10480000000053</c:v>
                </c:pt>
                <c:pt idx="643">
                  <c:v>47.104900000000534</c:v>
                </c:pt>
                <c:pt idx="644">
                  <c:v>47.105000000000537</c:v>
                </c:pt>
                <c:pt idx="645">
                  <c:v>47.10510000000054</c:v>
                </c:pt>
                <c:pt idx="646">
                  <c:v>47.105200000000544</c:v>
                </c:pt>
                <c:pt idx="647">
                  <c:v>47.105300000000547</c:v>
                </c:pt>
                <c:pt idx="648">
                  <c:v>47.10540000000055</c:v>
                </c:pt>
                <c:pt idx="649">
                  <c:v>47.105500000000553</c:v>
                </c:pt>
                <c:pt idx="650">
                  <c:v>47.105600000000557</c:v>
                </c:pt>
                <c:pt idx="651">
                  <c:v>47.10570000000056</c:v>
                </c:pt>
                <c:pt idx="652">
                  <c:v>47.105800000000563</c:v>
                </c:pt>
                <c:pt idx="653">
                  <c:v>47.105900000000567</c:v>
                </c:pt>
                <c:pt idx="654">
                  <c:v>47.10600000000057</c:v>
                </c:pt>
                <c:pt idx="655">
                  <c:v>47.106100000000573</c:v>
                </c:pt>
                <c:pt idx="656">
                  <c:v>47.106200000000577</c:v>
                </c:pt>
                <c:pt idx="657">
                  <c:v>47.10630000000058</c:v>
                </c:pt>
                <c:pt idx="658">
                  <c:v>47.106400000000583</c:v>
                </c:pt>
                <c:pt idx="659">
                  <c:v>47.106500000000587</c:v>
                </c:pt>
                <c:pt idx="660">
                  <c:v>47.10660000000059</c:v>
                </c:pt>
                <c:pt idx="661">
                  <c:v>47.106700000000593</c:v>
                </c:pt>
                <c:pt idx="662">
                  <c:v>47.106800000000597</c:v>
                </c:pt>
                <c:pt idx="663">
                  <c:v>47.1069000000006</c:v>
                </c:pt>
                <c:pt idx="664">
                  <c:v>47.107000000000603</c:v>
                </c:pt>
                <c:pt idx="665">
                  <c:v>47.107100000000607</c:v>
                </c:pt>
                <c:pt idx="666">
                  <c:v>47.10720000000061</c:v>
                </c:pt>
                <c:pt idx="667">
                  <c:v>47.107300000000613</c:v>
                </c:pt>
                <c:pt idx="668">
                  <c:v>47.107400000000617</c:v>
                </c:pt>
                <c:pt idx="669">
                  <c:v>47.10750000000062</c:v>
                </c:pt>
                <c:pt idx="670">
                  <c:v>47.107600000000623</c:v>
                </c:pt>
                <c:pt idx="671">
                  <c:v>47.107700000000627</c:v>
                </c:pt>
                <c:pt idx="672">
                  <c:v>47.10780000000063</c:v>
                </c:pt>
                <c:pt idx="673">
                  <c:v>47.107900000000633</c:v>
                </c:pt>
                <c:pt idx="674">
                  <c:v>47.108000000000636</c:v>
                </c:pt>
                <c:pt idx="675">
                  <c:v>47.10810000000064</c:v>
                </c:pt>
                <c:pt idx="676">
                  <c:v>47.108200000000643</c:v>
                </c:pt>
                <c:pt idx="677">
                  <c:v>47.108300000000646</c:v>
                </c:pt>
                <c:pt idx="678">
                  <c:v>47.10840000000065</c:v>
                </c:pt>
                <c:pt idx="679">
                  <c:v>47.108500000000653</c:v>
                </c:pt>
                <c:pt idx="680">
                  <c:v>47.108600000000656</c:v>
                </c:pt>
                <c:pt idx="681">
                  <c:v>47.10870000000066</c:v>
                </c:pt>
                <c:pt idx="682">
                  <c:v>47.108800000000663</c:v>
                </c:pt>
                <c:pt idx="683">
                  <c:v>47.108900000000666</c:v>
                </c:pt>
                <c:pt idx="684">
                  <c:v>47.10900000000067</c:v>
                </c:pt>
                <c:pt idx="685">
                  <c:v>47.109100000000673</c:v>
                </c:pt>
                <c:pt idx="686">
                  <c:v>47.109200000000676</c:v>
                </c:pt>
                <c:pt idx="687">
                  <c:v>47.10930000000068</c:v>
                </c:pt>
                <c:pt idx="688">
                  <c:v>47.109400000000683</c:v>
                </c:pt>
                <c:pt idx="689">
                  <c:v>47.109500000000686</c:v>
                </c:pt>
                <c:pt idx="690">
                  <c:v>47.10960000000069</c:v>
                </c:pt>
                <c:pt idx="691">
                  <c:v>47.109700000000693</c:v>
                </c:pt>
                <c:pt idx="692">
                  <c:v>47.109800000000696</c:v>
                </c:pt>
                <c:pt idx="693">
                  <c:v>47.1099000000007</c:v>
                </c:pt>
                <c:pt idx="694">
                  <c:v>47.110000000000703</c:v>
                </c:pt>
                <c:pt idx="695">
                  <c:v>47.110100000000706</c:v>
                </c:pt>
                <c:pt idx="696">
                  <c:v>47.11020000000071</c:v>
                </c:pt>
                <c:pt idx="697">
                  <c:v>47.110300000000713</c:v>
                </c:pt>
                <c:pt idx="698">
                  <c:v>47.110400000000716</c:v>
                </c:pt>
                <c:pt idx="699">
                  <c:v>47.110500000000719</c:v>
                </c:pt>
                <c:pt idx="700">
                  <c:v>47.110600000000723</c:v>
                </c:pt>
                <c:pt idx="701">
                  <c:v>47.110700000000726</c:v>
                </c:pt>
                <c:pt idx="702">
                  <c:v>47.110800000000729</c:v>
                </c:pt>
                <c:pt idx="703">
                  <c:v>47.110900000000733</c:v>
                </c:pt>
                <c:pt idx="704">
                  <c:v>47.111000000000736</c:v>
                </c:pt>
                <c:pt idx="705">
                  <c:v>47.111100000000739</c:v>
                </c:pt>
                <c:pt idx="706">
                  <c:v>47.111200000000743</c:v>
                </c:pt>
                <c:pt idx="707">
                  <c:v>47.111300000000746</c:v>
                </c:pt>
                <c:pt idx="708">
                  <c:v>47.111400000000749</c:v>
                </c:pt>
                <c:pt idx="709">
                  <c:v>47.111500000000753</c:v>
                </c:pt>
                <c:pt idx="710">
                  <c:v>47.111600000000756</c:v>
                </c:pt>
                <c:pt idx="711">
                  <c:v>47.111700000000759</c:v>
                </c:pt>
                <c:pt idx="712">
                  <c:v>47.111800000000763</c:v>
                </c:pt>
                <c:pt idx="713">
                  <c:v>47.111900000000766</c:v>
                </c:pt>
                <c:pt idx="714">
                  <c:v>47.112000000000769</c:v>
                </c:pt>
                <c:pt idx="715">
                  <c:v>47.112100000000773</c:v>
                </c:pt>
                <c:pt idx="716">
                  <c:v>47.112200000000776</c:v>
                </c:pt>
                <c:pt idx="717">
                  <c:v>47.112300000000779</c:v>
                </c:pt>
                <c:pt idx="718">
                  <c:v>47.112400000000783</c:v>
                </c:pt>
                <c:pt idx="719">
                  <c:v>47.112500000000786</c:v>
                </c:pt>
                <c:pt idx="720">
                  <c:v>47.112600000000789</c:v>
                </c:pt>
                <c:pt idx="721">
                  <c:v>47.112700000000792</c:v>
                </c:pt>
                <c:pt idx="722">
                  <c:v>47.112800000000796</c:v>
                </c:pt>
                <c:pt idx="723">
                  <c:v>47.112900000000799</c:v>
                </c:pt>
                <c:pt idx="724">
                  <c:v>47.113000000000802</c:v>
                </c:pt>
                <c:pt idx="725">
                  <c:v>47.113100000000806</c:v>
                </c:pt>
                <c:pt idx="726">
                  <c:v>47.113200000000809</c:v>
                </c:pt>
                <c:pt idx="727">
                  <c:v>47.113300000000812</c:v>
                </c:pt>
                <c:pt idx="728">
                  <c:v>47.113400000000816</c:v>
                </c:pt>
                <c:pt idx="729">
                  <c:v>47.113500000000819</c:v>
                </c:pt>
                <c:pt idx="730">
                  <c:v>47.113600000000822</c:v>
                </c:pt>
                <c:pt idx="731">
                  <c:v>47.113700000000826</c:v>
                </c:pt>
                <c:pt idx="732">
                  <c:v>47.113800000000829</c:v>
                </c:pt>
                <c:pt idx="733">
                  <c:v>47.113900000000832</c:v>
                </c:pt>
                <c:pt idx="734">
                  <c:v>47.114000000000836</c:v>
                </c:pt>
                <c:pt idx="735">
                  <c:v>47.114100000000839</c:v>
                </c:pt>
                <c:pt idx="736">
                  <c:v>47.114200000000842</c:v>
                </c:pt>
                <c:pt idx="737">
                  <c:v>47.114300000000846</c:v>
                </c:pt>
                <c:pt idx="738">
                  <c:v>47.114400000000849</c:v>
                </c:pt>
                <c:pt idx="739">
                  <c:v>47.114500000000852</c:v>
                </c:pt>
                <c:pt idx="740">
                  <c:v>47.114600000000856</c:v>
                </c:pt>
                <c:pt idx="741">
                  <c:v>47.114700000000859</c:v>
                </c:pt>
                <c:pt idx="742">
                  <c:v>47.114800000000862</c:v>
                </c:pt>
                <c:pt idx="743">
                  <c:v>47.114900000000866</c:v>
                </c:pt>
                <c:pt idx="744">
                  <c:v>47.115000000000869</c:v>
                </c:pt>
                <c:pt idx="745">
                  <c:v>47.115100000000872</c:v>
                </c:pt>
                <c:pt idx="746">
                  <c:v>47.115200000000875</c:v>
                </c:pt>
                <c:pt idx="747">
                  <c:v>47.115300000000879</c:v>
                </c:pt>
                <c:pt idx="748">
                  <c:v>47.115400000000882</c:v>
                </c:pt>
                <c:pt idx="749">
                  <c:v>47.115500000000885</c:v>
                </c:pt>
                <c:pt idx="750">
                  <c:v>47.115600000000889</c:v>
                </c:pt>
                <c:pt idx="751">
                  <c:v>47.115700000000892</c:v>
                </c:pt>
                <c:pt idx="752">
                  <c:v>47.115800000000895</c:v>
                </c:pt>
                <c:pt idx="753">
                  <c:v>47.115900000000899</c:v>
                </c:pt>
                <c:pt idx="754">
                  <c:v>47.116000000000902</c:v>
                </c:pt>
                <c:pt idx="755">
                  <c:v>47.116100000000905</c:v>
                </c:pt>
                <c:pt idx="756">
                  <c:v>47.116200000000909</c:v>
                </c:pt>
                <c:pt idx="757">
                  <c:v>47.116300000000912</c:v>
                </c:pt>
                <c:pt idx="758">
                  <c:v>47.116400000000915</c:v>
                </c:pt>
                <c:pt idx="759">
                  <c:v>47.116500000000919</c:v>
                </c:pt>
                <c:pt idx="760">
                  <c:v>47.116600000000922</c:v>
                </c:pt>
                <c:pt idx="761">
                  <c:v>47.116700000000925</c:v>
                </c:pt>
                <c:pt idx="762">
                  <c:v>47.116800000000929</c:v>
                </c:pt>
                <c:pt idx="763">
                  <c:v>47.116900000000932</c:v>
                </c:pt>
                <c:pt idx="764">
                  <c:v>47.117000000000935</c:v>
                </c:pt>
                <c:pt idx="765">
                  <c:v>47.117100000000939</c:v>
                </c:pt>
                <c:pt idx="766">
                  <c:v>47.117200000000942</c:v>
                </c:pt>
                <c:pt idx="767">
                  <c:v>47.117300000000945</c:v>
                </c:pt>
                <c:pt idx="768">
                  <c:v>47.117400000000949</c:v>
                </c:pt>
                <c:pt idx="769">
                  <c:v>47.117500000000952</c:v>
                </c:pt>
                <c:pt idx="770">
                  <c:v>47.117600000000955</c:v>
                </c:pt>
                <c:pt idx="771">
                  <c:v>47.117700000000958</c:v>
                </c:pt>
                <c:pt idx="772">
                  <c:v>47.117800000000962</c:v>
                </c:pt>
                <c:pt idx="773">
                  <c:v>47.117900000000965</c:v>
                </c:pt>
                <c:pt idx="774">
                  <c:v>47.118000000000968</c:v>
                </c:pt>
                <c:pt idx="775">
                  <c:v>47.118100000000972</c:v>
                </c:pt>
                <c:pt idx="776">
                  <c:v>47.118200000000975</c:v>
                </c:pt>
                <c:pt idx="777">
                  <c:v>47.118300000000978</c:v>
                </c:pt>
                <c:pt idx="778">
                  <c:v>47.118400000000982</c:v>
                </c:pt>
                <c:pt idx="779">
                  <c:v>47.118500000000985</c:v>
                </c:pt>
                <c:pt idx="780">
                  <c:v>47.118600000000988</c:v>
                </c:pt>
                <c:pt idx="781">
                  <c:v>47.118700000000992</c:v>
                </c:pt>
                <c:pt idx="782">
                  <c:v>47.118800000000995</c:v>
                </c:pt>
                <c:pt idx="783">
                  <c:v>47.118900000000998</c:v>
                </c:pt>
                <c:pt idx="784">
                  <c:v>47.119000000001002</c:v>
                </c:pt>
                <c:pt idx="785">
                  <c:v>47.119100000001005</c:v>
                </c:pt>
                <c:pt idx="786">
                  <c:v>47.119200000001008</c:v>
                </c:pt>
                <c:pt idx="787">
                  <c:v>47.119300000001012</c:v>
                </c:pt>
                <c:pt idx="788">
                  <c:v>47.119400000001015</c:v>
                </c:pt>
                <c:pt idx="789">
                  <c:v>47.119500000001018</c:v>
                </c:pt>
                <c:pt idx="790">
                  <c:v>47.119600000001022</c:v>
                </c:pt>
                <c:pt idx="791">
                  <c:v>47.119700000001025</c:v>
                </c:pt>
                <c:pt idx="792">
                  <c:v>47.119800000001028</c:v>
                </c:pt>
                <c:pt idx="793">
                  <c:v>47.119900000001032</c:v>
                </c:pt>
                <c:pt idx="794">
                  <c:v>47.120000000001035</c:v>
                </c:pt>
                <c:pt idx="795">
                  <c:v>47.120100000001038</c:v>
                </c:pt>
                <c:pt idx="796">
                  <c:v>47.120200000001041</c:v>
                </c:pt>
                <c:pt idx="797">
                  <c:v>47.120300000001045</c:v>
                </c:pt>
                <c:pt idx="798">
                  <c:v>47.120400000001048</c:v>
                </c:pt>
                <c:pt idx="799">
                  <c:v>47.120500000001051</c:v>
                </c:pt>
                <c:pt idx="800">
                  <c:v>47.120600000001055</c:v>
                </c:pt>
                <c:pt idx="801">
                  <c:v>47.120700000001058</c:v>
                </c:pt>
                <c:pt idx="802">
                  <c:v>47.120800000001061</c:v>
                </c:pt>
                <c:pt idx="803">
                  <c:v>47.120900000001065</c:v>
                </c:pt>
                <c:pt idx="804">
                  <c:v>47.121000000001068</c:v>
                </c:pt>
                <c:pt idx="805">
                  <c:v>47.121100000001071</c:v>
                </c:pt>
                <c:pt idx="806">
                  <c:v>47.121200000001075</c:v>
                </c:pt>
                <c:pt idx="807">
                  <c:v>47.121300000001078</c:v>
                </c:pt>
                <c:pt idx="808">
                  <c:v>47.121400000001081</c:v>
                </c:pt>
                <c:pt idx="809">
                  <c:v>47.121500000001085</c:v>
                </c:pt>
                <c:pt idx="810">
                  <c:v>47.121600000001088</c:v>
                </c:pt>
                <c:pt idx="811">
                  <c:v>47.121700000001091</c:v>
                </c:pt>
                <c:pt idx="812">
                  <c:v>47.121800000001095</c:v>
                </c:pt>
                <c:pt idx="813">
                  <c:v>47.121900000001098</c:v>
                </c:pt>
                <c:pt idx="814">
                  <c:v>47.122000000001101</c:v>
                </c:pt>
                <c:pt idx="815">
                  <c:v>47.122100000001105</c:v>
                </c:pt>
                <c:pt idx="816">
                  <c:v>47.122200000001108</c:v>
                </c:pt>
                <c:pt idx="817">
                  <c:v>47.122300000001111</c:v>
                </c:pt>
                <c:pt idx="818">
                  <c:v>47.122400000001115</c:v>
                </c:pt>
                <c:pt idx="819">
                  <c:v>47.122500000001118</c:v>
                </c:pt>
                <c:pt idx="820">
                  <c:v>47.122600000001121</c:v>
                </c:pt>
                <c:pt idx="821">
                  <c:v>47.122700000001124</c:v>
                </c:pt>
                <c:pt idx="822">
                  <c:v>47.122800000001128</c:v>
                </c:pt>
                <c:pt idx="823">
                  <c:v>47.122900000001131</c:v>
                </c:pt>
                <c:pt idx="824">
                  <c:v>47.123000000001134</c:v>
                </c:pt>
                <c:pt idx="825">
                  <c:v>47.123100000001138</c:v>
                </c:pt>
                <c:pt idx="826">
                  <c:v>47.123200000001141</c:v>
                </c:pt>
                <c:pt idx="827">
                  <c:v>47.123300000001144</c:v>
                </c:pt>
                <c:pt idx="828">
                  <c:v>47.123400000001148</c:v>
                </c:pt>
                <c:pt idx="829">
                  <c:v>47.123500000001151</c:v>
                </c:pt>
                <c:pt idx="830">
                  <c:v>47.123600000001154</c:v>
                </c:pt>
                <c:pt idx="831">
                  <c:v>47.123700000001158</c:v>
                </c:pt>
                <c:pt idx="832">
                  <c:v>47.123800000001161</c:v>
                </c:pt>
                <c:pt idx="833">
                  <c:v>47.123900000001164</c:v>
                </c:pt>
                <c:pt idx="834">
                  <c:v>47.124000000001168</c:v>
                </c:pt>
                <c:pt idx="835">
                  <c:v>47.124100000001171</c:v>
                </c:pt>
                <c:pt idx="836">
                  <c:v>47.124200000001174</c:v>
                </c:pt>
                <c:pt idx="837">
                  <c:v>47.124300000001178</c:v>
                </c:pt>
                <c:pt idx="838">
                  <c:v>47.124400000001181</c:v>
                </c:pt>
                <c:pt idx="839">
                  <c:v>47.124500000001184</c:v>
                </c:pt>
                <c:pt idx="840">
                  <c:v>47.124600000001188</c:v>
                </c:pt>
                <c:pt idx="841">
                  <c:v>47.124700000001191</c:v>
                </c:pt>
                <c:pt idx="842">
                  <c:v>47.124800000001194</c:v>
                </c:pt>
                <c:pt idx="843">
                  <c:v>47.124900000001197</c:v>
                </c:pt>
                <c:pt idx="844">
                  <c:v>47.125000000001201</c:v>
                </c:pt>
                <c:pt idx="845">
                  <c:v>47.125100000001204</c:v>
                </c:pt>
                <c:pt idx="846">
                  <c:v>47.125200000001207</c:v>
                </c:pt>
                <c:pt idx="847">
                  <c:v>47.125300000001211</c:v>
                </c:pt>
                <c:pt idx="848">
                  <c:v>47.125400000001214</c:v>
                </c:pt>
                <c:pt idx="849">
                  <c:v>47.125500000001217</c:v>
                </c:pt>
                <c:pt idx="850">
                  <c:v>47.125600000001221</c:v>
                </c:pt>
                <c:pt idx="851">
                  <c:v>47.125700000001224</c:v>
                </c:pt>
                <c:pt idx="852">
                  <c:v>47.125800000001227</c:v>
                </c:pt>
                <c:pt idx="853">
                  <c:v>47.125900000001231</c:v>
                </c:pt>
                <c:pt idx="854">
                  <c:v>47.126000000001234</c:v>
                </c:pt>
                <c:pt idx="855">
                  <c:v>47.126100000001237</c:v>
                </c:pt>
                <c:pt idx="856">
                  <c:v>47.126200000001241</c:v>
                </c:pt>
                <c:pt idx="857">
                  <c:v>47.126300000001244</c:v>
                </c:pt>
                <c:pt idx="858">
                  <c:v>47.126400000001247</c:v>
                </c:pt>
                <c:pt idx="859">
                  <c:v>47.126500000001251</c:v>
                </c:pt>
                <c:pt idx="860">
                  <c:v>47.126600000001254</c:v>
                </c:pt>
                <c:pt idx="861">
                  <c:v>47.126700000001257</c:v>
                </c:pt>
                <c:pt idx="862">
                  <c:v>47.126800000001261</c:v>
                </c:pt>
                <c:pt idx="863">
                  <c:v>47.126900000001264</c:v>
                </c:pt>
                <c:pt idx="864">
                  <c:v>47.127000000001267</c:v>
                </c:pt>
                <c:pt idx="865">
                  <c:v>47.127100000001271</c:v>
                </c:pt>
                <c:pt idx="866">
                  <c:v>47.127200000001274</c:v>
                </c:pt>
                <c:pt idx="867">
                  <c:v>47.127300000001277</c:v>
                </c:pt>
                <c:pt idx="868">
                  <c:v>47.12740000000128</c:v>
                </c:pt>
                <c:pt idx="869">
                  <c:v>47.127500000001284</c:v>
                </c:pt>
                <c:pt idx="870">
                  <c:v>47.127600000001287</c:v>
                </c:pt>
                <c:pt idx="871">
                  <c:v>47.12770000000129</c:v>
                </c:pt>
                <c:pt idx="872">
                  <c:v>47.127800000001294</c:v>
                </c:pt>
                <c:pt idx="873">
                  <c:v>47.127900000001297</c:v>
                </c:pt>
                <c:pt idx="874">
                  <c:v>47.1280000000013</c:v>
                </c:pt>
                <c:pt idx="875">
                  <c:v>47.128100000001304</c:v>
                </c:pt>
                <c:pt idx="876">
                  <c:v>47.128200000001307</c:v>
                </c:pt>
                <c:pt idx="877">
                  <c:v>47.12830000000131</c:v>
                </c:pt>
                <c:pt idx="878">
                  <c:v>47.128400000001314</c:v>
                </c:pt>
                <c:pt idx="879">
                  <c:v>47.128500000001317</c:v>
                </c:pt>
                <c:pt idx="880">
                  <c:v>47.12860000000132</c:v>
                </c:pt>
                <c:pt idx="881">
                  <c:v>47.128700000001324</c:v>
                </c:pt>
                <c:pt idx="882">
                  <c:v>47.128800000001327</c:v>
                </c:pt>
                <c:pt idx="883">
                  <c:v>47.12890000000133</c:v>
                </c:pt>
                <c:pt idx="884">
                  <c:v>47.129000000001334</c:v>
                </c:pt>
                <c:pt idx="885">
                  <c:v>47.129100000001337</c:v>
                </c:pt>
                <c:pt idx="886">
                  <c:v>47.12920000000134</c:v>
                </c:pt>
                <c:pt idx="887">
                  <c:v>47.129300000001344</c:v>
                </c:pt>
                <c:pt idx="888">
                  <c:v>47.129400000001347</c:v>
                </c:pt>
                <c:pt idx="889">
                  <c:v>47.12950000000135</c:v>
                </c:pt>
                <c:pt idx="890">
                  <c:v>47.129600000001354</c:v>
                </c:pt>
                <c:pt idx="891">
                  <c:v>47.129700000001357</c:v>
                </c:pt>
                <c:pt idx="892">
                  <c:v>47.12980000000136</c:v>
                </c:pt>
                <c:pt idx="893">
                  <c:v>47.129900000001363</c:v>
                </c:pt>
                <c:pt idx="894">
                  <c:v>47.130000000001367</c:v>
                </c:pt>
                <c:pt idx="895">
                  <c:v>47.13010000000137</c:v>
                </c:pt>
                <c:pt idx="896">
                  <c:v>47.130200000001373</c:v>
                </c:pt>
                <c:pt idx="897">
                  <c:v>47.130300000001377</c:v>
                </c:pt>
                <c:pt idx="898">
                  <c:v>47.13040000000138</c:v>
                </c:pt>
                <c:pt idx="899">
                  <c:v>47.130500000001383</c:v>
                </c:pt>
                <c:pt idx="900">
                  <c:v>47.130600000001387</c:v>
                </c:pt>
                <c:pt idx="901">
                  <c:v>47.13070000000139</c:v>
                </c:pt>
                <c:pt idx="902">
                  <c:v>47.130800000001393</c:v>
                </c:pt>
                <c:pt idx="903">
                  <c:v>47.130900000001397</c:v>
                </c:pt>
                <c:pt idx="904">
                  <c:v>47.1310000000014</c:v>
                </c:pt>
                <c:pt idx="905">
                  <c:v>47.131100000001403</c:v>
                </c:pt>
                <c:pt idx="906">
                  <c:v>47.131200000001407</c:v>
                </c:pt>
                <c:pt idx="907">
                  <c:v>47.13130000000141</c:v>
                </c:pt>
                <c:pt idx="908">
                  <c:v>47.131400000001413</c:v>
                </c:pt>
                <c:pt idx="909">
                  <c:v>47.131500000001417</c:v>
                </c:pt>
                <c:pt idx="910">
                  <c:v>47.13160000000142</c:v>
                </c:pt>
                <c:pt idx="911">
                  <c:v>47.131700000001423</c:v>
                </c:pt>
                <c:pt idx="912">
                  <c:v>47.131800000001427</c:v>
                </c:pt>
                <c:pt idx="913">
                  <c:v>47.13190000000143</c:v>
                </c:pt>
                <c:pt idx="914">
                  <c:v>47.132000000001433</c:v>
                </c:pt>
                <c:pt idx="915">
                  <c:v>47.132100000001437</c:v>
                </c:pt>
                <c:pt idx="916">
                  <c:v>47.13220000000144</c:v>
                </c:pt>
                <c:pt idx="917">
                  <c:v>47.132300000001443</c:v>
                </c:pt>
                <c:pt idx="918">
                  <c:v>47.132400000001446</c:v>
                </c:pt>
                <c:pt idx="919">
                  <c:v>47.13250000000145</c:v>
                </c:pt>
                <c:pt idx="920">
                  <c:v>47.132600000001453</c:v>
                </c:pt>
                <c:pt idx="921">
                  <c:v>47.132700000001456</c:v>
                </c:pt>
                <c:pt idx="922">
                  <c:v>47.13280000000146</c:v>
                </c:pt>
                <c:pt idx="923">
                  <c:v>47.132900000001463</c:v>
                </c:pt>
                <c:pt idx="924">
                  <c:v>47.133000000001466</c:v>
                </c:pt>
                <c:pt idx="925">
                  <c:v>47.13310000000147</c:v>
                </c:pt>
                <c:pt idx="926">
                  <c:v>47.133200000001473</c:v>
                </c:pt>
                <c:pt idx="927">
                  <c:v>47.133300000001476</c:v>
                </c:pt>
                <c:pt idx="928">
                  <c:v>47.13340000000148</c:v>
                </c:pt>
                <c:pt idx="929">
                  <c:v>47.133500000001483</c:v>
                </c:pt>
                <c:pt idx="930">
                  <c:v>47.133600000001486</c:v>
                </c:pt>
                <c:pt idx="931">
                  <c:v>47.13370000000149</c:v>
                </c:pt>
                <c:pt idx="932">
                  <c:v>47.133800000001493</c:v>
                </c:pt>
                <c:pt idx="933">
                  <c:v>47.133900000001496</c:v>
                </c:pt>
                <c:pt idx="934">
                  <c:v>47.1340000000015</c:v>
                </c:pt>
                <c:pt idx="935">
                  <c:v>47.134100000001503</c:v>
                </c:pt>
                <c:pt idx="936">
                  <c:v>47.134200000001506</c:v>
                </c:pt>
                <c:pt idx="937">
                  <c:v>47.13430000000151</c:v>
                </c:pt>
                <c:pt idx="938">
                  <c:v>47.134400000001513</c:v>
                </c:pt>
                <c:pt idx="939">
                  <c:v>47.134500000001516</c:v>
                </c:pt>
                <c:pt idx="940">
                  <c:v>47.13460000000152</c:v>
                </c:pt>
                <c:pt idx="941">
                  <c:v>47.134700000001523</c:v>
                </c:pt>
                <c:pt idx="942">
                  <c:v>47.134800000001526</c:v>
                </c:pt>
                <c:pt idx="943">
                  <c:v>47.134900000001529</c:v>
                </c:pt>
                <c:pt idx="944">
                  <c:v>47.135000000001533</c:v>
                </c:pt>
                <c:pt idx="945">
                  <c:v>47.135100000001536</c:v>
                </c:pt>
                <c:pt idx="946">
                  <c:v>47.135200000001539</c:v>
                </c:pt>
                <c:pt idx="947">
                  <c:v>47.135300000001543</c:v>
                </c:pt>
                <c:pt idx="948">
                  <c:v>47.135400000001546</c:v>
                </c:pt>
                <c:pt idx="949">
                  <c:v>47.135500000001549</c:v>
                </c:pt>
                <c:pt idx="950">
                  <c:v>47.135600000001553</c:v>
                </c:pt>
                <c:pt idx="951">
                  <c:v>47.135700000001556</c:v>
                </c:pt>
                <c:pt idx="952">
                  <c:v>47.135800000001559</c:v>
                </c:pt>
                <c:pt idx="953">
                  <c:v>47.135900000001563</c:v>
                </c:pt>
                <c:pt idx="954">
                  <c:v>47.136000000001566</c:v>
                </c:pt>
                <c:pt idx="955">
                  <c:v>47.136100000001569</c:v>
                </c:pt>
                <c:pt idx="956">
                  <c:v>47.136200000001573</c:v>
                </c:pt>
                <c:pt idx="957">
                  <c:v>47.136300000001576</c:v>
                </c:pt>
                <c:pt idx="958">
                  <c:v>47.136400000001579</c:v>
                </c:pt>
                <c:pt idx="959">
                  <c:v>47.136500000001583</c:v>
                </c:pt>
                <c:pt idx="960">
                  <c:v>47.136600000001586</c:v>
                </c:pt>
                <c:pt idx="961">
                  <c:v>47.136700000001589</c:v>
                </c:pt>
                <c:pt idx="962">
                  <c:v>47.136800000001593</c:v>
                </c:pt>
                <c:pt idx="963">
                  <c:v>47.136900000001596</c:v>
                </c:pt>
                <c:pt idx="964">
                  <c:v>47.137000000001599</c:v>
                </c:pt>
                <c:pt idx="965">
                  <c:v>47.137100000001602</c:v>
                </c:pt>
                <c:pt idx="966">
                  <c:v>47.137200000001606</c:v>
                </c:pt>
                <c:pt idx="967">
                  <c:v>47.137300000001609</c:v>
                </c:pt>
                <c:pt idx="968">
                  <c:v>47.137400000001612</c:v>
                </c:pt>
                <c:pt idx="969">
                  <c:v>47.137500000001616</c:v>
                </c:pt>
                <c:pt idx="970">
                  <c:v>47.137600000001619</c:v>
                </c:pt>
                <c:pt idx="971">
                  <c:v>47.137700000001622</c:v>
                </c:pt>
                <c:pt idx="972">
                  <c:v>47.137800000001626</c:v>
                </c:pt>
                <c:pt idx="973">
                  <c:v>47.137900000001629</c:v>
                </c:pt>
                <c:pt idx="974">
                  <c:v>47.138000000001632</c:v>
                </c:pt>
                <c:pt idx="975">
                  <c:v>47.138100000001636</c:v>
                </c:pt>
                <c:pt idx="976">
                  <c:v>47.138200000001639</c:v>
                </c:pt>
                <c:pt idx="977">
                  <c:v>47.138300000001642</c:v>
                </c:pt>
                <c:pt idx="978">
                  <c:v>47.138400000001646</c:v>
                </c:pt>
                <c:pt idx="979">
                  <c:v>47.138500000001649</c:v>
                </c:pt>
                <c:pt idx="980">
                  <c:v>47.138600000001652</c:v>
                </c:pt>
                <c:pt idx="981">
                  <c:v>47.138700000001656</c:v>
                </c:pt>
                <c:pt idx="982">
                  <c:v>47.138800000001659</c:v>
                </c:pt>
                <c:pt idx="983">
                  <c:v>47.138900000001662</c:v>
                </c:pt>
                <c:pt idx="984">
                  <c:v>47.139000000001666</c:v>
                </c:pt>
                <c:pt idx="985">
                  <c:v>47.139100000001669</c:v>
                </c:pt>
                <c:pt idx="986">
                  <c:v>47.139200000001672</c:v>
                </c:pt>
                <c:pt idx="987">
                  <c:v>47.139300000001676</c:v>
                </c:pt>
                <c:pt idx="988">
                  <c:v>47.139400000001679</c:v>
                </c:pt>
                <c:pt idx="989">
                  <c:v>47.139500000001682</c:v>
                </c:pt>
                <c:pt idx="990">
                  <c:v>47.139600000001685</c:v>
                </c:pt>
                <c:pt idx="991">
                  <c:v>47.139700000001689</c:v>
                </c:pt>
                <c:pt idx="992">
                  <c:v>47.139800000001692</c:v>
                </c:pt>
                <c:pt idx="993">
                  <c:v>47.139900000001695</c:v>
                </c:pt>
                <c:pt idx="994">
                  <c:v>47.140000000001699</c:v>
                </c:pt>
                <c:pt idx="995">
                  <c:v>47.140100000001702</c:v>
                </c:pt>
                <c:pt idx="996">
                  <c:v>47.140200000001705</c:v>
                </c:pt>
                <c:pt idx="997">
                  <c:v>47.140300000001709</c:v>
                </c:pt>
                <c:pt idx="998">
                  <c:v>47.140400000001712</c:v>
                </c:pt>
                <c:pt idx="999">
                  <c:v>47.140500000001715</c:v>
                </c:pt>
                <c:pt idx="1000">
                  <c:v>47.140600000001719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883.12</c:v>
                </c:pt>
                <c:pt idx="1">
                  <c:v>885.04722432312724</c:v>
                </c:pt>
                <c:pt idx="2">
                  <c:v>886.97705860169447</c:v>
                </c:pt>
                <c:pt idx="3">
                  <c:v>888.91357576788494</c:v>
                </c:pt>
                <c:pt idx="4">
                  <c:v>890.85751191203963</c:v>
                </c:pt>
                <c:pt idx="5">
                  <c:v>892.80815548327644</c:v>
                </c:pt>
                <c:pt idx="6">
                  <c:v>894.76523589599708</c:v>
                </c:pt>
                <c:pt idx="7">
                  <c:v>896.72870302692411</c:v>
                </c:pt>
                <c:pt idx="8">
                  <c:v>898.6985067595491</c:v>
                </c:pt>
                <c:pt idx="9">
                  <c:v>900.67459698553307</c:v>
                </c:pt>
                <c:pt idx="10">
                  <c:v>902.65692360609626</c:v>
                </c:pt>
                <c:pt idx="11">
                  <c:v>904.64543653339706</c:v>
                </c:pt>
                <c:pt idx="12">
                  <c:v>906.64008569189991</c:v>
                </c:pt>
                <c:pt idx="13">
                  <c:v>908.6408210197327</c:v>
                </c:pt>
                <c:pt idx="14">
                  <c:v>910.64759247003269</c:v>
                </c:pt>
                <c:pt idx="15">
                  <c:v>912.66035001228204</c:v>
                </c:pt>
                <c:pt idx="16">
                  <c:v>914.67904363363164</c:v>
                </c:pt>
                <c:pt idx="17">
                  <c:v>916.70362334021422</c:v>
                </c:pt>
                <c:pt idx="18">
                  <c:v>918.73403915844608</c:v>
                </c:pt>
                <c:pt idx="19">
                  <c:v>920.77024113631762</c:v>
                </c:pt>
                <c:pt idx="20">
                  <c:v>922.81217934467247</c:v>
                </c:pt>
                <c:pt idx="21">
                  <c:v>924.8598038784753</c:v>
                </c:pt>
                <c:pt idx="22">
                  <c:v>926.91306485806865</c:v>
                </c:pt>
                <c:pt idx="23">
                  <c:v>928.97191243041732</c:v>
                </c:pt>
                <c:pt idx="24">
                  <c:v>931.03629677034246</c:v>
                </c:pt>
                <c:pt idx="25">
                  <c:v>933.10616808174314</c:v>
                </c:pt>
                <c:pt idx="26">
                  <c:v>935.18147659880708</c:v>
                </c:pt>
                <c:pt idx="27">
                  <c:v>937.26217258720931</c:v>
                </c:pt>
                <c:pt idx="28">
                  <c:v>939.34820634529933</c:v>
                </c:pt>
                <c:pt idx="29">
                  <c:v>941.4395282052767</c:v>
                </c:pt>
                <c:pt idx="30">
                  <c:v>943.5360885343548</c:v>
                </c:pt>
                <c:pt idx="31">
                  <c:v>945.63783773591297</c:v>
                </c:pt>
                <c:pt idx="32">
                  <c:v>947.74472625063686</c:v>
                </c:pt>
                <c:pt idx="33">
                  <c:v>949.85670455764671</c:v>
                </c:pt>
                <c:pt idx="34">
                  <c:v>951.9737231756144</c:v>
                </c:pt>
                <c:pt idx="35">
                  <c:v>954.09573266386826</c:v>
                </c:pt>
                <c:pt idx="36">
                  <c:v>956.2226836234862</c:v>
                </c:pt>
                <c:pt idx="37">
                  <c:v>958.35452669837684</c:v>
                </c:pt>
                <c:pt idx="38">
                  <c:v>960.49121257634874</c:v>
                </c:pt>
                <c:pt idx="39">
                  <c:v>962.63269199016815</c:v>
                </c:pt>
                <c:pt idx="40">
                  <c:v>964.77891571860437</c:v>
                </c:pt>
                <c:pt idx="41">
                  <c:v>966.92983458746357</c:v>
                </c:pt>
                <c:pt idx="42">
                  <c:v>969.08539947061024</c:v>
                </c:pt>
                <c:pt idx="43">
                  <c:v>971.24556129097732</c:v>
                </c:pt>
                <c:pt idx="44">
                  <c:v>973.41027102156386</c:v>
                </c:pt>
                <c:pt idx="45">
                  <c:v>975.57947968642122</c:v>
                </c:pt>
                <c:pt idx="46">
                  <c:v>977.75313836162695</c:v>
                </c:pt>
                <c:pt idx="47">
                  <c:v>979.93119817624688</c:v>
                </c:pt>
                <c:pt idx="48">
                  <c:v>982.11361031328556</c:v>
                </c:pt>
                <c:pt idx="49">
                  <c:v>984.30032601062419</c:v>
                </c:pt>
                <c:pt idx="50">
                  <c:v>986.49129656194725</c:v>
                </c:pt>
                <c:pt idx="51">
                  <c:v>988.68647331765692</c:v>
                </c:pt>
                <c:pt idx="52">
                  <c:v>990.8858076857756</c:v>
                </c:pt>
                <c:pt idx="53">
                  <c:v>993.08925113283669</c:v>
                </c:pt>
                <c:pt idx="54">
                  <c:v>995.29675518476324</c:v>
                </c:pt>
                <c:pt idx="55">
                  <c:v>997.50827142773494</c:v>
                </c:pt>
                <c:pt idx="56">
                  <c:v>999.72375150904361</c:v>
                </c:pt>
                <c:pt idx="57">
                  <c:v>1001.943147137936</c:v>
                </c:pt>
                <c:pt idx="58">
                  <c:v>1004.1664100864454</c:v>
                </c:pt>
                <c:pt idx="59">
                  <c:v>1006.3934921902115</c:v>
                </c:pt>
                <c:pt idx="60">
                  <c:v>1008.6243453492887</c:v>
                </c:pt>
                <c:pt idx="61">
                  <c:v>1010.8589215289412</c:v>
                </c:pt>
                <c:pt idx="62">
                  <c:v>1013.0971727604286</c:v>
                </c:pt>
                <c:pt idx="63">
                  <c:v>1015.3390318025245</c:v>
                </c:pt>
                <c:pt idx="64">
                  <c:v>1017.5843928270252</c:v>
                </c:pt>
                <c:pt idx="65">
                  <c:v>1019.833130822696</c:v>
                </c:pt>
                <c:pt idx="66">
                  <c:v>1022.0851209765161</c:v>
                </c:pt>
                <c:pt idx="67">
                  <c:v>1024.3402209400624</c:v>
                </c:pt>
                <c:pt idx="68">
                  <c:v>1026.5982531205573</c:v>
                </c:pt>
                <c:pt idx="69">
                  <c:v>1028.8589909307138</c:v>
                </c:pt>
                <c:pt idx="70">
                  <c:v>1031.1221450639896</c:v>
                </c:pt>
                <c:pt idx="71">
                  <c:v>1033.3873951758574</c:v>
                </c:pt>
                <c:pt idx="72">
                  <c:v>1035.6544215218846</c:v>
                </c:pt>
                <c:pt idx="73">
                  <c:v>1037.9229049746293</c:v>
                </c:pt>
                <c:pt idx="74">
                  <c:v>1040.1925270400793</c:v>
                </c:pt>
                <c:pt idx="75">
                  <c:v>1042.4629698736403</c:v>
                </c:pt>
                <c:pt idx="76">
                  <c:v>1044.7339162956689</c:v>
                </c:pt>
                <c:pt idx="77">
                  <c:v>1047.0050498065548</c:v>
                </c:pt>
                <c:pt idx="78">
                  <c:v>1049.2760546013526</c:v>
                </c:pt>
                <c:pt idx="79">
                  <c:v>1051.5466155839638</c:v>
                </c:pt>
                <c:pt idx="80">
                  <c:v>1053.816418380871</c:v>
                </c:pt>
                <c:pt idx="81">
                  <c:v>1056.0851869221869</c:v>
                </c:pt>
                <c:pt idx="82">
                  <c:v>1058.3527209342972</c:v>
                </c:pt>
                <c:pt idx="83">
                  <c:v>1060.6188581959623</c:v>
                </c:pt>
                <c:pt idx="84">
                  <c:v>1062.8834368772511</c:v>
                </c:pt>
                <c:pt idx="85">
                  <c:v>1065.1462955418474</c:v>
                </c:pt>
                <c:pt idx="86">
                  <c:v>1067.407273149242</c:v>
                </c:pt>
                <c:pt idx="87">
                  <c:v>1069.6662090568143</c:v>
                </c:pt>
                <c:pt idx="88">
                  <c:v>1071.9229430218022</c:v>
                </c:pt>
                <c:pt idx="89">
                  <c:v>1074.1773270758865</c:v>
                </c:pt>
                <c:pt idx="90">
                  <c:v>1076.4292373693206</c:v>
                </c:pt>
                <c:pt idx="91">
                  <c:v>1078.6785622371956</c:v>
                </c:pt>
                <c:pt idx="92">
                  <c:v>1080.9251902953195</c:v>
                </c:pt>
                <c:pt idx="93">
                  <c:v>1083.169013409248</c:v>
                </c:pt>
                <c:pt idx="94">
                  <c:v>1085.409929655468</c:v>
                </c:pt>
                <c:pt idx="95">
                  <c:v>1087.6478403367792</c:v>
                </c:pt>
                <c:pt idx="96">
                  <c:v>1089.8826470053405</c:v>
                </c:pt>
                <c:pt idx="97">
                  <c:v>1092.1142633392501</c:v>
                </c:pt>
                <c:pt idx="98">
                  <c:v>1094.3426269871832</c:v>
                </c:pt>
                <c:pt idx="99">
                  <c:v>1096.5676876270061</c:v>
                </c:pt>
                <c:pt idx="100">
                  <c:v>1098.7893950561586</c:v>
                </c:pt>
                <c:pt idx="101">
                  <c:v>1101.0076991911692</c:v>
                </c:pt>
                <c:pt idx="102">
                  <c:v>1103.2225500671618</c:v>
                </c:pt>
                <c:pt idx="103">
                  <c:v>1105.4338978373573</c:v>
                </c:pt>
                <c:pt idx="104">
                  <c:v>1107.6416927725677</c:v>
                </c:pt>
                <c:pt idx="105">
                  <c:v>1109.8458852606839</c:v>
                </c:pt>
                <c:pt idx="106">
                  <c:v>1112.0464258061577</c:v>
                </c:pt>
                <c:pt idx="107">
                  <c:v>1114.2432650294772</c:v>
                </c:pt>
                <c:pt idx="108">
                  <c:v>1116.4363536666356</c:v>
                </c:pt>
                <c:pt idx="109">
                  <c:v>1118.6256574154115</c:v>
                </c:pt>
                <c:pt idx="110">
                  <c:v>1120.8111717407921</c:v>
                </c:pt>
                <c:pt idx="111">
                  <c:v>1122.9929069464865</c:v>
                </c:pt>
                <c:pt idx="112">
                  <c:v>1125.170873287718</c:v>
                </c:pt>
                <c:pt idx="113">
                  <c:v>1127.3450809715271</c:v>
                </c:pt>
                <c:pt idx="114">
                  <c:v>1129.5155401570737</c:v>
                </c:pt>
                <c:pt idx="115">
                  <c:v>1131.6822609559365</c:v>
                </c:pt>
                <c:pt idx="116">
                  <c:v>1133.8452534324097</c:v>
                </c:pt>
                <c:pt idx="117">
                  <c:v>1136.004527603797</c:v>
                </c:pt>
                <c:pt idx="118">
                  <c:v>1138.1600934407049</c:v>
                </c:pt>
                <c:pt idx="119">
                  <c:v>1140.3119608673319</c:v>
                </c:pt>
                <c:pt idx="120">
                  <c:v>1142.460139761756</c:v>
                </c:pt>
                <c:pt idx="121">
                  <c:v>1144.604639956221</c:v>
                </c:pt>
                <c:pt idx="122">
                  <c:v>1146.745471237419</c:v>
                </c:pt>
                <c:pt idx="123">
                  <c:v>1148.8826433467716</c:v>
                </c:pt>
                <c:pt idx="124">
                  <c:v>1151.016165980709</c:v>
                </c:pt>
                <c:pt idx="125">
                  <c:v>1153.1460487909465</c:v>
                </c:pt>
                <c:pt idx="126">
                  <c:v>1155.2723013847583</c:v>
                </c:pt>
                <c:pt idx="127">
                  <c:v>1157.3949333252515</c:v>
                </c:pt>
                <c:pt idx="128">
                  <c:v>1159.513954131635</c:v>
                </c:pt>
                <c:pt idx="129">
                  <c:v>1161.6293732794886</c:v>
                </c:pt>
                <c:pt idx="130">
                  <c:v>1163.7412002010285</c:v>
                </c:pt>
                <c:pt idx="131">
                  <c:v>1165.8494442853716</c:v>
                </c:pt>
                <c:pt idx="132">
                  <c:v>1167.954114878798</c:v>
                </c:pt>
                <c:pt idx="133">
                  <c:v>1170.0552212850107</c:v>
                </c:pt>
                <c:pt idx="134">
                  <c:v>1172.1527727653938</c:v>
                </c:pt>
                <c:pt idx="135">
                  <c:v>1174.2467785392687</c:v>
                </c:pt>
                <c:pt idx="136">
                  <c:v>1176.3372477841481</c:v>
                </c:pt>
                <c:pt idx="137">
                  <c:v>1178.4241896359883</c:v>
                </c:pt>
                <c:pt idx="138">
                  <c:v>1180.50761318944</c:v>
                </c:pt>
                <c:pt idx="139">
                  <c:v>1182.5875274980956</c:v>
                </c:pt>
                <c:pt idx="140">
                  <c:v>1184.6639415747372</c:v>
                </c:pt>
                <c:pt idx="141">
                  <c:v>1186.7368643915802</c:v>
                </c:pt>
                <c:pt idx="142">
                  <c:v>1188.8063048805163</c:v>
                </c:pt>
                <c:pt idx="143">
                  <c:v>1190.8722719333553</c:v>
                </c:pt>
                <c:pt idx="144">
                  <c:v>1192.9347744020629</c:v>
                </c:pt>
                <c:pt idx="145">
                  <c:v>1194.9938210989997</c:v>
                </c:pt>
                <c:pt idx="146">
                  <c:v>1197.0494207971553</c:v>
                </c:pt>
                <c:pt idx="147">
                  <c:v>1199.1015822303834</c:v>
                </c:pt>
                <c:pt idx="148">
                  <c:v>1201.1503140936331</c:v>
                </c:pt>
                <c:pt idx="149">
                  <c:v>1203.1956250431795</c:v>
                </c:pt>
                <c:pt idx="150">
                  <c:v>1205.2375236968523</c:v>
                </c:pt>
                <c:pt idx="151">
                  <c:v>1207.2760186342632</c:v>
                </c:pt>
                <c:pt idx="152">
                  <c:v>1209.3111183970304</c:v>
                </c:pt>
                <c:pt idx="153">
                  <c:v>1211.3428314890027</c:v>
                </c:pt>
                <c:pt idx="154">
                  <c:v>1213.3711663764814</c:v>
                </c:pt>
                <c:pt idx="155">
                  <c:v>1215.3961314884402</c:v>
                </c:pt>
                <c:pt idx="156">
                  <c:v>1217.4177352167449</c:v>
                </c:pt>
                <c:pt idx="157">
                  <c:v>1219.4359859163685</c:v>
                </c:pt>
                <c:pt idx="158">
                  <c:v>1221.4508919056091</c:v>
                </c:pt>
                <c:pt idx="159">
                  <c:v>1223.4624614663016</c:v>
                </c:pt>
                <c:pt idx="160">
                  <c:v>1225.4707028440314</c:v>
                </c:pt>
                <c:pt idx="161">
                  <c:v>1227.4756242483445</c:v>
                </c:pt>
                <c:pt idx="162">
                  <c:v>1229.4772338529569</c:v>
                </c:pt>
                <c:pt idx="163">
                  <c:v>1231.475539795962</c:v>
                </c:pt>
                <c:pt idx="164">
                  <c:v>1233.4705501800372</c:v>
                </c:pt>
                <c:pt idx="165">
                  <c:v>1235.4622730726483</c:v>
                </c:pt>
                <c:pt idx="166">
                  <c:v>1237.4507165062523</c:v>
                </c:pt>
                <c:pt idx="167">
                  <c:v>1239.4358884784997</c:v>
                </c:pt>
                <c:pt idx="168">
                  <c:v>1241.4177969524344</c:v>
                </c:pt>
                <c:pt idx="169">
                  <c:v>1243.3964498566927</c:v>
                </c:pt>
                <c:pt idx="170">
                  <c:v>1245.3718550857</c:v>
                </c:pt>
                <c:pt idx="171">
                  <c:v>1247.3440204998674</c:v>
                </c:pt>
                <c:pt idx="172">
                  <c:v>1249.3129539257861</c:v>
                </c:pt>
                <c:pt idx="173">
                  <c:v>1251.27866315642</c:v>
                </c:pt>
                <c:pt idx="174">
                  <c:v>1253.2411559512975</c:v>
                </c:pt>
                <c:pt idx="175">
                  <c:v>1255.2004400367025</c:v>
                </c:pt>
                <c:pt idx="176">
                  <c:v>1257.1565231058626</c:v>
                </c:pt>
                <c:pt idx="177">
                  <c:v>1259.1094128191369</c:v>
                </c:pt>
                <c:pt idx="178">
                  <c:v>1261.0591168042026</c:v>
                </c:pt>
                <c:pt idx="179">
                  <c:v>1263.0056426562394</c:v>
                </c:pt>
                <c:pt idx="180">
                  <c:v>1264.9489979381133</c:v>
                </c:pt>
                <c:pt idx="181">
                  <c:v>1266.8891901805591</c:v>
                </c:pt>
                <c:pt idx="182">
                  <c:v>1268.8262268823614</c:v>
                </c:pt>
                <c:pt idx="183">
                  <c:v>1270.760115510534</c:v>
                </c:pt>
                <c:pt idx="184">
                  <c:v>1272.6908635004984</c:v>
                </c:pt>
                <c:pt idx="185">
                  <c:v>1274.6184782562614</c:v>
                </c:pt>
                <c:pt idx="186">
                  <c:v>1276.5429671505906</c:v>
                </c:pt>
                <c:pt idx="187">
                  <c:v>1278.4643375251894</c:v>
                </c:pt>
                <c:pt idx="188">
                  <c:v>1280.3825966908701</c:v>
                </c:pt>
                <c:pt idx="189">
                  <c:v>1282.297751927726</c:v>
                </c:pt>
                <c:pt idx="190">
                  <c:v>1284.2098104853035</c:v>
                </c:pt>
                <c:pt idx="191">
                  <c:v>1286.1187795827707</c:v>
                </c:pt>
                <c:pt idx="192">
                  <c:v>1288.0246664090866</c:v>
                </c:pt>
                <c:pt idx="193">
                  <c:v>1289.9274781231684</c:v>
                </c:pt>
                <c:pt idx="194">
                  <c:v>1291.8272218540578</c:v>
                </c:pt>
                <c:pt idx="195">
                  <c:v>1293.7239047010867</c:v>
                </c:pt>
                <c:pt idx="196">
                  <c:v>1295.6175337340399</c:v>
                </c:pt>
                <c:pt idx="197">
                  <c:v>1297.5081159933188</c:v>
                </c:pt>
                <c:pt idx="198">
                  <c:v>1299.3956584901036</c:v>
                </c:pt>
                <c:pt idx="199">
                  <c:v>1301.2801682065126</c:v>
                </c:pt>
                <c:pt idx="200">
                  <c:v>1303.1616520957625</c:v>
                </c:pt>
                <c:pt idx="201">
                  <c:v>1321.810606818723</c:v>
                </c:pt>
                <c:pt idx="202">
                  <c:v>1340.1614272177399</c:v>
                </c:pt>
                <c:pt idx="203">
                  <c:v>1358.2207960033118</c:v>
                </c:pt>
                <c:pt idx="204">
                  <c:v>1375.9951268880332</c:v>
                </c:pt>
                <c:pt idx="205">
                  <c:v>1393.4905787635607</c:v>
                </c:pt>
                <c:pt idx="206">
                  <c:v>1410.7130689442679</c:v>
                </c:pt>
                <c:pt idx="207">
                  <c:v>1427.6682855506911</c:v>
                </c:pt>
                <c:pt idx="208">
                  <c:v>1444.3616990992514</c:v>
                </c:pt>
                <c:pt idx="209">
                  <c:v>1460.798573358793</c:v>
                </c:pt>
                <c:pt idx="210">
                  <c:v>1476.9839755291316</c:v>
                </c:pt>
                <c:pt idx="211">
                  <c:v>1492.9227857920046</c:v>
                </c:pt>
                <c:pt idx="212">
                  <c:v>1508.6197062804756</c:v>
                </c:pt>
                <c:pt idx="213">
                  <c:v>1524.0792695089358</c:v>
                </c:pt>
                <c:pt idx="214">
                  <c:v>1539.3058463023081</c:v>
                </c:pt>
                <c:pt idx="215">
                  <c:v>1554.3036532598612</c:v>
                </c:pt>
                <c:pt idx="216">
                  <c:v>1569.0767597861413</c:v>
                </c:pt>
                <c:pt idx="217">
                  <c:v>1583.6290947188966</c:v>
                </c:pt>
                <c:pt idx="218">
                  <c:v>1597.9644525814851</c:v>
                </c:pt>
                <c:pt idx="219">
                  <c:v>1612.0864994850797</c:v>
                </c:pt>
                <c:pt idx="220">
                  <c:v>1625.9987787040059</c:v>
                </c:pt>
                <c:pt idx="221">
                  <c:v>1639.7047159457502</c:v>
                </c:pt>
                <c:pt idx="222">
                  <c:v>1653.2076243355259</c:v>
                </c:pt>
                <c:pt idx="223">
                  <c:v>1666.5107091337838</c:v>
                </c:pt>
                <c:pt idx="224">
                  <c:v>1679.6170722036809</c:v>
                </c:pt>
                <c:pt idx="225">
                  <c:v>1692.5297162442623</c:v>
                </c:pt>
                <c:pt idx="226">
                  <c:v>1705.251548803961</c:v>
                </c:pt>
                <c:pt idx="227">
                  <c:v>1717.7853860879609</c:v>
                </c:pt>
                <c:pt idx="228">
                  <c:v>1730.1339565720009</c:v>
                </c:pt>
                <c:pt idx="229">
                  <c:v>1742.2999044343069</c:v>
                </c:pt>
                <c:pt idx="230">
                  <c:v>1754.285792816517</c:v>
                </c:pt>
                <c:pt idx="231">
                  <c:v>1766.0941069237124</c:v>
                </c:pt>
                <c:pt idx="232">
                  <c:v>1777.7272569729721</c:v>
                </c:pt>
                <c:pt idx="233">
                  <c:v>1789.1875809992273</c:v>
                </c:pt>
                <c:pt idx="234">
                  <c:v>1800.4773475266006</c:v>
                </c:pt>
                <c:pt idx="235">
                  <c:v>1811.5987581128704</c:v>
                </c:pt>
                <c:pt idx="236">
                  <c:v>1822.5539497741931</c:v>
                </c:pt>
                <c:pt idx="237">
                  <c:v>1833.3449972967521</c:v>
                </c:pt>
                <c:pt idx="238">
                  <c:v>1843.9739154415688</c:v>
                </c:pt>
                <c:pt idx="239">
                  <c:v>1854.442661048309</c:v>
                </c:pt>
                <c:pt idx="240">
                  <c:v>1864.7531350435495</c:v>
                </c:pt>
                <c:pt idx="241">
                  <c:v>1874.9071843586241</c:v>
                </c:pt>
                <c:pt idx="242">
                  <c:v>1884.9066037618463</c:v>
                </c:pt>
                <c:pt idx="243">
                  <c:v>1894.7531376096131</c:v>
                </c:pt>
                <c:pt idx="244">
                  <c:v>1904.4484815206142</c:v>
                </c:pt>
                <c:pt idx="245">
                  <c:v>1913.9942839771147</c:v>
                </c:pt>
                <c:pt idx="246">
                  <c:v>1923.3921478570421</c:v>
                </c:pt>
                <c:pt idx="247">
                  <c:v>1932.6436319003826</c:v>
                </c:pt>
                <c:pt idx="248">
                  <c:v>1941.7502521131855</c:v>
                </c:pt>
                <c:pt idx="249">
                  <c:v>1950.7134831122814</c:v>
                </c:pt>
                <c:pt idx="250">
                  <c:v>1959.5347594136358</c:v>
                </c:pt>
                <c:pt idx="251">
                  <c:v>1968.215476667094</c:v>
                </c:pt>
                <c:pt idx="252">
                  <c:v>1976.7569928401142</c:v>
                </c:pt>
                <c:pt idx="253">
                  <c:v>1985.1606293529376</c:v>
                </c:pt>
                <c:pt idx="254">
                  <c:v>1993.427672167506</c:v>
                </c:pt>
                <c:pt idx="255">
                  <c:v>2001.559372832309</c:v>
                </c:pt>
                <c:pt idx="256">
                  <c:v>2009.5569494852223</c:v>
                </c:pt>
                <c:pt idx="257">
                  <c:v>2017.4215878162811</c:v>
                </c:pt>
                <c:pt idx="258">
                  <c:v>2025.1544419922341</c:v>
                </c:pt>
                <c:pt idx="259">
                  <c:v>2032.756635544614</c:v>
                </c:pt>
                <c:pt idx="260">
                  <c:v>2040.2292622229759</c:v>
                </c:pt>
                <c:pt idx="261">
                  <c:v>2047.5733868148602</c:v>
                </c:pt>
                <c:pt idx="262">
                  <c:v>2054.7900459339589</c:v>
                </c:pt>
                <c:pt idx="263">
                  <c:v>2061.8802487778826</c:v>
                </c:pt>
                <c:pt idx="264">
                  <c:v>2068.8449778568552</c:v>
                </c:pt>
                <c:pt idx="265">
                  <c:v>2075.6851896945946</c:v>
                </c:pt>
                <c:pt idx="266">
                  <c:v>2082.4018155025728</c:v>
                </c:pt>
                <c:pt idx="267">
                  <c:v>2088.9957618287845</c:v>
                </c:pt>
                <c:pt idx="268">
                  <c:v>2095.4679111821029</c:v>
                </c:pt>
                <c:pt idx="269">
                  <c:v>2101.8191226332438</c:v>
                </c:pt>
                <c:pt idx="270">
                  <c:v>2108.0502323933056</c:v>
                </c:pt>
                <c:pt idx="271">
                  <c:v>2114.1620543708113</c:v>
                </c:pt>
                <c:pt idx="272">
                  <c:v>2120.1553807081273</c:v>
                </c:pt>
                <c:pt idx="273">
                  <c:v>2126.0309822980985</c:v>
                </c:pt>
                <c:pt idx="274">
                  <c:v>2131.7896092816891</c:v>
                </c:pt>
                <c:pt idx="275">
                  <c:v>2137.4319915273945</c:v>
                </c:pt>
                <c:pt idx="276">
                  <c:v>2142.9588390931394</c:v>
                </c:pt>
                <c:pt idx="277">
                  <c:v>2148.3708426713565</c:v>
                </c:pt>
                <c:pt idx="278">
                  <c:v>2153.668674017902</c:v>
                </c:pt>
                <c:pt idx="279">
                  <c:v>2158.8529863654367</c:v>
                </c:pt>
                <c:pt idx="280">
                  <c:v>2163.9244148218731</c:v>
                </c:pt>
                <c:pt idx="281">
                  <c:v>2168.883576754466</c:v>
                </c:pt>
                <c:pt idx="282">
                  <c:v>2173.7310721600943</c:v>
                </c:pt>
                <c:pt idx="283">
                  <c:v>2178.4674840222692</c:v>
                </c:pt>
                <c:pt idx="284">
                  <c:v>2183.0933786553715</c:v>
                </c:pt>
                <c:pt idx="285">
                  <c:v>2187.609306036612</c:v>
                </c:pt>
                <c:pt idx="286">
                  <c:v>2192.0158001261852</c:v>
                </c:pt>
                <c:pt idx="287">
                  <c:v>2196.3133791760752</c:v>
                </c:pt>
                <c:pt idx="288">
                  <c:v>2200.5025460279553</c:v>
                </c:pt>
                <c:pt idx="289">
                  <c:v>2204.583788400616</c:v>
                </c:pt>
                <c:pt idx="290">
                  <c:v>2208.5575791673405</c:v>
                </c:pt>
                <c:pt idx="291">
                  <c:v>2212.4243766236432</c:v>
                </c:pt>
                <c:pt idx="292">
                  <c:v>2216.1846247457788</c:v>
                </c:pt>
                <c:pt idx="293">
                  <c:v>2219.8387534404292</c:v>
                </c:pt>
                <c:pt idx="294">
                  <c:v>2223.3871787859739</c:v>
                </c:pt>
                <c:pt idx="295">
                  <c:v>2226.8303032657491</c:v>
                </c:pt>
                <c:pt idx="296">
                  <c:v>2230.1685159937169</c:v>
                </c:pt>
                <c:pt idx="297">
                  <c:v>2233.4021929329665</c:v>
                </c:pt>
                <c:pt idx="298">
                  <c:v>2236.5316971074885</c:v>
                </c:pt>
                <c:pt idx="299">
                  <c:v>2239.5573788076913</c:v>
                </c:pt>
                <c:pt idx="300">
                  <c:v>2242.4795757901447</c:v>
                </c:pt>
                <c:pt idx="301">
                  <c:v>2245.2986134720795</c:v>
                </c:pt>
                <c:pt idx="302">
                  <c:v>2248.0148051212163</c:v>
                </c:pt>
                <c:pt idx="303">
                  <c:v>2250.6284520415493</c:v>
                </c:pt>
                <c:pt idx="304">
                  <c:v>2253.1398437557777</c:v>
                </c:pt>
                <c:pt idx="305">
                  <c:v>2255.5492581851718</c:v>
                </c:pt>
                <c:pt idx="306">
                  <c:v>2257.856961827747</c:v>
                </c:pt>
                <c:pt idx="307">
                  <c:v>2260.063209935754</c:v>
                </c:pt>
                <c:pt idx="308">
                  <c:v>2262.1682466936386</c:v>
                </c:pt>
                <c:pt idx="309">
                  <c:v>2264.1723053977998</c:v>
                </c:pt>
                <c:pt idx="310">
                  <c:v>2266.0756086396891</c:v>
                </c:pt>
                <c:pt idx="311">
                  <c:v>2267.8783684940418</c:v>
                </c:pt>
                <c:pt idx="312">
                  <c:v>2269.580786714329</c:v>
                </c:pt>
                <c:pt idx="313">
                  <c:v>2271.183054937856</c:v>
                </c:pt>
                <c:pt idx="314">
                  <c:v>2272.6853549033249</c:v>
                </c:pt>
                <c:pt idx="315">
                  <c:v>2274.0878586841172</c:v>
                </c:pt>
                <c:pt idx="316">
                  <c:v>2275.390728941039</c:v>
                </c:pt>
                <c:pt idx="317">
                  <c:v>2276.5941191987786</c:v>
                </c:pt>
                <c:pt idx="318">
                  <c:v>2277.6981741508475</c:v>
                </c:pt>
                <c:pt idx="319">
                  <c:v>2278.7030299982544</c:v>
                </c:pt>
                <c:pt idx="320">
                  <c:v>2279.6088148275594</c:v>
                </c:pt>
                <c:pt idx="321">
                  <c:v>2280.4156490341652</c:v>
                </c:pt>
                <c:pt idx="322">
                  <c:v>2281.1236457966493</c:v>
                </c:pt>
                <c:pt idx="323">
                  <c:v>2281.7329116074857</c:v>
                </c:pt>
                <c:pt idx="324">
                  <c:v>2282.2435468645308</c:v>
                </c:pt>
                <c:pt idx="325">
                  <c:v>2282.6556465260455</c:v>
                </c:pt>
                <c:pt idx="326">
                  <c:v>2282.9693008297431</c:v>
                </c:pt>
                <c:pt idx="327">
                  <c:v>2283.1845960734186</c:v>
                </c:pt>
                <c:pt idx="328">
                  <c:v>2283.3016154512825</c:v>
                </c:pt>
                <c:pt idx="329">
                  <c:v>2283.3204399364904</c:v>
                </c:pt>
                <c:pt idx="330">
                  <c:v>2283.2411491969215</c:v>
                </c:pt>
                <c:pt idx="331">
                  <c:v>2283.0638225284806</c:v>
                </c:pt>
                <c:pt idx="332">
                  <c:v>2282.7885397884984</c:v>
                </c:pt>
                <c:pt idx="333">
                  <c:v>2282.4153823114448</c:v>
                </c:pt>
                <c:pt idx="334">
                  <c:v>2281.9444337902323</c:v>
                </c:pt>
                <c:pt idx="335">
                  <c:v>2281.3757811086734</c:v>
                </c:pt>
                <c:pt idx="336">
                  <c:v>2280.7095151138346</c:v>
                </c:pt>
                <c:pt idx="337">
                  <c:v>2279.9457313206358</c:v>
                </c:pt>
                <c:pt idx="338">
                  <c:v>2279.084530544631</c:v>
                </c:pt>
                <c:pt idx="339">
                  <c:v>2278.1260194621332</c:v>
                </c:pt>
                <c:pt idx="340">
                  <c:v>2277.0703110994659</c:v>
                </c:pt>
                <c:pt idx="341">
                  <c:v>2275.9175252550676</c:v>
                </c:pt>
                <c:pt idx="342">
                  <c:v>2274.6677888594472</c:v>
                </c:pt>
                <c:pt idx="343">
                  <c:v>2273.3212362786703</c:v>
                </c:pt>
                <c:pt idx="344">
                  <c:v>2271.8780095672873</c:v>
                </c:pt>
                <c:pt idx="345">
                  <c:v>2270.338258676501</c:v>
                </c:pt>
                <c:pt idx="346">
                  <c:v>2268.7021416230377</c:v>
                </c:pt>
                <c:pt idx="347">
                  <c:v>2266.9698246237276</c:v>
                </c:pt>
                <c:pt idx="348">
                  <c:v>2265.1414822002776</c:v>
                </c:pt>
                <c:pt idx="349">
                  <c:v>2263.2172972581839</c:v>
                </c:pt>
                <c:pt idx="350">
                  <c:v>2261.1974611432306</c:v>
                </c:pt>
                <c:pt idx="351">
                  <c:v>2259.0821736785319</c:v>
                </c:pt>
                <c:pt idx="352">
                  <c:v>2256.871643184671</c:v>
                </c:pt>
                <c:pt idx="353">
                  <c:v>2254.566086485097</c:v>
                </c:pt>
                <c:pt idx="354">
                  <c:v>2252.165728898628</c:v>
                </c:pt>
                <c:pt idx="355">
                  <c:v>2249.6708042206305</c:v>
                </c:pt>
                <c:pt idx="356">
                  <c:v>2247.081554694199</c:v>
                </c:pt>
                <c:pt idx="357">
                  <c:v>2244.3982309724734</c:v>
                </c:pt>
                <c:pt idx="358">
                  <c:v>2241.6210920730496</c:v>
                </c:pt>
                <c:pt idx="359">
                  <c:v>2238.7504053253087</c:v>
                </c:pt>
                <c:pt idx="360">
                  <c:v>2235.7864463113642</c:v>
                </c:pt>
                <c:pt idx="361">
                  <c:v>2232.7294988012286</c:v>
                </c:pt>
                <c:pt idx="362">
                  <c:v>2229.5798546827214</c:v>
                </c:pt>
                <c:pt idx="363">
                  <c:v>2226.3378138865673</c:v>
                </c:pt>
                <c:pt idx="364">
                  <c:v>2223.003684307077</c:v>
                </c:pt>
                <c:pt idx="365">
                  <c:v>2219.5777817187527</c:v>
                </c:pt>
                <c:pt idx="366">
                  <c:v>2216.0604296891224</c:v>
                </c:pt>
                <c:pt idx="367">
                  <c:v>2212.4519594880717</c:v>
                </c:pt>
                <c:pt idx="368">
                  <c:v>2208.7527099939125</c:v>
                </c:pt>
                <c:pt idx="369">
                  <c:v>2204.9630275964028</c:v>
                </c:pt>
                <c:pt idx="370">
                  <c:v>2201.0832660969149</c:v>
                </c:pt>
                <c:pt idx="371">
                  <c:v>2197.1137866059294</c:v>
                </c:pt>
                <c:pt idx="372">
                  <c:v>2193.054957438017</c:v>
                </c:pt>
                <c:pt idx="373">
                  <c:v>2188.907154004462</c:v>
                </c:pt>
                <c:pt idx="374">
                  <c:v>2184.6707587036653</c:v>
                </c:pt>
                <c:pt idx="375">
                  <c:v>2180.3461608094613</c:v>
                </c:pt>
                <c:pt idx="376">
                  <c:v>2175.9337563574682</c:v>
                </c:pt>
                <c:pt idx="377">
                  <c:v>2171.4339480295962</c:v>
                </c:pt>
                <c:pt idx="378">
                  <c:v>2166.847145036817</c:v>
                </c:pt>
                <c:pt idx="379">
                  <c:v>2162.173763000309</c:v>
                </c:pt>
                <c:pt idx="380">
                  <c:v>2157.4142238310751</c:v>
                </c:pt>
                <c:pt idx="381">
                  <c:v>2152.5689556081361</c:v>
                </c:pt>
                <c:pt idx="382">
                  <c:v>2147.6383924553911</c:v>
                </c:pt>
                <c:pt idx="383">
                  <c:v>2142.6229744172433</c:v>
                </c:pt>
                <c:pt idx="384">
                  <c:v>2137.5231473330741</c:v>
                </c:pt>
                <c:pt idx="385">
                  <c:v>2132.3393627106616</c:v>
                </c:pt>
                <c:pt idx="386">
                  <c:v>2127.0720775986201</c:v>
                </c:pt>
                <c:pt idx="387">
                  <c:v>2121.7217544579544</c:v>
                </c:pt>
                <c:pt idx="388">
                  <c:v>2116.2888610328005</c:v>
                </c:pt>
                <c:pt idx="389">
                  <c:v>2110.7738702204433</c:v>
                </c:pt>
                <c:pt idx="390">
                  <c:v>2105.1772599406827</c:v>
                </c:pt>
                <c:pt idx="391">
                  <c:v>2099.4995130046282</c:v>
                </c:pt>
                <c:pt idx="392">
                  <c:v>2093.7411169829998</c:v>
                </c:pt>
                <c:pt idx="393">
                  <c:v>2087.9025640740069</c:v>
                </c:pt>
                <c:pt idx="394">
                  <c:v>2081.9843509708812</c:v>
                </c:pt>
                <c:pt idx="395">
                  <c:v>2075.9869787291336</c:v>
                </c:pt>
                <c:pt idx="396">
                  <c:v>2069.9109526336083</c:v>
                </c:pt>
                <c:pt idx="397">
                  <c:v>2063.7567820654026</c:v>
                </c:pt>
                <c:pt idx="398">
                  <c:v>2057.5249803687207</c:v>
                </c:pt>
                <c:pt idx="399">
                  <c:v>2051.2160647177293</c:v>
                </c:pt>
                <c:pt idx="400">
                  <c:v>2044.830555983481</c:v>
                </c:pt>
                <c:pt idx="401">
                  <c:v>2038.3689786009711</c:v>
                </c:pt>
                <c:pt idx="402">
                  <c:v>2031.8318604363899</c:v>
                </c:pt>
                <c:pt idx="403">
                  <c:v>2025.2197326546345</c:v>
                </c:pt>
                <c:pt idx="404">
                  <c:v>2018.5331295871401</c:v>
                </c:pt>
                <c:pt idx="405">
                  <c:v>2011.7725886000919</c:v>
                </c:pt>
                <c:pt idx="406">
                  <c:v>2004.938649963075</c:v>
                </c:pt>
                <c:pt idx="407">
                  <c:v>1998.0318567182203</c:v>
                </c:pt>
                <c:pt idx="408">
                  <c:v>1991.0527545499037</c:v>
                </c:pt>
                <c:pt idx="409">
                  <c:v>1984.0018916550507</c:v>
                </c:pt>
                <c:pt idx="410">
                  <c:v>1976.8798186141025</c:v>
                </c:pt>
                <c:pt idx="411">
                  <c:v>1969.6870882626949</c:v>
                </c:pt>
                <c:pt idx="412">
                  <c:v>1962.4242555640994</c:v>
                </c:pt>
                <c:pt idx="413">
                  <c:v>1955.0918774824788</c:v>
                </c:pt>
                <c:pt idx="414">
                  <c:v>1947.6905128570031</c:v>
                </c:pt>
                <c:pt idx="415">
                  <c:v>1940.2207222768729</c:v>
                </c:pt>
                <c:pt idx="416">
                  <c:v>1932.6830679572975</c:v>
                </c:pt>
                <c:pt idx="417">
                  <c:v>1925.0781136164678</c:v>
                </c:pt>
                <c:pt idx="418">
                  <c:v>1917.4064243535722</c:v>
                </c:pt>
                <c:pt idx="419">
                  <c:v>1909.6685665278908</c:v>
                </c:pt>
                <c:pt idx="420">
                  <c:v>1901.865107639012</c:v>
                </c:pt>
                <c:pt idx="421">
                  <c:v>1893.9966162082085</c:v>
                </c:pt>
                <c:pt idx="422">
                  <c:v>1886.0636616610084</c:v>
                </c:pt>
                <c:pt idx="423">
                  <c:v>1878.0668142109998</c:v>
                </c:pt>
                <c:pt idx="424">
                  <c:v>1870.006644744901</c:v>
                </c:pt>
                <c:pt idx="425">
                  <c:v>1861.8837247089291</c:v>
                </c:pt>
                <c:pt idx="426">
                  <c:v>1853.6986259965004</c:v>
                </c:pt>
                <c:pt idx="427">
                  <c:v>1845.4519208372892</c:v>
                </c:pt>
                <c:pt idx="428">
                  <c:v>1837.1441816876786</c:v>
                </c:pt>
                <c:pt idx="429">
                  <c:v>1828.7759811226244</c:v>
                </c:pt>
                <c:pt idx="430">
                  <c:v>1820.3478917289642</c:v>
                </c:pt>
                <c:pt idx="431">
                  <c:v>1811.8604860001906</c:v>
                </c:pt>
                <c:pt idx="432">
                  <c:v>1803.3143362327164</c:v>
                </c:pt>
                <c:pt idx="433">
                  <c:v>1794.7100144236508</c:v>
                </c:pt>
                <c:pt idx="434">
                  <c:v>1786.0480921701073</c:v>
                </c:pt>
                <c:pt idx="435">
                  <c:v>1777.3291405700636</c:v>
                </c:pt>
                <c:pt idx="436">
                  <c:v>1768.5537301247903</c:v>
                </c:pt>
                <c:pt idx="437">
                  <c:v>1759.7224306428659</c:v>
                </c:pt>
                <c:pt idx="438">
                  <c:v>1750.8358111457926</c:v>
                </c:pt>
                <c:pt idx="439">
                  <c:v>1741.8944397752271</c:v>
                </c:pt>
                <c:pt idx="440">
                  <c:v>1732.8988837018392</c:v>
                </c:pt>
                <c:pt idx="441">
                  <c:v>1723.8497090358105</c:v>
                </c:pt>
                <c:pt idx="442">
                  <c:v>1714.7474807389824</c:v>
                </c:pt>
                <c:pt idx="443">
                  <c:v>1705.5927625386626</c:v>
                </c:pt>
                <c:pt idx="444">
                  <c:v>1696.3861168430997</c:v>
                </c:pt>
                <c:pt idx="445">
                  <c:v>1687.1281046586307</c:v>
                </c:pt>
                <c:pt idx="446">
                  <c:v>1677.8192855085083</c:v>
                </c:pt>
                <c:pt idx="447">
                  <c:v>1668.4602173534126</c:v>
                </c:pt>
                <c:pt idx="448">
                  <c:v>1659.0514565136505</c:v>
                </c:pt>
                <c:pt idx="449">
                  <c:v>1649.5935575930444</c:v>
                </c:pt>
                <c:pt idx="450">
                  <c:v>1640.0870734045138</c:v>
                </c:pt>
                <c:pt idx="451">
                  <c:v>1630.5325548973485</c:v>
                </c:pt>
                <c:pt idx="452">
                  <c:v>1620.9305510861725</c:v>
                </c:pt>
                <c:pt idx="453">
                  <c:v>1611.2816089815992</c:v>
                </c:pt>
                <c:pt idx="454">
                  <c:v>1601.586273522573</c:v>
                </c:pt>
                <c:pt idx="455">
                  <c:v>1591.8450875103958</c:v>
                </c:pt>
                <c:pt idx="456">
                  <c:v>1582.0585915444328</c:v>
                </c:pt>
                <c:pt idx="457">
                  <c:v>1572.2273239594931</c:v>
                </c:pt>
                <c:pt idx="458">
                  <c:v>1562.3518207648794</c:v>
                </c:pt>
                <c:pt idx="459">
                  <c:v>1552.4326155850997</c:v>
                </c:pt>
                <c:pt idx="460">
                  <c:v>1542.4702396022319</c:v>
                </c:pt>
                <c:pt idx="461">
                  <c:v>1532.4652214999371</c:v>
                </c:pt>
                <c:pt idx="462">
                  <c:v>1522.4180874091071</c:v>
                </c:pt>
                <c:pt idx="463">
                  <c:v>1512.3293608551403</c:v>
                </c:pt>
                <c:pt idx="464">
                  <c:v>1502.1995627068345</c:v>
                </c:pt>
                <c:pt idx="465">
                  <c:v>1492.0292111268845</c:v>
                </c:pt>
                <c:pt idx="466">
                  <c:v>1481.8188215239732</c:v>
                </c:pt>
                <c:pt idx="467">
                  <c:v>1471.5689065064444</c:v>
                </c:pt>
                <c:pt idx="468">
                  <c:v>1461.2799758375434</c:v>
                </c:pt>
                <c:pt idx="469">
                  <c:v>1450.9525363922128</c:v>
                </c:pt>
                <c:pt idx="470">
                  <c:v>1440.5870921154285</c:v>
                </c:pt>
                <c:pt idx="471">
                  <c:v>1430.184143982061</c:v>
                </c:pt>
                <c:pt idx="472">
                  <c:v>1419.7441899582482</c:v>
                </c:pt>
                <c:pt idx="473">
                  <c:v>1409.2677249642634</c:v>
                </c:pt>
                <c:pt idx="474">
                  <c:v>1398.7552408388624</c:v>
                </c:pt>
                <c:pt idx="475">
                  <c:v>1388.2072263050927</c:v>
                </c:pt>
                <c:pt idx="476">
                  <c:v>1377.6241669375488</c:v>
                </c:pt>
                <c:pt idx="477">
                  <c:v>1367.0065451310563</c:v>
                </c:pt>
                <c:pt idx="478">
                  <c:v>1356.3548400707675</c:v>
                </c:pt>
                <c:pt idx="479">
                  <c:v>1345.6695277036486</c:v>
                </c:pt>
                <c:pt idx="480">
                  <c:v>1334.9510807113427</c:v>
                </c:pt>
                <c:pt idx="481">
                  <c:v>1324.1999684843897</c:v>
                </c:pt>
                <c:pt idx="482">
                  <c:v>1313.4166570977823</c:v>
                </c:pt>
                <c:pt idx="483">
                  <c:v>1302.601609287841</c:v>
                </c:pt>
                <c:pt idx="484">
                  <c:v>1291.7552844303893</c:v>
                </c:pt>
                <c:pt idx="485">
                  <c:v>1280.8781385202074</c:v>
                </c:pt>
                <c:pt idx="486">
                  <c:v>1269.9706241517456</c:v>
                </c:pt>
                <c:pt idx="487">
                  <c:v>1259.0331905010801</c:v>
                </c:pt>
                <c:pt idx="488">
                  <c:v>1248.0662833090857</c:v>
                </c:pt>
                <c:pt idx="489">
                  <c:v>1237.0703448658123</c:v>
                </c:pt>
                <c:pt idx="490">
                  <c:v>1226.0458139960376</c:v>
                </c:pt>
                <c:pt idx="491">
                  <c:v>1214.9931260459819</c:v>
                </c:pt>
                <c:pt idx="492">
                  <c:v>1203.9127128711602</c:v>
                </c:pt>
                <c:pt idx="493">
                  <c:v>1192.8050028253547</c:v>
                </c:pt>
                <c:pt idx="494">
                  <c:v>1181.670420750683</c:v>
                </c:pt>
                <c:pt idx="495">
                  <c:v>1170.5093879687452</c:v>
                </c:pt>
                <c:pt idx="496">
                  <c:v>1159.322322272827</c:v>
                </c:pt>
                <c:pt idx="497">
                  <c:v>1148.1096379211397</c:v>
                </c:pt>
                <c:pt idx="498">
                  <c:v>1136.8717456310744</c:v>
                </c:pt>
                <c:pt idx="499">
                  <c:v>1125.6090525744523</c:v>
                </c:pt>
                <c:pt idx="500">
                  <c:v>1114.3219623737484</c:v>
                </c:pt>
                <c:pt idx="501">
                  <c:v>1103.0108750992697</c:v>
                </c:pt>
                <c:pt idx="502">
                  <c:v>1091.6761872672655</c:v>
                </c:pt>
                <c:pt idx="503">
                  <c:v>1080.3182918389521</c:v>
                </c:pt>
                <c:pt idx="504">
                  <c:v>1068.937578220429</c:v>
                </c:pt>
                <c:pt idx="505">
                  <c:v>1057.5344322634674</c:v>
                </c:pt>
                <c:pt idx="506">
                  <c:v>1046.1092362671509</c:v>
                </c:pt>
                <c:pt idx="507">
                  <c:v>1034.6623689803489</c:v>
                </c:pt>
                <c:pt idx="508">
                  <c:v>1023.1942056050018</c:v>
                </c:pt>
                <c:pt idx="509">
                  <c:v>1011.7051178001979</c:v>
                </c:pt>
                <c:pt idx="510">
                  <c:v>1000.195473687024</c:v>
                </c:pt>
                <c:pt idx="511">
                  <c:v>988.66563785416929</c:v>
                </c:pt>
                <c:pt idx="512">
                  <c:v>977.11597136426224</c:v>
                </c:pt>
                <c:pt idx="513">
                  <c:v>965.54683176092294</c:v>
                </c:pt>
                <c:pt idx="514">
                  <c:v>953.95857307651113</c:v>
                </c:pt>
                <c:pt idx="515">
                  <c:v>942.35154584055056</c:v>
                </c:pt>
                <c:pt idx="516">
                  <c:v>930.72609708881191</c:v>
                </c:pt>
                <c:pt idx="517">
                  <c:v>919.08257037303554</c:v>
                </c:pt>
                <c:pt idx="518">
                  <c:v>907.42130577127512</c:v>
                </c:pt>
                <c:pt idx="519">
                  <c:v>895.74263989884491</c:v>
                </c:pt>
                <c:pt idx="520">
                  <c:v>884.04690591985286</c:v>
                </c:pt>
                <c:pt idx="521">
                  <c:v>872.33443355930046</c:v>
                </c:pt>
                <c:pt idx="522">
                  <c:v>860.60554911573399</c:v>
                </c:pt>
                <c:pt idx="523">
                  <c:v>848.86057547442806</c:v>
                </c:pt>
                <c:pt idx="524">
                  <c:v>837.09983212108546</c:v>
                </c:pt>
                <c:pt idx="525">
                  <c:v>825.32363515603629</c:v>
                </c:pt>
                <c:pt idx="526">
                  <c:v>813.53229730891974</c:v>
                </c:pt>
                <c:pt idx="527">
                  <c:v>801.72612795383168</c:v>
                </c:pt>
                <c:pt idx="528">
                  <c:v>789.90543312492321</c:v>
                </c:pt>
                <c:pt idx="529">
                  <c:v>778.07051553243309</c:v>
                </c:pt>
                <c:pt idx="530">
                  <c:v>766.22167457913895</c:v>
                </c:pt>
                <c:pt idx="531">
                  <c:v>754.35920637721131</c:v>
                </c:pt>
                <c:pt idx="532">
                  <c:v>742.48340376545673</c:v>
                </c:pt>
                <c:pt idx="533">
                  <c:v>730.59455632693323</c:v>
                </c:pt>
                <c:pt idx="534">
                  <c:v>718.6929504069243</c:v>
                </c:pt>
                <c:pt idx="535">
                  <c:v>706.77886913125781</c:v>
                </c:pt>
                <c:pt idx="536">
                  <c:v>694.85259242495363</c:v>
                </c:pt>
                <c:pt idx="537">
                  <c:v>682.91439703118829</c:v>
                </c:pt>
                <c:pt idx="538">
                  <c:v>670.96455653056114</c:v>
                </c:pt>
                <c:pt idx="539">
                  <c:v>659.00334136064998</c:v>
                </c:pt>
                <c:pt idx="540">
                  <c:v>647.03101883584156</c:v>
                </c:pt>
                <c:pt idx="541">
                  <c:v>635.04785316742539</c:v>
                </c:pt>
                <c:pt idx="542">
                  <c:v>623.05410548393729</c:v>
                </c:pt>
                <c:pt idx="543">
                  <c:v>611.05003385174018</c:v>
                </c:pt>
                <c:pt idx="544">
                  <c:v>599.03589329583076</c:v>
                </c:pt>
                <c:pt idx="545">
                  <c:v>587.01193582085853</c:v>
                </c:pt>
                <c:pt idx="546">
                  <c:v>574.97841043234757</c:v>
                </c:pt>
                <c:pt idx="547">
                  <c:v>562.93556315810713</c:v>
                </c:pt>
                <c:pt idx="548">
                  <c:v>550.88363706982216</c:v>
                </c:pt>
                <c:pt idx="549">
                  <c:v>538.82287230481074</c:v>
                </c:pt>
                <c:pt idx="550">
                  <c:v>526.75350608793906</c:v>
                </c:pt>
                <c:pt idx="551">
                  <c:v>514.67577275368285</c:v>
                </c:pt>
                <c:pt idx="552">
                  <c:v>502.58990376832469</c:v>
                </c:pt>
                <c:pt idx="553">
                  <c:v>490.49612775227769</c:v>
                </c:pt>
                <c:pt idx="554">
                  <c:v>478.39467050252534</c:v>
                </c:pt>
                <c:pt idx="555">
                  <c:v>466.28575501516804</c:v>
                </c:pt>
                <c:pt idx="556">
                  <c:v>454.16960150806671</c:v>
                </c:pt>
                <c:pt idx="557">
                  <c:v>442.04642744357477</c:v>
                </c:pt>
                <c:pt idx="558">
                  <c:v>429.91644755134899</c:v>
                </c:pt>
                <c:pt idx="559">
                  <c:v>417.779873851231</c:v>
                </c:pt>
                <c:pt idx="560">
                  <c:v>405.63691567619048</c:v>
                </c:pt>
                <c:pt idx="561">
                  <c:v>393.4877796953221</c:v>
                </c:pt>
                <c:pt idx="562">
                  <c:v>381.33266993688812</c:v>
                </c:pt>
                <c:pt idx="563">
                  <c:v>369.17178781139825</c:v>
                </c:pt>
                <c:pt idx="564">
                  <c:v>357.00533213472005</c:v>
                </c:pt>
                <c:pt idx="565">
                  <c:v>344.83349915121153</c:v>
                </c:pt>
                <c:pt idx="566">
                  <c:v>332.65648255686909</c:v>
                </c:pt>
                <c:pt idx="567">
                  <c:v>320.47447352248378</c:v>
                </c:pt>
                <c:pt idx="568">
                  <c:v>308.28766071679888</c:v>
                </c:pt>
                <c:pt idx="569">
                  <c:v>296.09623032966226</c:v>
                </c:pt>
                <c:pt idx="570">
                  <c:v>283.90036609516687</c:v>
                </c:pt>
                <c:pt idx="571">
                  <c:v>271.70024931477332</c:v>
                </c:pt>
                <c:pt idx="572">
                  <c:v>259.49605888040804</c:v>
                </c:pt>
                <c:pt idx="573">
                  <c:v>247.28797129753173</c:v>
                </c:pt>
                <c:pt idx="574">
                  <c:v>235.07616070817167</c:v>
                </c:pt>
                <c:pt idx="575">
                  <c:v>222.86079891391287</c:v>
                </c:pt>
                <c:pt idx="576">
                  <c:v>210.64205539884233</c:v>
                </c:pt>
                <c:pt idx="577">
                  <c:v>198.42009735244136</c:v>
                </c:pt>
                <c:pt idx="578">
                  <c:v>186.19508969242079</c:v>
                </c:pt>
                <c:pt idx="579">
                  <c:v>173.96719508749439</c:v>
                </c:pt>
                <c:pt idx="580">
                  <c:v>161.73657398008547</c:v>
                </c:pt>
                <c:pt idx="581">
                  <c:v>149.50338460896245</c:v>
                </c:pt>
                <c:pt idx="582">
                  <c:v>137.26778303179861</c:v>
                </c:pt>
                <c:pt idx="583">
                  <c:v>125.02992314765213</c:v>
                </c:pt>
                <c:pt idx="584">
                  <c:v>112.78995671936202</c:v>
                </c:pt>
                <c:pt idx="585">
                  <c:v>100.54803339585624</c:v>
                </c:pt>
                <c:pt idx="586">
                  <c:v>88.304300734367885</c:v>
                </c:pt>
                <c:pt idx="587">
                  <c:v>76.05890422255618</c:v>
                </c:pt>
                <c:pt idx="588">
                  <c:v>63.811987300528294</c:v>
                </c:pt>
                <c:pt idx="589">
                  <c:v>51.563691382758996</c:v>
                </c:pt>
                <c:pt idx="590">
                  <c:v>39.314155879904597</c:v>
                </c:pt>
                <c:pt idx="591">
                  <c:v>27.06351822050819</c:v>
                </c:pt>
                <c:pt idx="592">
                  <c:v>14.811913872593156</c:v>
                </c:pt>
                <c:pt idx="593">
                  <c:v>2.5594763651420589</c:v>
                </c:pt>
                <c:pt idx="594">
                  <c:v>-9.6936626905418191</c:v>
                </c:pt>
                <c:pt idx="595">
                  <c:v>-9.7059161479608953</c:v>
                </c:pt>
                <c:pt idx="596">
                  <c:v>-9.7181696058873559</c:v>
                </c:pt>
                <c:pt idx="597">
                  <c:v>-9.730423064321073</c:v>
                </c:pt>
                <c:pt idx="598">
                  <c:v>-9.7426765232619204</c:v>
                </c:pt>
                <c:pt idx="599">
                  <c:v>-9.754929982709772</c:v>
                </c:pt>
                <c:pt idx="600">
                  <c:v>-9.7671834426644999</c:v>
                </c:pt>
                <c:pt idx="601">
                  <c:v>-9.779436903125978</c:v>
                </c:pt>
                <c:pt idx="602">
                  <c:v>-9.7916903640940802</c:v>
                </c:pt>
                <c:pt idx="603">
                  <c:v>-9.8039438255686786</c:v>
                </c:pt>
                <c:pt idx="604">
                  <c:v>-9.8161972875496453</c:v>
                </c:pt>
                <c:pt idx="605">
                  <c:v>-9.8284507500368559</c:v>
                </c:pt>
                <c:pt idx="606">
                  <c:v>-9.8407042130301825</c:v>
                </c:pt>
                <c:pt idx="607">
                  <c:v>-9.8529576765294973</c:v>
                </c:pt>
                <c:pt idx="608">
                  <c:v>-9.8652111405346741</c:v>
                </c:pt>
                <c:pt idx="609">
                  <c:v>-9.8774646050455868</c:v>
                </c:pt>
                <c:pt idx="610">
                  <c:v>-9.8897180700621075</c:v>
                </c:pt>
                <c:pt idx="611">
                  <c:v>-9.90197153558411</c:v>
                </c:pt>
                <c:pt idx="612">
                  <c:v>-9.9142250016114684</c:v>
                </c:pt>
                <c:pt idx="613">
                  <c:v>-9.9264784681440545</c:v>
                </c:pt>
                <c:pt idx="614">
                  <c:v>-9.9387319351817425</c:v>
                </c:pt>
                <c:pt idx="615">
                  <c:v>-9.950985402724406</c:v>
                </c:pt>
                <c:pt idx="616">
                  <c:v>-9.9632388707719173</c:v>
                </c:pt>
                <c:pt idx="617">
                  <c:v>-9.9754923393241501</c:v>
                </c:pt>
                <c:pt idx="618">
                  <c:v>-9.9877458083809767</c:v>
                </c:pt>
                <c:pt idx="619">
                  <c:v>-9.9999992779422708</c:v>
                </c:pt>
                <c:pt idx="620">
                  <c:v>-10.012252748007906</c:v>
                </c:pt>
                <c:pt idx="621">
                  <c:v>-10.024506218577756</c:v>
                </c:pt>
                <c:pt idx="622">
                  <c:v>-10.036759689651692</c:v>
                </c:pt>
                <c:pt idx="623">
                  <c:v>-10.04901316122959</c:v>
                </c:pt>
                <c:pt idx="624">
                  <c:v>-10.061266633311321</c:v>
                </c:pt>
                <c:pt idx="625">
                  <c:v>-10.07352010589676</c:v>
                </c:pt>
                <c:pt idx="626">
                  <c:v>-10.085773578985778</c:v>
                </c:pt>
                <c:pt idx="627">
                  <c:v>-10.098027052578249</c:v>
                </c:pt>
                <c:pt idx="628">
                  <c:v>-10.110280526674048</c:v>
                </c:pt>
                <c:pt idx="629">
                  <c:v>-10.122534001273046</c:v>
                </c:pt>
                <c:pt idx="630">
                  <c:v>-10.134787476375116</c:v>
                </c:pt>
                <c:pt idx="631">
                  <c:v>-10.147040951980134</c:v>
                </c:pt>
                <c:pt idx="632">
                  <c:v>-10.159294428087971</c:v>
                </c:pt>
                <c:pt idx="633">
                  <c:v>-10.171547904698501</c:v>
                </c:pt>
                <c:pt idx="634">
                  <c:v>-10.183801381811598</c:v>
                </c:pt>
                <c:pt idx="635">
                  <c:v>-10.196054859427134</c:v>
                </c:pt>
                <c:pt idx="636">
                  <c:v>-10.208308337544983</c:v>
                </c:pt>
                <c:pt idx="637">
                  <c:v>-10.220561816165018</c:v>
                </c:pt>
                <c:pt idx="638">
                  <c:v>-10.232815295287113</c:v>
                </c:pt>
                <c:pt idx="639">
                  <c:v>-10.24506877491114</c:v>
                </c:pt>
                <c:pt idx="640">
                  <c:v>-10.257322255036971</c:v>
                </c:pt>
                <c:pt idx="641">
                  <c:v>-10.269575735664482</c:v>
                </c:pt>
                <c:pt idx="642">
                  <c:v>-10.281829216793545</c:v>
                </c:pt>
                <c:pt idx="643">
                  <c:v>-10.294082698424035</c:v>
                </c:pt>
                <c:pt idx="644">
                  <c:v>-10.306336180555823</c:v>
                </c:pt>
                <c:pt idx="645">
                  <c:v>-10.318589663188783</c:v>
                </c:pt>
                <c:pt idx="646">
                  <c:v>-10.330843146322788</c:v>
                </c:pt>
                <c:pt idx="647">
                  <c:v>-10.343096629957712</c:v>
                </c:pt>
                <c:pt idx="648">
                  <c:v>-10.355350114093428</c:v>
                </c:pt>
                <c:pt idx="649">
                  <c:v>-10.367603598729808</c:v>
                </c:pt>
                <c:pt idx="650">
                  <c:v>-10.379857083866726</c:v>
                </c:pt>
                <c:pt idx="651">
                  <c:v>-10.392110569504057</c:v>
                </c:pt>
                <c:pt idx="652">
                  <c:v>-10.404364055641674</c:v>
                </c:pt>
                <c:pt idx="653">
                  <c:v>-10.416617542279448</c:v>
                </c:pt>
                <c:pt idx="654">
                  <c:v>-10.428871029417254</c:v>
                </c:pt>
                <c:pt idx="655">
                  <c:v>-10.441124517054964</c:v>
                </c:pt>
                <c:pt idx="656">
                  <c:v>-10.453378005192453</c:v>
                </c:pt>
                <c:pt idx="657">
                  <c:v>-10.465631493829594</c:v>
                </c:pt>
                <c:pt idx="658">
                  <c:v>-10.477884982966259</c:v>
                </c:pt>
                <c:pt idx="659">
                  <c:v>-10.490138472602322</c:v>
                </c:pt>
                <c:pt idx="660">
                  <c:v>-10.502391962737656</c:v>
                </c:pt>
                <c:pt idx="661">
                  <c:v>-10.514645453372134</c:v>
                </c:pt>
                <c:pt idx="662">
                  <c:v>-10.526898944505632</c:v>
                </c:pt>
                <c:pt idx="663">
                  <c:v>-10.53915243613802</c:v>
                </c:pt>
                <c:pt idx="664">
                  <c:v>-10.551405928269173</c:v>
                </c:pt>
                <c:pt idx="665">
                  <c:v>-10.563659420898963</c:v>
                </c:pt>
                <c:pt idx="666">
                  <c:v>-10.575912914027265</c:v>
                </c:pt>
                <c:pt idx="667">
                  <c:v>-10.588166407653951</c:v>
                </c:pt>
                <c:pt idx="668">
                  <c:v>-10.600419901778896</c:v>
                </c:pt>
                <c:pt idx="669">
                  <c:v>-10.61267339640197</c:v>
                </c:pt>
                <c:pt idx="670">
                  <c:v>-10.624926891523049</c:v>
                </c:pt>
                <c:pt idx="671">
                  <c:v>-10.637180387142006</c:v>
                </c:pt>
                <c:pt idx="672">
                  <c:v>-10.649433883258714</c:v>
                </c:pt>
                <c:pt idx="673">
                  <c:v>-10.661687379873047</c:v>
                </c:pt>
                <c:pt idx="674">
                  <c:v>-10.673940876984878</c:v>
                </c:pt>
                <c:pt idx="675">
                  <c:v>-10.686194374594079</c:v>
                </c:pt>
                <c:pt idx="676">
                  <c:v>-10.698447872700525</c:v>
                </c:pt>
                <c:pt idx="677">
                  <c:v>-10.710701371304088</c:v>
                </c:pt>
                <c:pt idx="678">
                  <c:v>-10.722954870404642</c:v>
                </c:pt>
                <c:pt idx="679">
                  <c:v>-10.735208370002061</c:v>
                </c:pt>
                <c:pt idx="680">
                  <c:v>-10.747461870096217</c:v>
                </c:pt>
                <c:pt idx="681">
                  <c:v>-10.759715370686985</c:v>
                </c:pt>
                <c:pt idx="682">
                  <c:v>-10.771968871774236</c:v>
                </c:pt>
                <c:pt idx="683">
                  <c:v>-10.784222373357846</c:v>
                </c:pt>
                <c:pt idx="684">
                  <c:v>-10.796475875437686</c:v>
                </c:pt>
                <c:pt idx="685">
                  <c:v>-10.808729378013631</c:v>
                </c:pt>
                <c:pt idx="686">
                  <c:v>-10.820982881085554</c:v>
                </c:pt>
                <c:pt idx="687">
                  <c:v>-10.833236384653327</c:v>
                </c:pt>
                <c:pt idx="688">
                  <c:v>-10.845489888716825</c:v>
                </c:pt>
                <c:pt idx="689">
                  <c:v>-10.857743393275921</c:v>
                </c:pt>
                <c:pt idx="690">
                  <c:v>-10.869996898330488</c:v>
                </c:pt>
                <c:pt idx="691">
                  <c:v>-10.882250403880398</c:v>
                </c:pt>
                <c:pt idx="692">
                  <c:v>-10.894503909925527</c:v>
                </c:pt>
                <c:pt idx="693">
                  <c:v>-10.906757416465748</c:v>
                </c:pt>
                <c:pt idx="694">
                  <c:v>-10.919010923500933</c:v>
                </c:pt>
                <c:pt idx="695">
                  <c:v>-10.931264431030955</c:v>
                </c:pt>
                <c:pt idx="696">
                  <c:v>-10.94351793905569</c:v>
                </c:pt>
                <c:pt idx="697">
                  <c:v>-10.955771447575009</c:v>
                </c:pt>
                <c:pt idx="698">
                  <c:v>-10.968024956588785</c:v>
                </c:pt>
                <c:pt idx="699">
                  <c:v>-10.980278466096893</c:v>
                </c:pt>
                <c:pt idx="700">
                  <c:v>-10.992531976099206</c:v>
                </c:pt>
                <c:pt idx="701">
                  <c:v>-11.004785486595598</c:v>
                </c:pt>
                <c:pt idx="702">
                  <c:v>-11.01703899758594</c:v>
                </c:pt>
                <c:pt idx="703">
                  <c:v>-11.029292509070107</c:v>
                </c:pt>
                <c:pt idx="704">
                  <c:v>-11.041546021047973</c:v>
                </c:pt>
                <c:pt idx="705">
                  <c:v>-11.05379953351941</c:v>
                </c:pt>
                <c:pt idx="706">
                  <c:v>-11.066053046484292</c:v>
                </c:pt>
                <c:pt idx="707">
                  <c:v>-11.078306559942492</c:v>
                </c:pt>
                <c:pt idx="708">
                  <c:v>-11.090560073893885</c:v>
                </c:pt>
                <c:pt idx="709">
                  <c:v>-11.102813588338343</c:v>
                </c:pt>
                <c:pt idx="710">
                  <c:v>-11.115067103275738</c:v>
                </c:pt>
                <c:pt idx="711">
                  <c:v>-11.127320618705946</c:v>
                </c:pt>
                <c:pt idx="712">
                  <c:v>-11.139574134628839</c:v>
                </c:pt>
                <c:pt idx="713">
                  <c:v>-11.151827651044291</c:v>
                </c:pt>
                <c:pt idx="714">
                  <c:v>-11.164081167952176</c:v>
                </c:pt>
                <c:pt idx="715">
                  <c:v>-11.176334685352366</c:v>
                </c:pt>
                <c:pt idx="716">
                  <c:v>-11.188588203244734</c:v>
                </c:pt>
                <c:pt idx="717">
                  <c:v>-11.200841721629155</c:v>
                </c:pt>
                <c:pt idx="718">
                  <c:v>-11.213095240505501</c:v>
                </c:pt>
                <c:pt idx="719">
                  <c:v>-11.225348759873647</c:v>
                </c:pt>
                <c:pt idx="720">
                  <c:v>-11.237602279733466</c:v>
                </c:pt>
                <c:pt idx="721">
                  <c:v>-11.249855800084831</c:v>
                </c:pt>
                <c:pt idx="722">
                  <c:v>-11.262109320927614</c:v>
                </c:pt>
                <c:pt idx="723">
                  <c:v>-11.27436284226169</c:v>
                </c:pt>
                <c:pt idx="724">
                  <c:v>-11.286616364086932</c:v>
                </c:pt>
                <c:pt idx="725">
                  <c:v>-11.298869886403214</c:v>
                </c:pt>
                <c:pt idx="726">
                  <c:v>-11.31112340921041</c:v>
                </c:pt>
                <c:pt idx="727">
                  <c:v>-11.323376932508392</c:v>
                </c:pt>
                <c:pt idx="728">
                  <c:v>-11.335630456297034</c:v>
                </c:pt>
                <c:pt idx="729">
                  <c:v>-11.347883980576208</c:v>
                </c:pt>
                <c:pt idx="730">
                  <c:v>-11.36013750534579</c:v>
                </c:pt>
                <c:pt idx="731">
                  <c:v>-11.372391030605652</c:v>
                </c:pt>
                <c:pt idx="732">
                  <c:v>-11.384644556355667</c:v>
                </c:pt>
                <c:pt idx="733">
                  <c:v>-11.39689808259571</c:v>
                </c:pt>
                <c:pt idx="734">
                  <c:v>-11.409151609325653</c:v>
                </c:pt>
                <c:pt idx="735">
                  <c:v>-11.421405136545369</c:v>
                </c:pt>
                <c:pt idx="736">
                  <c:v>-11.433658664254732</c:v>
                </c:pt>
                <c:pt idx="737">
                  <c:v>-11.445912192453617</c:v>
                </c:pt>
                <c:pt idx="738">
                  <c:v>-11.458165721141896</c:v>
                </c:pt>
                <c:pt idx="739">
                  <c:v>-11.470419250319443</c:v>
                </c:pt>
                <c:pt idx="740">
                  <c:v>-11.48267277998613</c:v>
                </c:pt>
                <c:pt idx="741">
                  <c:v>-11.494926310141832</c:v>
                </c:pt>
                <c:pt idx="742">
                  <c:v>-11.507179840786423</c:v>
                </c:pt>
                <c:pt idx="743">
                  <c:v>-11.519433371919774</c:v>
                </c:pt>
                <c:pt idx="744">
                  <c:v>-11.531686903541761</c:v>
                </c:pt>
                <c:pt idx="745">
                  <c:v>-11.543940435652257</c:v>
                </c:pt>
                <c:pt idx="746">
                  <c:v>-11.556193968251133</c:v>
                </c:pt>
                <c:pt idx="747">
                  <c:v>-11.568447501338264</c:v>
                </c:pt>
                <c:pt idx="748">
                  <c:v>-11.580701034913524</c:v>
                </c:pt>
                <c:pt idx="749">
                  <c:v>-11.592954568976786</c:v>
                </c:pt>
                <c:pt idx="750">
                  <c:v>-11.605208103527925</c:v>
                </c:pt>
                <c:pt idx="751">
                  <c:v>-11.617461638566812</c:v>
                </c:pt>
                <c:pt idx="752">
                  <c:v>-11.629715174093322</c:v>
                </c:pt>
                <c:pt idx="753">
                  <c:v>-11.641968710107328</c:v>
                </c:pt>
                <c:pt idx="754">
                  <c:v>-11.654222246608704</c:v>
                </c:pt>
                <c:pt idx="755">
                  <c:v>-11.666475783597322</c:v>
                </c:pt>
                <c:pt idx="756">
                  <c:v>-11.678729321073057</c:v>
                </c:pt>
                <c:pt idx="757">
                  <c:v>-11.690982859035781</c:v>
                </c:pt>
                <c:pt idx="758">
                  <c:v>-11.703236397485369</c:v>
                </c:pt>
                <c:pt idx="759">
                  <c:v>-11.715489936421694</c:v>
                </c:pt>
                <c:pt idx="760">
                  <c:v>-11.72774347584463</c:v>
                </c:pt>
                <c:pt idx="761">
                  <c:v>-11.739997015754049</c:v>
                </c:pt>
                <c:pt idx="762">
                  <c:v>-11.752250556149827</c:v>
                </c:pt>
                <c:pt idx="763">
                  <c:v>-11.764504097031834</c:v>
                </c:pt>
                <c:pt idx="764">
                  <c:v>-11.776757638399946</c:v>
                </c:pt>
                <c:pt idx="765">
                  <c:v>-11.789011180254036</c:v>
                </c:pt>
                <c:pt idx="766">
                  <c:v>-11.801264722593977</c:v>
                </c:pt>
                <c:pt idx="767">
                  <c:v>-11.813518265419644</c:v>
                </c:pt>
                <c:pt idx="768">
                  <c:v>-11.825771808730908</c:v>
                </c:pt>
                <c:pt idx="769">
                  <c:v>-11.838025352527643</c:v>
                </c:pt>
                <c:pt idx="770">
                  <c:v>-11.850278896809723</c:v>
                </c:pt>
                <c:pt idx="771">
                  <c:v>-11.862532441577022</c:v>
                </c:pt>
                <c:pt idx="772">
                  <c:v>-11.874785986829414</c:v>
                </c:pt>
                <c:pt idx="773">
                  <c:v>-11.887039532566771</c:v>
                </c:pt>
                <c:pt idx="774">
                  <c:v>-11.899293078788968</c:v>
                </c:pt>
                <c:pt idx="775">
                  <c:v>-11.911546625495879</c:v>
                </c:pt>
                <c:pt idx="776">
                  <c:v>-11.923800172687375</c:v>
                </c:pt>
                <c:pt idx="777">
                  <c:v>-11.936053720363331</c:v>
                </c:pt>
                <c:pt idx="778">
                  <c:v>-11.948307268523621</c:v>
                </c:pt>
                <c:pt idx="779">
                  <c:v>-11.960560817168117</c:v>
                </c:pt>
                <c:pt idx="780">
                  <c:v>-11.972814366296694</c:v>
                </c:pt>
                <c:pt idx="781">
                  <c:v>-11.985067915909225</c:v>
                </c:pt>
                <c:pt idx="782">
                  <c:v>-11.997321466005582</c:v>
                </c:pt>
                <c:pt idx="783">
                  <c:v>-12.009575016585641</c:v>
                </c:pt>
                <c:pt idx="784">
                  <c:v>-12.021828567649274</c:v>
                </c:pt>
                <c:pt idx="785">
                  <c:v>-12.034082119196356</c:v>
                </c:pt>
                <c:pt idx="786">
                  <c:v>-12.046335671226759</c:v>
                </c:pt>
                <c:pt idx="787">
                  <c:v>-12.058589223740356</c:v>
                </c:pt>
                <c:pt idx="788">
                  <c:v>-12.070842776737022</c:v>
                </c:pt>
                <c:pt idx="789">
                  <c:v>-12.08309633021663</c:v>
                </c:pt>
                <c:pt idx="790">
                  <c:v>-12.095349884179054</c:v>
                </c:pt>
                <c:pt idx="791">
                  <c:v>-12.107603438624167</c:v>
                </c:pt>
                <c:pt idx="792">
                  <c:v>-12.119856993551844</c:v>
                </c:pt>
                <c:pt idx="793">
                  <c:v>-12.132110548961956</c:v>
                </c:pt>
                <c:pt idx="794">
                  <c:v>-12.144364104854377</c:v>
                </c:pt>
                <c:pt idx="795">
                  <c:v>-12.156617661228982</c:v>
                </c:pt>
                <c:pt idx="796">
                  <c:v>-12.168871218085643</c:v>
                </c:pt>
                <c:pt idx="797">
                  <c:v>-12.181124775424236</c:v>
                </c:pt>
                <c:pt idx="798">
                  <c:v>-12.193378333244633</c:v>
                </c:pt>
                <c:pt idx="799">
                  <c:v>-12.205631891546707</c:v>
                </c:pt>
                <c:pt idx="800">
                  <c:v>-12.217885450330332</c:v>
                </c:pt>
                <c:pt idx="801">
                  <c:v>-12.230139009595382</c:v>
                </c:pt>
                <c:pt idx="802">
                  <c:v>-12.24239256934173</c:v>
                </c:pt>
                <c:pt idx="803">
                  <c:v>-12.254646129569251</c:v>
                </c:pt>
                <c:pt idx="804">
                  <c:v>-12.266899690277816</c:v>
                </c:pt>
                <c:pt idx="805">
                  <c:v>-12.279153251467299</c:v>
                </c:pt>
                <c:pt idx="806">
                  <c:v>-12.291406813137575</c:v>
                </c:pt>
                <c:pt idx="807">
                  <c:v>-12.303660375288517</c:v>
                </c:pt>
                <c:pt idx="808">
                  <c:v>-12.31591393792</c:v>
                </c:pt>
                <c:pt idx="809">
                  <c:v>-12.328167501031896</c:v>
                </c:pt>
                <c:pt idx="810">
                  <c:v>-12.340421064624078</c:v>
                </c:pt>
                <c:pt idx="811">
                  <c:v>-12.35267462869642</c:v>
                </c:pt>
                <c:pt idx="812">
                  <c:v>-12.364928193248796</c:v>
                </c:pt>
                <c:pt idx="813">
                  <c:v>-12.377181758281079</c:v>
                </c:pt>
                <c:pt idx="814">
                  <c:v>-12.389435323793144</c:v>
                </c:pt>
                <c:pt idx="815">
                  <c:v>-12.401688889784865</c:v>
                </c:pt>
                <c:pt idx="816">
                  <c:v>-12.413942456256112</c:v>
                </c:pt>
                <c:pt idx="817">
                  <c:v>-12.426196023206762</c:v>
                </c:pt>
                <c:pt idx="818">
                  <c:v>-12.438449590636687</c:v>
                </c:pt>
                <c:pt idx="819">
                  <c:v>-12.45070315854576</c:v>
                </c:pt>
                <c:pt idx="820">
                  <c:v>-12.462956726933857</c:v>
                </c:pt>
                <c:pt idx="821">
                  <c:v>-12.475210295800849</c:v>
                </c:pt>
                <c:pt idx="822">
                  <c:v>-12.487463865146612</c:v>
                </c:pt>
                <c:pt idx="823">
                  <c:v>-12.499717434971018</c:v>
                </c:pt>
                <c:pt idx="824">
                  <c:v>-12.51197100527394</c:v>
                </c:pt>
                <c:pt idx="825">
                  <c:v>-12.524224576055254</c:v>
                </c:pt>
                <c:pt idx="826">
                  <c:v>-12.536478147314831</c:v>
                </c:pt>
                <c:pt idx="827">
                  <c:v>-12.548731719052547</c:v>
                </c:pt>
                <c:pt idx="828">
                  <c:v>-12.560985291268274</c:v>
                </c:pt>
                <c:pt idx="829">
                  <c:v>-12.573238863961885</c:v>
                </c:pt>
                <c:pt idx="830">
                  <c:v>-12.585492437133256</c:v>
                </c:pt>
                <c:pt idx="831">
                  <c:v>-12.597746010782259</c:v>
                </c:pt>
                <c:pt idx="832">
                  <c:v>-12.609999584908767</c:v>
                </c:pt>
                <c:pt idx="833">
                  <c:v>-12.622253159512654</c:v>
                </c:pt>
                <c:pt idx="834">
                  <c:v>-12.634506734593796</c:v>
                </c:pt>
                <c:pt idx="835">
                  <c:v>-12.646760310152063</c:v>
                </c:pt>
                <c:pt idx="836">
                  <c:v>-12.65901388618733</c:v>
                </c:pt>
                <c:pt idx="837">
                  <c:v>-12.671267462699472</c:v>
                </c:pt>
                <c:pt idx="838">
                  <c:v>-12.683521039688362</c:v>
                </c:pt>
                <c:pt idx="839">
                  <c:v>-12.695774617153871</c:v>
                </c:pt>
                <c:pt idx="840">
                  <c:v>-12.708028195095876</c:v>
                </c:pt>
                <c:pt idx="841">
                  <c:v>-12.72028177351425</c:v>
                </c:pt>
                <c:pt idx="842">
                  <c:v>-12.732535352408865</c:v>
                </c:pt>
                <c:pt idx="843">
                  <c:v>-12.744788931779597</c:v>
                </c:pt>
                <c:pt idx="844">
                  <c:v>-12.757042511626318</c:v>
                </c:pt>
                <c:pt idx="845">
                  <c:v>-12.769296091948902</c:v>
                </c:pt>
                <c:pt idx="846">
                  <c:v>-12.781549672747223</c:v>
                </c:pt>
                <c:pt idx="847">
                  <c:v>-12.793803254021153</c:v>
                </c:pt>
                <c:pt idx="848">
                  <c:v>-12.806056835770567</c:v>
                </c:pt>
                <c:pt idx="849">
                  <c:v>-12.818310417995338</c:v>
                </c:pt>
                <c:pt idx="850">
                  <c:v>-12.830564000695341</c:v>
                </c:pt>
                <c:pt idx="851">
                  <c:v>-12.842817583870449</c:v>
                </c:pt>
                <c:pt idx="852">
                  <c:v>-12.855071167520535</c:v>
                </c:pt>
                <c:pt idx="853">
                  <c:v>-12.867324751645473</c:v>
                </c:pt>
                <c:pt idx="854">
                  <c:v>-12.879578336245137</c:v>
                </c:pt>
                <c:pt idx="855">
                  <c:v>-12.891831921319401</c:v>
                </c:pt>
                <c:pt idx="856">
                  <c:v>-12.904085506868137</c:v>
                </c:pt>
                <c:pt idx="857">
                  <c:v>-12.916339092891221</c:v>
                </c:pt>
                <c:pt idx="858">
                  <c:v>-12.928592679388524</c:v>
                </c:pt>
                <c:pt idx="859">
                  <c:v>-12.940846266359921</c:v>
                </c:pt>
                <c:pt idx="860">
                  <c:v>-12.953099853805286</c:v>
                </c:pt>
                <c:pt idx="861">
                  <c:v>-12.965353441724492</c:v>
                </c:pt>
                <c:pt idx="862">
                  <c:v>-12.977607030117413</c:v>
                </c:pt>
                <c:pt idx="863">
                  <c:v>-12.989860618983924</c:v>
                </c:pt>
                <c:pt idx="864">
                  <c:v>-13.002114208323897</c:v>
                </c:pt>
                <c:pt idx="865">
                  <c:v>-13.014367798137206</c:v>
                </c:pt>
                <c:pt idx="866">
                  <c:v>-13.026621388423726</c:v>
                </c:pt>
                <c:pt idx="867">
                  <c:v>-13.038874979183328</c:v>
                </c:pt>
                <c:pt idx="868">
                  <c:v>-13.051128570415887</c:v>
                </c:pt>
                <c:pt idx="869">
                  <c:v>-13.063382162121277</c:v>
                </c:pt>
                <c:pt idx="870">
                  <c:v>-13.075635754299372</c:v>
                </c:pt>
                <c:pt idx="871">
                  <c:v>-13.087889346950044</c:v>
                </c:pt>
                <c:pt idx="872">
                  <c:v>-13.100142940073169</c:v>
                </c:pt>
                <c:pt idx="873">
                  <c:v>-13.112396533668619</c:v>
                </c:pt>
                <c:pt idx="874">
                  <c:v>-13.124650127736269</c:v>
                </c:pt>
                <c:pt idx="875">
                  <c:v>-13.13690372227599</c:v>
                </c:pt>
                <c:pt idx="876">
                  <c:v>-13.14915731728766</c:v>
                </c:pt>
                <c:pt idx="877">
                  <c:v>-13.161410912771149</c:v>
                </c:pt>
                <c:pt idx="878">
                  <c:v>-13.173664508726333</c:v>
                </c:pt>
                <c:pt idx="879">
                  <c:v>-13.185918105153084</c:v>
                </c:pt>
                <c:pt idx="880">
                  <c:v>-13.198171702051276</c:v>
                </c:pt>
                <c:pt idx="881">
                  <c:v>-13.210425299420784</c:v>
                </c:pt>
                <c:pt idx="882">
                  <c:v>-13.222678897261479</c:v>
                </c:pt>
                <c:pt idx="883">
                  <c:v>-13.234932495573238</c:v>
                </c:pt>
                <c:pt idx="884">
                  <c:v>-13.247186094355932</c:v>
                </c:pt>
                <c:pt idx="885">
                  <c:v>-13.259439693609437</c:v>
                </c:pt>
                <c:pt idx="886">
                  <c:v>-13.271693293333625</c:v>
                </c:pt>
                <c:pt idx="887">
                  <c:v>-13.28394689352837</c:v>
                </c:pt>
                <c:pt idx="888">
                  <c:v>-13.296200494193547</c:v>
                </c:pt>
                <c:pt idx="889">
                  <c:v>-13.308454095329029</c:v>
                </c:pt>
                <c:pt idx="890">
                  <c:v>-13.32070769693469</c:v>
                </c:pt>
                <c:pt idx="891">
                  <c:v>-13.332961299010401</c:v>
                </c:pt>
                <c:pt idx="892">
                  <c:v>-13.345214901556039</c:v>
                </c:pt>
                <c:pt idx="893">
                  <c:v>-13.357468504571477</c:v>
                </c:pt>
                <c:pt idx="894">
                  <c:v>-13.369722108056589</c:v>
                </c:pt>
                <c:pt idx="895">
                  <c:v>-13.381975712011247</c:v>
                </c:pt>
                <c:pt idx="896">
                  <c:v>-13.394229316435327</c:v>
                </c:pt>
                <c:pt idx="897">
                  <c:v>-13.406482921328701</c:v>
                </c:pt>
                <c:pt idx="898">
                  <c:v>-13.418736526691243</c:v>
                </c:pt>
                <c:pt idx="899">
                  <c:v>-13.430990132522826</c:v>
                </c:pt>
                <c:pt idx="900">
                  <c:v>-13.443243738823327</c:v>
                </c:pt>
                <c:pt idx="901">
                  <c:v>-13.455497345592617</c:v>
                </c:pt>
                <c:pt idx="902">
                  <c:v>-13.467750952830571</c:v>
                </c:pt>
                <c:pt idx="903">
                  <c:v>-13.48000456053706</c:v>
                </c:pt>
                <c:pt idx="904">
                  <c:v>-13.49225816871196</c:v>
                </c:pt>
                <c:pt idx="905">
                  <c:v>-13.504511777355145</c:v>
                </c:pt>
                <c:pt idx="906">
                  <c:v>-13.516765386466489</c:v>
                </c:pt>
                <c:pt idx="907">
                  <c:v>-13.529018996045863</c:v>
                </c:pt>
                <c:pt idx="908">
                  <c:v>-13.541272606093145</c:v>
                </c:pt>
                <c:pt idx="909">
                  <c:v>-13.553526216608205</c:v>
                </c:pt>
                <c:pt idx="910">
                  <c:v>-13.565779827590919</c:v>
                </c:pt>
                <c:pt idx="911">
                  <c:v>-13.57803343904116</c:v>
                </c:pt>
                <c:pt idx="912">
                  <c:v>-13.590287050958802</c:v>
                </c:pt>
                <c:pt idx="913">
                  <c:v>-13.602540663343717</c:v>
                </c:pt>
                <c:pt idx="914">
                  <c:v>-13.614794276195783</c:v>
                </c:pt>
                <c:pt idx="915">
                  <c:v>-13.62704788951487</c:v>
                </c:pt>
                <c:pt idx="916">
                  <c:v>-13.639301503300853</c:v>
                </c:pt>
                <c:pt idx="917">
                  <c:v>-13.651555117553606</c:v>
                </c:pt>
                <c:pt idx="918">
                  <c:v>-13.663808732273001</c:v>
                </c:pt>
                <c:pt idx="919">
                  <c:v>-13.676062347458913</c:v>
                </c:pt>
                <c:pt idx="920">
                  <c:v>-13.688315963111217</c:v>
                </c:pt>
                <c:pt idx="921">
                  <c:v>-13.700569579229786</c:v>
                </c:pt>
                <c:pt idx="922">
                  <c:v>-13.712823195814492</c:v>
                </c:pt>
                <c:pt idx="923">
                  <c:v>-13.725076812865211</c:v>
                </c:pt>
                <c:pt idx="924">
                  <c:v>-13.737330430381816</c:v>
                </c:pt>
                <c:pt idx="925">
                  <c:v>-13.749584048364181</c:v>
                </c:pt>
                <c:pt idx="926">
                  <c:v>-13.761837666812179</c:v>
                </c:pt>
                <c:pt idx="927">
                  <c:v>-13.774091285725685</c:v>
                </c:pt>
                <c:pt idx="928">
                  <c:v>-13.786344905104572</c:v>
                </c:pt>
                <c:pt idx="929">
                  <c:v>-13.798598524948714</c:v>
                </c:pt>
                <c:pt idx="930">
                  <c:v>-13.810852145257986</c:v>
                </c:pt>
                <c:pt idx="931">
                  <c:v>-13.82310576603226</c:v>
                </c:pt>
                <c:pt idx="932">
                  <c:v>-13.83535938727141</c:v>
                </c:pt>
                <c:pt idx="933">
                  <c:v>-13.84761300897531</c:v>
                </c:pt>
                <c:pt idx="934">
                  <c:v>-13.859866631143834</c:v>
                </c:pt>
                <c:pt idx="935">
                  <c:v>-13.872120253776856</c:v>
                </c:pt>
                <c:pt idx="936">
                  <c:v>-13.88437387687425</c:v>
                </c:pt>
                <c:pt idx="937">
                  <c:v>-13.896627500435889</c:v>
                </c:pt>
                <c:pt idx="938">
                  <c:v>-13.908881124461647</c:v>
                </c:pt>
                <c:pt idx="939">
                  <c:v>-13.921134748951397</c:v>
                </c:pt>
                <c:pt idx="940">
                  <c:v>-13.933388373905014</c:v>
                </c:pt>
                <c:pt idx="941">
                  <c:v>-13.945641999322373</c:v>
                </c:pt>
                <c:pt idx="942">
                  <c:v>-13.957895625203346</c:v>
                </c:pt>
                <c:pt idx="943">
                  <c:v>-13.970149251547806</c:v>
                </c:pt>
                <c:pt idx="944">
                  <c:v>-13.982402878355629</c:v>
                </c:pt>
                <c:pt idx="945">
                  <c:v>-13.994656505626688</c:v>
                </c:pt>
                <c:pt idx="946">
                  <c:v>-14.006910133360856</c:v>
                </c:pt>
                <c:pt idx="947">
                  <c:v>-14.019163761558008</c:v>
                </c:pt>
                <c:pt idx="948">
                  <c:v>-14.031417390218017</c:v>
                </c:pt>
                <c:pt idx="949">
                  <c:v>-14.043671019340758</c:v>
                </c:pt>
                <c:pt idx="950">
                  <c:v>-14.055924648926103</c:v>
                </c:pt>
                <c:pt idx="951">
                  <c:v>-14.068178278973928</c:v>
                </c:pt>
                <c:pt idx="952">
                  <c:v>-14.080431909484105</c:v>
                </c:pt>
                <c:pt idx="953">
                  <c:v>-14.092685540456509</c:v>
                </c:pt>
                <c:pt idx="954">
                  <c:v>-14.104939171891013</c:v>
                </c:pt>
                <c:pt idx="955">
                  <c:v>-14.117192803787491</c:v>
                </c:pt>
                <c:pt idx="956">
                  <c:v>-14.129446436145818</c:v>
                </c:pt>
                <c:pt idx="957">
                  <c:v>-14.141700068965866</c:v>
                </c:pt>
                <c:pt idx="958">
                  <c:v>-14.153953702247509</c:v>
                </c:pt>
                <c:pt idx="959">
                  <c:v>-14.166207335990622</c:v>
                </c:pt>
                <c:pt idx="960">
                  <c:v>-14.178460970195079</c:v>
                </c:pt>
                <c:pt idx="961">
                  <c:v>-14.190714604860753</c:v>
                </c:pt>
                <c:pt idx="962">
                  <c:v>-14.202968239987518</c:v>
                </c:pt>
                <c:pt idx="963">
                  <c:v>-14.215221875575248</c:v>
                </c:pt>
                <c:pt idx="964">
                  <c:v>-14.227475511623817</c:v>
                </c:pt>
                <c:pt idx="965">
                  <c:v>-14.239729148133099</c:v>
                </c:pt>
                <c:pt idx="966">
                  <c:v>-14.251982785102967</c:v>
                </c:pt>
                <c:pt idx="967">
                  <c:v>-14.264236422533296</c:v>
                </c:pt>
                <c:pt idx="968">
                  <c:v>-14.276490060423958</c:v>
                </c:pt>
                <c:pt idx="969">
                  <c:v>-14.288743698774828</c:v>
                </c:pt>
                <c:pt idx="970">
                  <c:v>-14.30099733758578</c:v>
                </c:pt>
                <c:pt idx="971">
                  <c:v>-14.31325097685669</c:v>
                </c:pt>
                <c:pt idx="972">
                  <c:v>-14.325504616587429</c:v>
                </c:pt>
                <c:pt idx="973">
                  <c:v>-14.337758256777871</c:v>
                </c:pt>
                <c:pt idx="974">
                  <c:v>-14.350011897427891</c:v>
                </c:pt>
                <c:pt idx="975">
                  <c:v>-14.362265538537361</c:v>
                </c:pt>
                <c:pt idx="976">
                  <c:v>-14.374519180106157</c:v>
                </c:pt>
                <c:pt idx="977">
                  <c:v>-14.386772822134152</c:v>
                </c:pt>
                <c:pt idx="978">
                  <c:v>-14.399026464621219</c:v>
                </c:pt>
                <c:pt idx="979">
                  <c:v>-14.411280107567233</c:v>
                </c:pt>
                <c:pt idx="980">
                  <c:v>-14.423533750972068</c:v>
                </c:pt>
                <c:pt idx="981">
                  <c:v>-14.435787394835598</c:v>
                </c:pt>
                <c:pt idx="982">
                  <c:v>-14.448041039157697</c:v>
                </c:pt>
                <c:pt idx="983">
                  <c:v>-14.460294683938239</c:v>
                </c:pt>
                <c:pt idx="984">
                  <c:v>-14.472548329177096</c:v>
                </c:pt>
                <c:pt idx="985">
                  <c:v>-14.484801974874143</c:v>
                </c:pt>
                <c:pt idx="986">
                  <c:v>-14.497055621029254</c:v>
                </c:pt>
                <c:pt idx="987">
                  <c:v>-14.509309267642303</c:v>
                </c:pt>
                <c:pt idx="988">
                  <c:v>-14.521562914713165</c:v>
                </c:pt>
                <c:pt idx="989">
                  <c:v>-14.533816562241713</c:v>
                </c:pt>
                <c:pt idx="990">
                  <c:v>-14.546070210227819</c:v>
                </c:pt>
                <c:pt idx="991">
                  <c:v>-14.558323858671359</c:v>
                </c:pt>
                <c:pt idx="992">
                  <c:v>-14.570577507572207</c:v>
                </c:pt>
                <c:pt idx="993">
                  <c:v>-14.582831156930236</c:v>
                </c:pt>
                <c:pt idx="994">
                  <c:v>-14.595084806745321</c:v>
                </c:pt>
                <c:pt idx="995">
                  <c:v>-14.607338457017335</c:v>
                </c:pt>
                <c:pt idx="996">
                  <c:v>-14.619592107746151</c:v>
                </c:pt>
                <c:pt idx="997">
                  <c:v>-14.631845758931645</c:v>
                </c:pt>
                <c:pt idx="998">
                  <c:v>-14.644099410573689</c:v>
                </c:pt>
                <c:pt idx="999">
                  <c:v>-14.65635306267216</c:v>
                </c:pt>
                <c:pt idx="1000">
                  <c:v>-14.668606715226929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0-41C6-97FC-918778B1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9072"/>
        <c:axId val="149620992"/>
      </c:scatterChart>
      <c:valAx>
        <c:axId val="149619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620992"/>
        <c:crosses val="autoZero"/>
        <c:crossBetween val="midCat"/>
      </c:valAx>
      <c:valAx>
        <c:axId val="149620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Positions [m]</a:t>
                </a:r>
              </a:p>
            </c:rich>
          </c:tx>
          <c:layout>
            <c:manualLayout>
              <c:xMode val="edge"/>
              <c:yMode val="edge"/>
              <c:x val="2.0047169811320761E-2"/>
              <c:y val="0.3006547681539808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619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86169712276531"/>
          <c:y val="0.4888892388451444"/>
          <c:w val="0.13679257663546773"/>
          <c:h val="0.15777777777777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Propu!$A$2</c:f>
          <c:strCache>
            <c:ptCount val="1"/>
            <c:pt idx="0">
              <c:v>Pandora (Pro24-6G BS)</c:v>
            </c:pt>
          </c:strCache>
        </c:strRef>
      </c:tx>
      <c:layout>
        <c:manualLayout>
          <c:xMode val="edge"/>
          <c:yMode val="edge"/>
          <c:x val="0.47127077646762688"/>
          <c:y val="3.9178592393174498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96559551677733E-2"/>
          <c:y val="5.5426586068345711E-2"/>
          <c:w val="0.88973722710617964"/>
          <c:h val="0.82390179871348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Propu!$A$4</c:f>
              <c:strCache>
                <c:ptCount val="1"/>
                <c:pt idx="0">
                  <c:v>Poussée (en N)</c:v>
                </c:pt>
              </c:strCache>
            </c:strRef>
          </c:tx>
          <c:spPr>
            <a:ln w="25400">
              <a:solidFill>
                <a:srgbClr val="00458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Propu!$B$3:$X$3</c:f>
              <c:numCache>
                <c:formatCode>General</c:formatCode>
                <c:ptCount val="2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0.62</c:v>
                </c:pt>
                <c:pt idx="4">
                  <c:v>0.66</c:v>
                </c:pt>
                <c:pt idx="5">
                  <c:v>0.68</c:v>
                </c:pt>
                <c:pt idx="6">
                  <c:v>0.8</c:v>
                </c:pt>
                <c:pt idx="7">
                  <c:v>0.84</c:v>
                </c:pt>
                <c:pt idx="8">
                  <c:v>0.88</c:v>
                </c:pt>
                <c:pt idx="9">
                  <c:v>0.92</c:v>
                </c:pt>
                <c:pt idx="10">
                  <c:v>0.96</c:v>
                </c:pt>
                <c:pt idx="11">
                  <c:v>1</c:v>
                </c:pt>
                <c:pt idx="12">
                  <c:v>1.08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xVal>
          <c:yVal>
            <c:numRef>
              <c:f>Propu!$B$4:$X$4</c:f>
              <c:numCache>
                <c:formatCode>General</c:formatCode>
                <c:ptCount val="23"/>
                <c:pt idx="0">
                  <c:v>0</c:v>
                </c:pt>
                <c:pt idx="1">
                  <c:v>250</c:v>
                </c:pt>
                <c:pt idx="2">
                  <c:v>210</c:v>
                </c:pt>
                <c:pt idx="3">
                  <c:v>160</c:v>
                </c:pt>
                <c:pt idx="4">
                  <c:v>150</c:v>
                </c:pt>
                <c:pt idx="5">
                  <c:v>142</c:v>
                </c:pt>
                <c:pt idx="6">
                  <c:v>62</c:v>
                </c:pt>
                <c:pt idx="7">
                  <c:v>48</c:v>
                </c:pt>
                <c:pt idx="8">
                  <c:v>34</c:v>
                </c:pt>
                <c:pt idx="9">
                  <c:v>24</c:v>
                </c:pt>
                <c:pt idx="10">
                  <c:v>15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8-4D3E-A59C-8AF2F5D3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8480"/>
        <c:axId val="193451520"/>
      </c:scatterChart>
      <c:valAx>
        <c:axId val="193428480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Temps / Time [s]</a:t>
                </a:r>
              </a:p>
            </c:rich>
          </c:tx>
          <c:layout>
            <c:manualLayout>
              <c:xMode val="edge"/>
              <c:yMode val="edge"/>
              <c:x val="0.78665554917523417"/>
              <c:y val="0.68868125417484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451520"/>
        <c:crosses val="autoZero"/>
        <c:crossBetween val="midCat"/>
      </c:valAx>
      <c:valAx>
        <c:axId val="19345152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Poussée / Thrust [N]</a:t>
                </a:r>
              </a:p>
            </c:rich>
          </c:tx>
          <c:layout>
            <c:manualLayout>
              <c:xMode val="edge"/>
              <c:yMode val="edge"/>
              <c:x val="8.5144147191391295E-2"/>
              <c:y val="0.35327652166872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428480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trlProps/ctrlProp1.xml><?xml version="1.0" encoding="utf-8"?>
<formControlPr xmlns="http://schemas.microsoft.com/office/spreadsheetml/2009/9/main" objectType="Spin" dx="15" fmlaLink="$C$22" inc="25" max="30000" noThreeD="1" page="10" val="280"/>
</file>

<file path=xl/ctrlProps/ctrlProp10.xml><?xml version="1.0" encoding="utf-8"?>
<formControlPr xmlns="http://schemas.microsoft.com/office/spreadsheetml/2009/9/main" objectType="Spin" dx="15" fmlaLink="$C$32" max="6" min="3" noThreeD="1" page="10" val="4"/>
</file>

<file path=xl/ctrlProps/ctrlProp11.xml><?xml version="1.0" encoding="utf-8"?>
<formControlPr xmlns="http://schemas.microsoft.com/office/spreadsheetml/2009/9/main" objectType="Spin" dx="15" fmlaLink="$C$13" inc="50" max="30000" noThreeD="1" page="10" val="1050"/>
</file>

<file path=xl/ctrlProps/ctrlProp12.xml><?xml version="1.0" encoding="utf-8"?>
<formControlPr xmlns="http://schemas.microsoft.com/office/spreadsheetml/2009/9/main" objectType="Spin" dx="15" fmlaLink="$C$11" inc="100" max="30000" noThreeD="1" page="10" val="2000"/>
</file>

<file path=xl/ctrlProps/ctrlProp13.xml><?xml version="1.0" encoding="utf-8"?>
<formControlPr xmlns="http://schemas.microsoft.com/office/spreadsheetml/2009/9/main" objectType="Spin" dx="15" fmlaLink="$C$11" inc="100" max="30000" noThreeD="1" page="10" val="2000"/>
</file>

<file path=xl/ctrlProps/ctrlProp14.xml><?xml version="1.0" encoding="utf-8"?>
<formControlPr xmlns="http://schemas.microsoft.com/office/spreadsheetml/2009/9/main" objectType="Spin" dx="15" fmlaLink="Stabilito!C11" inc="100" max="30000" noThreeD="1" page="10" val="2000"/>
</file>

<file path=xl/ctrlProps/ctrlProp15.xml><?xml version="1.0" encoding="utf-8"?>
<formControlPr xmlns="http://schemas.microsoft.com/office/spreadsheetml/2009/9/main" objectType="Spin" dx="15" fmlaLink="$B$43" inc="50" max="30000" noThreeD="1" page="10" val="200"/>
</file>

<file path=xl/ctrlProps/ctrlProp16.xml><?xml version="1.0" encoding="utf-8"?>
<formControlPr xmlns="http://schemas.microsoft.com/office/spreadsheetml/2009/9/main" objectType="Spin" dx="15" fmlaLink="$B$45" inc="50" max="30000" noThreeD="1" page="10" val="250"/>
</file>

<file path=xl/ctrlProps/ctrlProp17.xml><?xml version="1.0" encoding="utf-8"?>
<formControlPr xmlns="http://schemas.microsoft.com/office/spreadsheetml/2009/9/main" objectType="Spin" dx="15" fmlaLink="$B$51" inc="50" max="30000" noThreeD="1" page="10" val="499"/>
</file>

<file path=xl/ctrlProps/ctrlProp18.xml><?xml version="1.0" encoding="utf-8"?>
<formControlPr xmlns="http://schemas.microsoft.com/office/spreadsheetml/2009/9/main" objectType="Spin" dx="15" fmlaLink="$B$53" inc="5" max="30000" noThreeD="1" page="10" val="29"/>
</file>

<file path=xl/ctrlProps/ctrlProp19.xml><?xml version="1.0" encoding="utf-8"?>
<formControlPr xmlns="http://schemas.microsoft.com/office/spreadsheetml/2009/9/main" objectType="Spin" dx="15" fmlaLink="Stabilito!C11" inc="100" max="30000" noThreeD="1" page="10" val="2000"/>
</file>

<file path=xl/ctrlProps/ctrlProp2.xml><?xml version="1.0" encoding="utf-8"?>
<formControlPr xmlns="http://schemas.microsoft.com/office/spreadsheetml/2009/9/main" objectType="Spin" dx="15" fmlaLink="$C$11" inc="100" max="30000" noThreeD="1" page="10" val="2000"/>
</file>

<file path=xl/ctrlProps/ctrlProp20.xml><?xml version="1.0" encoding="utf-8"?>
<formControlPr xmlns="http://schemas.microsoft.com/office/spreadsheetml/2009/9/main" objectType="Spin" dx="15" fmlaLink="Stabilito!C11" inc="100" max="30000" noThreeD="1" page="10" val="2000"/>
</file>

<file path=xl/ctrlProps/ctrlProp3.xml><?xml version="1.0" encoding="utf-8"?>
<formControlPr xmlns="http://schemas.microsoft.com/office/spreadsheetml/2009/9/main" objectType="Spin" dx="15" fmlaLink="$C$12" inc="50" max="30000" noThreeD="1" page="10" val="610"/>
</file>

<file path=xl/ctrlProps/ctrlProp4.xml><?xml version="1.0" encoding="utf-8"?>
<formControlPr xmlns="http://schemas.microsoft.com/office/spreadsheetml/2009/9/main" objectType="Spin" dx="15" fmlaLink="$C$23" inc="20" max="30000" noThreeD="1" page="10" val="64"/>
</file>

<file path=xl/ctrlProps/ctrlProp5.xml><?xml version="1.0" encoding="utf-8"?>
<formControlPr xmlns="http://schemas.microsoft.com/office/spreadsheetml/2009/9/main" objectType="Spin" dx="15" fmlaLink="$C$27" inc="10" max="30000" noThreeD="1" page="10" val="178"/>
</file>

<file path=xl/ctrlProps/ctrlProp6.xml><?xml version="1.0" encoding="utf-8"?>
<formControlPr xmlns="http://schemas.microsoft.com/office/spreadsheetml/2009/9/main" objectType="Spin" dx="15" fmlaLink="$C$28" inc="10" max="30000" noThreeD="1" page="10" val="80"/>
</file>

<file path=xl/ctrlProps/ctrlProp7.xml><?xml version="1.0" encoding="utf-8"?>
<formControlPr xmlns="http://schemas.microsoft.com/office/spreadsheetml/2009/9/main" objectType="Spin" dx="15" fmlaLink="$C$29" inc="10" max="30000" noThreeD="1" page="10" val="140"/>
</file>

<file path=xl/ctrlProps/ctrlProp8.xml><?xml version="1.0" encoding="utf-8"?>
<formControlPr xmlns="http://schemas.microsoft.com/office/spreadsheetml/2009/9/main" objectType="Spin" dx="15" fmlaLink="$C$30" inc="10" max="30000" noThreeD="1" page="10" val="100"/>
</file>

<file path=xl/ctrlProps/ctrlProp9.xml><?xml version="1.0" encoding="utf-8"?>
<formControlPr xmlns="http://schemas.microsoft.com/office/spreadsheetml/2009/9/main" objectType="Spin" dx="15" fmlaLink="$C$31" max="30000" noThreeD="1" page="10" val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emf"/><Relationship Id="rId18" Type="http://schemas.openxmlformats.org/officeDocument/2006/relationships/image" Target="../media/image24.emf"/><Relationship Id="rId26" Type="http://schemas.openxmlformats.org/officeDocument/2006/relationships/image" Target="../media/image32.emf"/><Relationship Id="rId3" Type="http://schemas.openxmlformats.org/officeDocument/2006/relationships/image" Target="../media/image9.emf"/><Relationship Id="rId21" Type="http://schemas.openxmlformats.org/officeDocument/2006/relationships/image" Target="../media/image27.emf"/><Relationship Id="rId34" Type="http://schemas.openxmlformats.org/officeDocument/2006/relationships/image" Target="../media/image40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5" Type="http://schemas.openxmlformats.org/officeDocument/2006/relationships/image" Target="../media/image31.emf"/><Relationship Id="rId33" Type="http://schemas.openxmlformats.org/officeDocument/2006/relationships/image" Target="../media/image39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20" Type="http://schemas.openxmlformats.org/officeDocument/2006/relationships/image" Target="../media/image26.emf"/><Relationship Id="rId29" Type="http://schemas.openxmlformats.org/officeDocument/2006/relationships/image" Target="../media/image35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24" Type="http://schemas.openxmlformats.org/officeDocument/2006/relationships/image" Target="../media/image30.emf"/><Relationship Id="rId32" Type="http://schemas.openxmlformats.org/officeDocument/2006/relationships/image" Target="../media/image38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23" Type="http://schemas.openxmlformats.org/officeDocument/2006/relationships/image" Target="../media/image29.emf"/><Relationship Id="rId28" Type="http://schemas.openxmlformats.org/officeDocument/2006/relationships/image" Target="../media/image34.emf"/><Relationship Id="rId36" Type="http://schemas.openxmlformats.org/officeDocument/2006/relationships/image" Target="../media/image42.emf"/><Relationship Id="rId10" Type="http://schemas.openxmlformats.org/officeDocument/2006/relationships/image" Target="../media/image16.emf"/><Relationship Id="rId19" Type="http://schemas.openxmlformats.org/officeDocument/2006/relationships/image" Target="../media/image25.emf"/><Relationship Id="rId31" Type="http://schemas.openxmlformats.org/officeDocument/2006/relationships/image" Target="../media/image37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Relationship Id="rId22" Type="http://schemas.openxmlformats.org/officeDocument/2006/relationships/image" Target="../media/image28.emf"/><Relationship Id="rId27" Type="http://schemas.openxmlformats.org/officeDocument/2006/relationships/image" Target="../media/image33.emf"/><Relationship Id="rId30" Type="http://schemas.openxmlformats.org/officeDocument/2006/relationships/image" Target="../media/image36.emf"/><Relationship Id="rId35" Type="http://schemas.openxmlformats.org/officeDocument/2006/relationships/image" Target="../media/image41.emf"/><Relationship Id="rId8" Type="http://schemas.openxmlformats.org/officeDocument/2006/relationships/image" Target="../media/image1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Relationship Id="rId5" Type="http://schemas.openxmlformats.org/officeDocument/2006/relationships/image" Target="../media/image43.emf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5.png"/><Relationship Id="rId1" Type="http://schemas.openxmlformats.org/officeDocument/2006/relationships/image" Target="../media/image4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25400</xdr:rowOff>
    </xdr:from>
    <xdr:to>
      <xdr:col>12</xdr:col>
      <xdr:colOff>488950</xdr:colOff>
      <xdr:row>1</xdr:row>
      <xdr:rowOff>139700</xdr:rowOff>
    </xdr:to>
    <xdr:grpSp>
      <xdr:nvGrpSpPr>
        <xdr:cNvPr id="5096993" name="Groupe 1">
          <a:extLst>
            <a:ext uri="{FF2B5EF4-FFF2-40B4-BE49-F238E27FC236}">
              <a16:creationId xmlns:a16="http://schemas.microsoft.com/office/drawing/2014/main" id="{00000000-0008-0000-0000-000021C64D00}"/>
            </a:ext>
          </a:extLst>
        </xdr:cNvPr>
        <xdr:cNvGrpSpPr>
          <a:grpSpLocks/>
        </xdr:cNvGrpSpPr>
      </xdr:nvGrpSpPr>
      <xdr:grpSpPr bwMode="auto">
        <a:xfrm>
          <a:off x="7727512" y="184150"/>
          <a:ext cx="463550" cy="114300"/>
          <a:chOff x="7067550" y="190500"/>
          <a:chExt cx="438150" cy="114300"/>
        </a:xfrm>
      </xdr:grpSpPr>
      <xdr:pic>
        <xdr:nvPicPr>
          <xdr:cNvPr id="5096999" name="Image 1">
            <a:extLst>
              <a:ext uri="{FF2B5EF4-FFF2-40B4-BE49-F238E27FC236}">
                <a16:creationId xmlns:a16="http://schemas.microsoft.com/office/drawing/2014/main" id="{00000000-0008-0000-0000-000027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67550" y="190500"/>
            <a:ext cx="171450" cy="1143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097000" name="Image 2">
            <a:extLst>
              <a:ext uri="{FF2B5EF4-FFF2-40B4-BE49-F238E27FC236}">
                <a16:creationId xmlns:a16="http://schemas.microsoft.com/office/drawing/2014/main" id="{00000000-0008-0000-0000-000028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7277100" y="190500"/>
            <a:ext cx="228600" cy="1143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5</xdr:col>
      <xdr:colOff>16566</xdr:colOff>
      <xdr:row>1</xdr:row>
      <xdr:rowOff>1</xdr:rowOff>
    </xdr:from>
    <xdr:to>
      <xdr:col>10</xdr:col>
      <xdr:colOff>0</xdr:colOff>
      <xdr:row>24</xdr:row>
      <xdr:rowOff>24848</xdr:rowOff>
    </xdr:to>
    <xdr:graphicFrame macro="">
      <xdr:nvGraphicFramePr>
        <xdr:cNvPr id="5096994" name="Graphique 9">
          <a:extLst>
            <a:ext uri="{FF2B5EF4-FFF2-40B4-BE49-F238E27FC236}">
              <a16:creationId xmlns:a16="http://schemas.microsoft.com/office/drawing/2014/main" id="{00000000-0008-0000-0000-000022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5096995" name="Graphique 19">
          <a:extLst>
            <a:ext uri="{FF2B5EF4-FFF2-40B4-BE49-F238E27FC236}">
              <a16:creationId xmlns:a16="http://schemas.microsoft.com/office/drawing/2014/main" id="{00000000-0008-0000-0000-000023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5</xdr:row>
      <xdr:rowOff>1722</xdr:rowOff>
    </xdr:to>
    <xdr:pic>
      <xdr:nvPicPr>
        <xdr:cNvPr id="5096996" name="Picture 8" descr="logoplasci">
          <a:extLst>
            <a:ext uri="{FF2B5EF4-FFF2-40B4-BE49-F238E27FC236}">
              <a16:creationId xmlns:a16="http://schemas.microsoft.com/office/drawing/2014/main" id="{00000000-0008-0000-0000-000024C64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2400" y="15875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36</xdr:row>
      <xdr:rowOff>133350</xdr:rowOff>
    </xdr:from>
    <xdr:to>
      <xdr:col>2</xdr:col>
      <xdr:colOff>850900</xdr:colOff>
      <xdr:row>48</xdr:row>
      <xdr:rowOff>41275</xdr:rowOff>
    </xdr:to>
    <xdr:pic>
      <xdr:nvPicPr>
        <xdr:cNvPr id="5096997" name="Image 1">
          <a:extLst>
            <a:ext uri="{FF2B5EF4-FFF2-40B4-BE49-F238E27FC236}">
              <a16:creationId xmlns:a16="http://schemas.microsoft.com/office/drawing/2014/main" id="{00000000-0008-0000-0000-000025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42875" y="5962650"/>
          <a:ext cx="1936750" cy="185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3</xdr:row>
      <xdr:rowOff>12700</xdr:rowOff>
    </xdr:from>
    <xdr:to>
      <xdr:col>20</xdr:col>
      <xdr:colOff>565150</xdr:colOff>
      <xdr:row>9</xdr:row>
      <xdr:rowOff>12700</xdr:rowOff>
    </xdr:to>
    <xdr:pic>
      <xdr:nvPicPr>
        <xdr:cNvPr id="5096998" name="Image 2">
          <a:extLst>
            <a:ext uri="{FF2B5EF4-FFF2-40B4-BE49-F238E27FC236}">
              <a16:creationId xmlns:a16="http://schemas.microsoft.com/office/drawing/2014/main" id="{00000000-0008-0000-0000-000026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810750" y="488950"/>
          <a:ext cx="21526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749300</xdr:colOff>
          <xdr:row>21</xdr:row>
          <xdr:rowOff>12700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6775" name="Spinner 935" hidden="1">
              <a:extLst>
                <a:ext uri="{63B3BB69-23CF-44E3-9099-C40C66FF867C}">
                  <a14:compatExt spid="_x0000_s36775"/>
                </a:ext>
                <a:ext uri="{FF2B5EF4-FFF2-40B4-BE49-F238E27FC236}">
                  <a16:creationId xmlns:a16="http://schemas.microsoft.com/office/drawing/2014/main" id="{00000000-0008-0000-0000-0000A7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749300</xdr:colOff>
          <xdr:row>10</xdr:row>
          <xdr:rowOff>12700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36781" name="Spinner 941" hidden="1">
              <a:extLst>
                <a:ext uri="{63B3BB69-23CF-44E3-9099-C40C66FF867C}">
                  <a14:compatExt spid="_x0000_s36781"/>
                </a:ext>
                <a:ext uri="{FF2B5EF4-FFF2-40B4-BE49-F238E27FC236}">
                  <a16:creationId xmlns:a16="http://schemas.microsoft.com/office/drawing/2014/main" id="{00000000-0008-0000-0000-0000A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749300</xdr:colOff>
          <xdr:row>11</xdr:row>
          <xdr:rowOff>12700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36782" name="Spinner 942" hidden="1">
              <a:extLst>
                <a:ext uri="{63B3BB69-23CF-44E3-9099-C40C66FF867C}">
                  <a14:compatExt spid="_x0000_s36782"/>
                </a:ext>
                <a:ext uri="{FF2B5EF4-FFF2-40B4-BE49-F238E27FC236}">
                  <a16:creationId xmlns:a16="http://schemas.microsoft.com/office/drawing/2014/main" id="{00000000-0008-0000-0000-0000A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749300</xdr:colOff>
          <xdr:row>22</xdr:row>
          <xdr:rowOff>12700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36783" name="Spinner 943" hidden="1">
              <a:extLst>
                <a:ext uri="{63B3BB69-23CF-44E3-9099-C40C66FF867C}">
                  <a14:compatExt spid="_x0000_s36783"/>
                </a:ext>
                <a:ext uri="{FF2B5EF4-FFF2-40B4-BE49-F238E27FC236}">
                  <a16:creationId xmlns:a16="http://schemas.microsoft.com/office/drawing/2014/main" id="{00000000-0008-0000-0000-0000A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749300</xdr:colOff>
          <xdr:row>26</xdr:row>
          <xdr:rowOff>12700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36789" name="Spinner 949" hidden="1">
              <a:extLst>
                <a:ext uri="{63B3BB69-23CF-44E3-9099-C40C66FF867C}">
                  <a14:compatExt spid="_x0000_s36789"/>
                </a:ext>
                <a:ext uri="{FF2B5EF4-FFF2-40B4-BE49-F238E27FC236}">
                  <a16:creationId xmlns:a16="http://schemas.microsoft.com/office/drawing/2014/main" id="{00000000-0008-0000-0000-0000B5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749300</xdr:colOff>
          <xdr:row>27</xdr:row>
          <xdr:rowOff>12700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6795" name="Spinner 955" hidden="1">
              <a:extLst>
                <a:ext uri="{63B3BB69-23CF-44E3-9099-C40C66FF867C}">
                  <a14:compatExt spid="_x0000_s36795"/>
                </a:ext>
                <a:ext uri="{FF2B5EF4-FFF2-40B4-BE49-F238E27FC236}">
                  <a16:creationId xmlns:a16="http://schemas.microsoft.com/office/drawing/2014/main" id="{00000000-0008-0000-0000-0000BB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749300</xdr:colOff>
          <xdr:row>28</xdr:row>
          <xdr:rowOff>12700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6796" name="Spinner 956" hidden="1">
              <a:extLst>
                <a:ext uri="{63B3BB69-23CF-44E3-9099-C40C66FF867C}">
                  <a14:compatExt spid="_x0000_s36796"/>
                </a:ext>
                <a:ext uri="{FF2B5EF4-FFF2-40B4-BE49-F238E27FC236}">
                  <a16:creationId xmlns:a16="http://schemas.microsoft.com/office/drawing/2014/main" id="{00000000-0008-0000-0000-0000BC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749300</xdr:colOff>
          <xdr:row>29</xdr:row>
          <xdr:rowOff>12700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36797" name="Spinner 957" hidden="1">
              <a:extLst>
                <a:ext uri="{63B3BB69-23CF-44E3-9099-C40C66FF867C}">
                  <a14:compatExt spid="_x0000_s36797"/>
                </a:ext>
                <a:ext uri="{FF2B5EF4-FFF2-40B4-BE49-F238E27FC236}">
                  <a16:creationId xmlns:a16="http://schemas.microsoft.com/office/drawing/2014/main" id="{00000000-0008-0000-0000-0000B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749300</xdr:colOff>
          <xdr:row>30</xdr:row>
          <xdr:rowOff>12700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36798" name="Spinner 958" hidden="1">
              <a:extLst>
                <a:ext uri="{63B3BB69-23CF-44E3-9099-C40C66FF867C}">
                  <a14:compatExt spid="_x0000_s36798"/>
                </a:ext>
                <a:ext uri="{FF2B5EF4-FFF2-40B4-BE49-F238E27FC236}">
                  <a16:creationId xmlns:a16="http://schemas.microsoft.com/office/drawing/2014/main" id="{00000000-0008-0000-0000-0000B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749300</xdr:colOff>
          <xdr:row>31</xdr:row>
          <xdr:rowOff>12700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36799" name="Spinner 959" hidden="1">
              <a:extLst>
                <a:ext uri="{63B3BB69-23CF-44E3-9099-C40C66FF867C}">
                  <a14:compatExt spid="_x0000_s36799"/>
                </a:ext>
                <a:ext uri="{FF2B5EF4-FFF2-40B4-BE49-F238E27FC236}">
                  <a16:creationId xmlns:a16="http://schemas.microsoft.com/office/drawing/2014/main" id="{00000000-0008-0000-0000-0000B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749300</xdr:colOff>
          <xdr:row>12</xdr:row>
          <xdr:rowOff>12700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36801" name="Spinner 961" hidden="1">
              <a:extLst>
                <a:ext uri="{63B3BB69-23CF-44E3-9099-C40C66FF867C}">
                  <a14:compatExt spid="_x0000_s36801"/>
                </a:ext>
                <a:ext uri="{FF2B5EF4-FFF2-40B4-BE49-F238E27FC236}">
                  <a16:creationId xmlns:a16="http://schemas.microsoft.com/office/drawing/2014/main" id="{00000000-0008-0000-0000-0000C1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12700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1" name="Spinner 3315" hidden="1">
              <a:extLst>
                <a:ext uri="{63B3BB69-23CF-44E3-9099-C40C66FF867C}">
                  <a14:compatExt spid="_x0000_s5096691"/>
                </a:ext>
                <a:ext uri="{FF2B5EF4-FFF2-40B4-BE49-F238E27FC236}">
                  <a16:creationId xmlns:a16="http://schemas.microsoft.com/office/drawing/2014/main" id="{00000000-0008-0000-0000-0000F3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12700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2" name="Spinner 3316" hidden="1">
              <a:extLst>
                <a:ext uri="{63B3BB69-23CF-44E3-9099-C40C66FF867C}">
                  <a14:compatExt spid="_x0000_s5096692"/>
                </a:ext>
                <a:ext uri="{FF2B5EF4-FFF2-40B4-BE49-F238E27FC236}">
                  <a16:creationId xmlns:a16="http://schemas.microsoft.com/office/drawing/2014/main" id="{00000000-0008-0000-0000-0000F4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4779983" name="Graphique 1">
          <a:extLst>
            <a:ext uri="{FF2B5EF4-FFF2-40B4-BE49-F238E27FC236}">
              <a16:creationId xmlns:a16="http://schemas.microsoft.com/office/drawing/2014/main" id="{00000000-0008-0000-0100-0000CFEF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4779984" name="Graphique 2">
          <a:extLst>
            <a:ext uri="{FF2B5EF4-FFF2-40B4-BE49-F238E27FC236}">
              <a16:creationId xmlns:a16="http://schemas.microsoft.com/office/drawing/2014/main" id="{00000000-0008-0000-0100-0000D0EF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4</xdr:row>
      <xdr:rowOff>152400</xdr:rowOff>
    </xdr:to>
    <xdr:pic>
      <xdr:nvPicPr>
        <xdr:cNvPr id="4779985" name="Picture 8" descr="logoplasci">
          <a:extLst>
            <a:ext uri="{FF2B5EF4-FFF2-40B4-BE49-F238E27FC236}">
              <a16:creationId xmlns:a16="http://schemas.microsoft.com/office/drawing/2014/main" id="{00000000-0008-0000-0100-0000D1EF4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400" y="16510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139700</xdr:colOff>
      <xdr:row>38</xdr:row>
      <xdr:rowOff>120650</xdr:rowOff>
    </xdr:from>
    <xdr:to>
      <xdr:col>3</xdr:col>
      <xdr:colOff>723900</xdr:colOff>
      <xdr:row>46</xdr:row>
      <xdr:rowOff>0</xdr:rowOff>
    </xdr:to>
    <xdr:grpSp>
      <xdr:nvGrpSpPr>
        <xdr:cNvPr id="4779986" name="Groupe 1">
          <a:extLst>
            <a:ext uri="{FF2B5EF4-FFF2-40B4-BE49-F238E27FC236}">
              <a16:creationId xmlns:a16="http://schemas.microsoft.com/office/drawing/2014/main" id="{00000000-0008-0000-0100-0000D2EF4800}"/>
            </a:ext>
          </a:extLst>
        </xdr:cNvPr>
        <xdr:cNvGrpSpPr>
          <a:grpSpLocks/>
        </xdr:cNvGrpSpPr>
      </xdr:nvGrpSpPr>
      <xdr:grpSpPr bwMode="auto">
        <a:xfrm>
          <a:off x="1433003" y="6202668"/>
          <a:ext cx="1382319" cy="1184304"/>
          <a:chOff x="1362075" y="6410325"/>
          <a:chExt cx="1319468" cy="1181100"/>
        </a:xfrm>
      </xdr:grpSpPr>
      <xdr:sp macro="" textlink="">
        <xdr:nvSpPr>
          <xdr:cNvPr id="4779991" name="Line 320">
            <a:extLst>
              <a:ext uri="{FF2B5EF4-FFF2-40B4-BE49-F238E27FC236}">
                <a16:creationId xmlns:a16="http://schemas.microsoft.com/office/drawing/2014/main" id="{00000000-0008-0000-0100-0000D7EF48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2415" y="7296150"/>
            <a:ext cx="35118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  <xdr:sp macro="" textlink="">
        <xdr:nvSpPr>
          <xdr:cNvPr id="4779992" name="Rectangle 314">
            <a:extLst>
              <a:ext uri="{FF2B5EF4-FFF2-40B4-BE49-F238E27FC236}">
                <a16:creationId xmlns:a16="http://schemas.microsoft.com/office/drawing/2014/main" id="{00000000-0008-0000-0100-0000D8EF4800}"/>
              </a:ext>
            </a:extLst>
          </xdr:cNvPr>
          <xdr:cNvSpPr>
            <a:spLocks noChangeArrowheads="1"/>
          </xdr:cNvSpPr>
        </xdr:nvSpPr>
        <xdr:spPr bwMode="auto">
          <a:xfrm>
            <a:off x="1833672" y="6410325"/>
            <a:ext cx="481630" cy="1181100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779993" name="Rectangle 315">
            <a:extLst>
              <a:ext uri="{FF2B5EF4-FFF2-40B4-BE49-F238E27FC236}">
                <a16:creationId xmlns:a16="http://schemas.microsoft.com/office/drawing/2014/main" id="{00000000-0008-0000-0100-0000D9EF48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1838363" y="6388995"/>
            <a:ext cx="482283" cy="1204076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779994" name="Line 316">
            <a:extLst>
              <a:ext uri="{FF2B5EF4-FFF2-40B4-BE49-F238E27FC236}">
                <a16:creationId xmlns:a16="http://schemas.microsoft.com/office/drawing/2014/main" id="{00000000-0008-0000-0100-0000DAEF4800}"/>
              </a:ext>
            </a:extLst>
          </xdr:cNvPr>
          <xdr:cNvSpPr>
            <a:spLocks noChangeShapeType="1"/>
          </xdr:cNvSpPr>
        </xdr:nvSpPr>
        <xdr:spPr bwMode="auto">
          <a:xfrm>
            <a:off x="1833672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79995" name="Line 317">
            <a:extLst>
              <a:ext uri="{FF2B5EF4-FFF2-40B4-BE49-F238E27FC236}">
                <a16:creationId xmlns:a16="http://schemas.microsoft.com/office/drawing/2014/main" id="{00000000-0008-0000-0100-0000DBEF4800}"/>
              </a:ext>
            </a:extLst>
          </xdr:cNvPr>
          <xdr:cNvSpPr>
            <a:spLocks noChangeShapeType="1"/>
          </xdr:cNvSpPr>
        </xdr:nvSpPr>
        <xdr:spPr bwMode="auto">
          <a:xfrm>
            <a:off x="2312198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79996" name="Line 319">
            <a:extLst>
              <a:ext uri="{FF2B5EF4-FFF2-40B4-BE49-F238E27FC236}">
                <a16:creationId xmlns:a16="http://schemas.microsoft.com/office/drawing/2014/main" id="{00000000-0008-0000-0100-0000DCEF4800}"/>
              </a:ext>
            </a:extLst>
          </xdr:cNvPr>
          <xdr:cNvSpPr>
            <a:spLocks noChangeShapeType="1"/>
          </xdr:cNvSpPr>
        </xdr:nvSpPr>
        <xdr:spPr bwMode="auto">
          <a:xfrm>
            <a:off x="1362075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</xdr:grpSp>
    <xdr:clientData/>
  </xdr:twoCellAnchor>
  <xdr:twoCellAnchor>
    <xdr:from>
      <xdr:col>2</xdr:col>
      <xdr:colOff>260350</xdr:colOff>
      <xdr:row>49</xdr:row>
      <xdr:rowOff>19050</xdr:rowOff>
    </xdr:from>
    <xdr:to>
      <xdr:col>3</xdr:col>
      <xdr:colOff>514350</xdr:colOff>
      <xdr:row>54</xdr:row>
      <xdr:rowOff>120650</xdr:rowOff>
    </xdr:to>
    <xdr:sp macro="" textlink="">
      <xdr:nvSpPr>
        <xdr:cNvPr id="4779987" name="Oval 323">
          <a:extLst>
            <a:ext uri="{FF2B5EF4-FFF2-40B4-BE49-F238E27FC236}">
              <a16:creationId xmlns:a16="http://schemas.microsoft.com/office/drawing/2014/main" id="{00000000-0008-0000-0100-0000D3EF4800}"/>
            </a:ext>
          </a:extLst>
        </xdr:cNvPr>
        <xdr:cNvSpPr>
          <a:spLocks noChangeArrowheads="1"/>
        </xdr:cNvSpPr>
      </xdr:nvSpPr>
      <xdr:spPr bwMode="auto">
        <a:xfrm>
          <a:off x="1549400" y="7981950"/>
          <a:ext cx="1047750" cy="927100"/>
        </a:xfrm>
        <a:prstGeom prst="ellipse">
          <a:avLst/>
        </a:prstGeom>
        <a:solidFill>
          <a:srgbClr val="F2F2F2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698500</xdr:colOff>
      <xdr:row>51</xdr:row>
      <xdr:rowOff>57150</xdr:rowOff>
    </xdr:from>
    <xdr:to>
      <xdr:col>3</xdr:col>
      <xdr:colOff>88900</xdr:colOff>
      <xdr:row>52</xdr:row>
      <xdr:rowOff>76200</xdr:rowOff>
    </xdr:to>
    <xdr:sp macro="" textlink="">
      <xdr:nvSpPr>
        <xdr:cNvPr id="4779988" name="Oval 323">
          <a:extLst>
            <a:ext uri="{FF2B5EF4-FFF2-40B4-BE49-F238E27FC236}">
              <a16:creationId xmlns:a16="http://schemas.microsoft.com/office/drawing/2014/main" id="{00000000-0008-0000-0100-0000D4EF4800}"/>
            </a:ext>
          </a:extLst>
        </xdr:cNvPr>
        <xdr:cNvSpPr>
          <a:spLocks noChangeArrowheads="1"/>
        </xdr:cNvSpPr>
      </xdr:nvSpPr>
      <xdr:spPr bwMode="auto">
        <a:xfrm>
          <a:off x="1987550" y="8350250"/>
          <a:ext cx="184150" cy="184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49</xdr:row>
      <xdr:rowOff>19050</xdr:rowOff>
    </xdr:from>
    <xdr:to>
      <xdr:col>3</xdr:col>
      <xdr:colOff>0</xdr:colOff>
      <xdr:row>51</xdr:row>
      <xdr:rowOff>146050</xdr:rowOff>
    </xdr:to>
    <xdr:sp macro="" textlink="">
      <xdr:nvSpPr>
        <xdr:cNvPr id="4779989" name="Line 324">
          <a:extLst>
            <a:ext uri="{FF2B5EF4-FFF2-40B4-BE49-F238E27FC236}">
              <a16:creationId xmlns:a16="http://schemas.microsoft.com/office/drawing/2014/main" id="{00000000-0008-0000-0100-0000D5EF4800}"/>
            </a:ext>
          </a:extLst>
        </xdr:cNvPr>
        <xdr:cNvSpPr>
          <a:spLocks noChangeShapeType="1"/>
        </xdr:cNvSpPr>
      </xdr:nvSpPr>
      <xdr:spPr bwMode="auto">
        <a:xfrm>
          <a:off x="2082800" y="7981950"/>
          <a:ext cx="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51</xdr:row>
      <xdr:rowOff>146050</xdr:rowOff>
    </xdr:from>
    <xdr:to>
      <xdr:col>3</xdr:col>
      <xdr:colOff>0</xdr:colOff>
      <xdr:row>52</xdr:row>
      <xdr:rowOff>88900</xdr:rowOff>
    </xdr:to>
    <xdr:sp macro="" textlink="">
      <xdr:nvSpPr>
        <xdr:cNvPr id="4779990" name="Line 324">
          <a:extLst>
            <a:ext uri="{FF2B5EF4-FFF2-40B4-BE49-F238E27FC236}">
              <a16:creationId xmlns:a16="http://schemas.microsoft.com/office/drawing/2014/main" id="{00000000-0008-0000-0100-0000D6EF4800}"/>
            </a:ext>
          </a:extLst>
        </xdr:cNvPr>
        <xdr:cNvSpPr>
          <a:spLocks noChangeShapeType="1"/>
        </xdr:cNvSpPr>
      </xdr:nvSpPr>
      <xdr:spPr bwMode="auto">
        <a:xfrm flipH="1">
          <a:off x="2082800" y="8439150"/>
          <a:ext cx="0" cy="10795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sm" len="sm"/>
          <a:tailEnd type="triangle" w="sm" len="sm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635000</xdr:colOff>
          <xdr:row>9</xdr:row>
          <xdr:rowOff>12700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424424" name="Spinner 1064" hidden="1">
              <a:extLst>
                <a:ext uri="{63B3BB69-23CF-44E3-9099-C40C66FF867C}">
                  <a14:compatExt spid="_x0000_s1424424"/>
                </a:ext>
                <a:ext uri="{FF2B5EF4-FFF2-40B4-BE49-F238E27FC236}">
                  <a16:creationId xmlns:a16="http://schemas.microsoft.com/office/drawing/2014/main" id="{00000000-0008-0000-0100-000028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977900</xdr:colOff>
          <xdr:row>42</xdr:row>
          <xdr:rowOff>12700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424589" name="Spinner 1229" hidden="1">
              <a:extLst>
                <a:ext uri="{63B3BB69-23CF-44E3-9099-C40C66FF867C}">
                  <a14:compatExt spid="_x0000_s1424589"/>
                </a:ext>
                <a:ext uri="{FF2B5EF4-FFF2-40B4-BE49-F238E27FC236}">
                  <a16:creationId xmlns:a16="http://schemas.microsoft.com/office/drawing/2014/main" id="{00000000-0008-0000-0100-0000CD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977900</xdr:colOff>
          <xdr:row>44</xdr:row>
          <xdr:rowOff>12700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424590" name="Spinner 1230" hidden="1">
              <a:extLst>
                <a:ext uri="{63B3BB69-23CF-44E3-9099-C40C66FF867C}">
                  <a14:compatExt spid="_x0000_s1424590"/>
                </a:ext>
                <a:ext uri="{FF2B5EF4-FFF2-40B4-BE49-F238E27FC236}">
                  <a16:creationId xmlns:a16="http://schemas.microsoft.com/office/drawing/2014/main" id="{00000000-0008-0000-0100-0000CE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977900</xdr:colOff>
          <xdr:row>50</xdr:row>
          <xdr:rowOff>12700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424591" name="Spinner 1231" hidden="1">
              <a:extLst>
                <a:ext uri="{63B3BB69-23CF-44E3-9099-C40C66FF867C}">
                  <a14:compatExt spid="_x0000_s1424591"/>
                </a:ext>
                <a:ext uri="{FF2B5EF4-FFF2-40B4-BE49-F238E27FC236}">
                  <a16:creationId xmlns:a16="http://schemas.microsoft.com/office/drawing/2014/main" id="{00000000-0008-0000-0100-0000CF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19050</xdr:colOff>
      <xdr:row>93</xdr:row>
      <xdr:rowOff>66675</xdr:rowOff>
    </xdr:from>
    <xdr:to>
      <xdr:col>4</xdr:col>
      <xdr:colOff>57150</xdr:colOff>
      <xdr:row>99</xdr:row>
      <xdr:rowOff>76200</xdr:rowOff>
    </xdr:to>
    <xdr:sp macro="" textlink="">
      <xdr:nvSpPr>
        <xdr:cNvPr id="1425294" name="Object 1934" hidden="1">
          <a:extLst>
            <a:ext uri="{63B3BB69-23CF-44E3-9099-C40C66FF867C}">
              <a14:compatExt xmlns:a14="http://schemas.microsoft.com/office/drawing/2010/main" spid="_x0000_s1425294"/>
            </a:ext>
            <a:ext uri="{FF2B5EF4-FFF2-40B4-BE49-F238E27FC236}">
              <a16:creationId xmlns:a16="http://schemas.microsoft.com/office/drawing/2014/main" id="{00000000-0008-0000-0100-00008EBF15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977900</xdr:colOff>
          <xdr:row>52</xdr:row>
          <xdr:rowOff>12700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4779462" name="Spinner 4550" hidden="1">
              <a:extLst>
                <a:ext uri="{63B3BB69-23CF-44E3-9099-C40C66FF867C}">
                  <a14:compatExt spid="_x0000_s4779462"/>
                </a:ext>
                <a:ext uri="{FF2B5EF4-FFF2-40B4-BE49-F238E27FC236}">
                  <a16:creationId xmlns:a16="http://schemas.microsoft.com/office/drawing/2014/main" id="{00000000-0008-0000-0100-0000C6ED4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19050</xdr:colOff>
      <xdr:row>93</xdr:row>
      <xdr:rowOff>66675</xdr:rowOff>
    </xdr:from>
    <xdr:to>
      <xdr:col>4</xdr:col>
      <xdr:colOff>57150</xdr:colOff>
      <xdr:row>99</xdr:row>
      <xdr:rowOff>76200</xdr:rowOff>
    </xdr:to>
    <xdr:pic>
      <xdr:nvPicPr>
        <xdr:cNvPr id="2" name="Picture 19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135225"/>
          <a:ext cx="2647950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0</xdr:rowOff>
    </xdr:from>
    <xdr:to>
      <xdr:col>10</xdr:col>
      <xdr:colOff>622300</xdr:colOff>
      <xdr:row>19</xdr:row>
      <xdr:rowOff>0</xdr:rowOff>
    </xdr:to>
    <xdr:graphicFrame macro="">
      <xdr:nvGraphicFramePr>
        <xdr:cNvPr id="5105813" name="Graphique 1">
          <a:extLst>
            <a:ext uri="{FF2B5EF4-FFF2-40B4-BE49-F238E27FC236}">
              <a16:creationId xmlns:a16="http://schemas.microsoft.com/office/drawing/2014/main" id="{00000000-0008-0000-0200-000095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37</xdr:row>
      <xdr:rowOff>0</xdr:rowOff>
    </xdr:from>
    <xdr:to>
      <xdr:col>10</xdr:col>
      <xdr:colOff>622300</xdr:colOff>
      <xdr:row>55</xdr:row>
      <xdr:rowOff>0</xdr:rowOff>
    </xdr:to>
    <xdr:graphicFrame macro="">
      <xdr:nvGraphicFramePr>
        <xdr:cNvPr id="5105814" name="Graphique 2">
          <a:extLst>
            <a:ext uri="{FF2B5EF4-FFF2-40B4-BE49-F238E27FC236}">
              <a16:creationId xmlns:a16="http://schemas.microsoft.com/office/drawing/2014/main" id="{00000000-0008-0000-0200-000096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19</xdr:row>
      <xdr:rowOff>0</xdr:rowOff>
    </xdr:from>
    <xdr:to>
      <xdr:col>10</xdr:col>
      <xdr:colOff>622300</xdr:colOff>
      <xdr:row>37</xdr:row>
      <xdr:rowOff>0</xdr:rowOff>
    </xdr:to>
    <xdr:graphicFrame macro="">
      <xdr:nvGraphicFramePr>
        <xdr:cNvPr id="5105815" name="Graphique 3">
          <a:extLst>
            <a:ext uri="{FF2B5EF4-FFF2-40B4-BE49-F238E27FC236}">
              <a16:creationId xmlns:a16="http://schemas.microsoft.com/office/drawing/2014/main" id="{00000000-0008-0000-0200-000097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55</xdr:row>
      <xdr:rowOff>0</xdr:rowOff>
    </xdr:from>
    <xdr:to>
      <xdr:col>10</xdr:col>
      <xdr:colOff>622300</xdr:colOff>
      <xdr:row>73</xdr:row>
      <xdr:rowOff>0</xdr:rowOff>
    </xdr:to>
    <xdr:graphicFrame macro="">
      <xdr:nvGraphicFramePr>
        <xdr:cNvPr id="5105816" name="Graphique 4">
          <a:extLst>
            <a:ext uri="{FF2B5EF4-FFF2-40B4-BE49-F238E27FC236}">
              <a16:creationId xmlns:a16="http://schemas.microsoft.com/office/drawing/2014/main" id="{00000000-0008-0000-0200-000098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44450</xdr:rowOff>
    </xdr:from>
    <xdr:to>
      <xdr:col>7</xdr:col>
      <xdr:colOff>215900</xdr:colOff>
      <xdr:row>19</xdr:row>
      <xdr:rowOff>133350</xdr:rowOff>
    </xdr:to>
    <xdr:graphicFrame macro="">
      <xdr:nvGraphicFramePr>
        <xdr:cNvPr id="5110822" name="Graphique 1">
          <a:extLst>
            <a:ext uri="{FF2B5EF4-FFF2-40B4-BE49-F238E27FC236}">
              <a16:creationId xmlns:a16="http://schemas.microsoft.com/office/drawing/2014/main" id="{00000000-0008-0000-0300-000026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273050</xdr:colOff>
      <xdr:row>1008</xdr:row>
      <xdr:rowOff>146050</xdr:rowOff>
    </xdr:from>
    <xdr:to>
      <xdr:col>16</xdr:col>
      <xdr:colOff>152400</xdr:colOff>
      <xdr:row>1010</xdr:row>
      <xdr:rowOff>82550</xdr:rowOff>
    </xdr:to>
    <xdr:sp macro="" textlink="">
      <xdr:nvSpPr>
        <xdr:cNvPr id="3393" name="Line 60"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SpPr>
          <a:spLocks noChangeShapeType="1"/>
        </xdr:cNvSpPr>
      </xdr:nvSpPr>
      <xdr:spPr bwMode="auto">
        <a:xfrm flipH="1">
          <a:off x="5759450" y="160172400"/>
          <a:ext cx="1098550" cy="254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279400</xdr:colOff>
      <xdr:row>1011</xdr:row>
      <xdr:rowOff>95250</xdr:rowOff>
    </xdr:from>
    <xdr:to>
      <xdr:col>17</xdr:col>
      <xdr:colOff>349250</xdr:colOff>
      <xdr:row>1013</xdr:row>
      <xdr:rowOff>139700</xdr:rowOff>
    </xdr:to>
    <xdr:sp macro="" textlink="">
      <xdr:nvSpPr>
        <xdr:cNvPr id="3394" name="Line 71"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SpPr>
          <a:spLocks noChangeShapeType="1"/>
        </xdr:cNvSpPr>
      </xdr:nvSpPr>
      <xdr:spPr bwMode="auto">
        <a:xfrm flipH="1" flipV="1">
          <a:off x="5765800" y="160597850"/>
          <a:ext cx="18923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279400</xdr:colOff>
      <xdr:row>1012</xdr:row>
      <xdr:rowOff>139700</xdr:rowOff>
    </xdr:from>
    <xdr:to>
      <xdr:col>17</xdr:col>
      <xdr:colOff>349250</xdr:colOff>
      <xdr:row>1015</xdr:row>
      <xdr:rowOff>25400</xdr:rowOff>
    </xdr:to>
    <xdr:sp macro="" textlink="">
      <xdr:nvSpPr>
        <xdr:cNvPr id="3395" name="Line 71"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SpPr>
          <a:spLocks noChangeShapeType="1"/>
        </xdr:cNvSpPr>
      </xdr:nvSpPr>
      <xdr:spPr bwMode="auto">
        <a:xfrm flipH="1" flipV="1">
          <a:off x="5765800" y="160801050"/>
          <a:ext cx="18923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18</xdr:col>
      <xdr:colOff>9525</xdr:colOff>
      <xdr:row>1010</xdr:row>
      <xdr:rowOff>85725</xdr:rowOff>
    </xdr:from>
    <xdr:to>
      <xdr:col>20</xdr:col>
      <xdr:colOff>238125</xdr:colOff>
      <xdr:row>1013</xdr:row>
      <xdr:rowOff>19050</xdr:rowOff>
    </xdr:to>
    <xdr:sp macro="" textlink="">
      <xdr:nvSpPr>
        <xdr:cNvPr id="3091" name="Object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21</xdr:col>
      <xdr:colOff>19050</xdr:colOff>
      <xdr:row>1024</xdr:row>
      <xdr:rowOff>133350</xdr:rowOff>
    </xdr:from>
    <xdr:to>
      <xdr:col>25</xdr:col>
      <xdr:colOff>381000</xdr:colOff>
      <xdr:row>1026</xdr:row>
      <xdr:rowOff>66675</xdr:rowOff>
    </xdr:to>
    <xdr:sp macro="" textlink="">
      <xdr:nvSpPr>
        <xdr:cNvPr id="3092" name="Object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16</xdr:col>
      <xdr:colOff>209550</xdr:colOff>
      <xdr:row>1006</xdr:row>
      <xdr:rowOff>19050</xdr:rowOff>
    </xdr:from>
    <xdr:to>
      <xdr:col>24</xdr:col>
      <xdr:colOff>123825</xdr:colOff>
      <xdr:row>1007</xdr:row>
      <xdr:rowOff>85725</xdr:rowOff>
    </xdr:to>
    <xdr:sp macro="" textlink="">
      <xdr:nvSpPr>
        <xdr:cNvPr id="3096" name="Object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1017</xdr:row>
      <xdr:rowOff>142875</xdr:rowOff>
    </xdr:from>
    <xdr:to>
      <xdr:col>10</xdr:col>
      <xdr:colOff>485775</xdr:colOff>
      <xdr:row>1019</xdr:row>
      <xdr:rowOff>114300</xdr:rowOff>
    </xdr:to>
    <xdr:sp macro="" textlink="">
      <xdr:nvSpPr>
        <xdr:cNvPr id="3112" name="Object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1014</xdr:row>
      <xdr:rowOff>142875</xdr:rowOff>
    </xdr:from>
    <xdr:to>
      <xdr:col>11</xdr:col>
      <xdr:colOff>219075</xdr:colOff>
      <xdr:row>1016</xdr:row>
      <xdr:rowOff>57150</xdr:rowOff>
    </xdr:to>
    <xdr:sp macro="" textlink="">
      <xdr:nvSpPr>
        <xdr:cNvPr id="3114" name="Object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1016</xdr:row>
      <xdr:rowOff>66675</xdr:rowOff>
    </xdr:from>
    <xdr:to>
      <xdr:col>11</xdr:col>
      <xdr:colOff>200025</xdr:colOff>
      <xdr:row>1017</xdr:row>
      <xdr:rowOff>133350</xdr:rowOff>
    </xdr:to>
    <xdr:sp macro="" textlink="">
      <xdr:nvSpPr>
        <xdr:cNvPr id="3115" name="Object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1022</xdr:row>
      <xdr:rowOff>57150</xdr:rowOff>
    </xdr:from>
    <xdr:to>
      <xdr:col>17</xdr:col>
      <xdr:colOff>228600</xdr:colOff>
      <xdr:row>1024</xdr:row>
      <xdr:rowOff>142875</xdr:rowOff>
    </xdr:to>
    <xdr:sp macro="" textlink="">
      <xdr:nvSpPr>
        <xdr:cNvPr id="3119" name="Object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1008</xdr:row>
      <xdr:rowOff>0</xdr:rowOff>
    </xdr:from>
    <xdr:to>
      <xdr:col>11</xdr:col>
      <xdr:colOff>200025</xdr:colOff>
      <xdr:row>1010</xdr:row>
      <xdr:rowOff>76200</xdr:rowOff>
    </xdr:to>
    <xdr:sp macro="" textlink="">
      <xdr:nvSpPr>
        <xdr:cNvPr id="3120" name="Object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1010</xdr:row>
      <xdr:rowOff>85725</xdr:rowOff>
    </xdr:from>
    <xdr:to>
      <xdr:col>12</xdr:col>
      <xdr:colOff>200025</xdr:colOff>
      <xdr:row>1013</xdr:row>
      <xdr:rowOff>0</xdr:rowOff>
    </xdr:to>
    <xdr:sp macro="" textlink="">
      <xdr:nvSpPr>
        <xdr:cNvPr id="3121" name="Object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</xdr:colOff>
      <xdr:row>1006</xdr:row>
      <xdr:rowOff>85725</xdr:rowOff>
    </xdr:from>
    <xdr:to>
      <xdr:col>3</xdr:col>
      <xdr:colOff>447675</xdr:colOff>
      <xdr:row>1007</xdr:row>
      <xdr:rowOff>142875</xdr:rowOff>
    </xdr:to>
    <xdr:sp macro="" textlink="">
      <xdr:nvSpPr>
        <xdr:cNvPr id="3122" name="Object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1024</xdr:row>
      <xdr:rowOff>142875</xdr:rowOff>
    </xdr:from>
    <xdr:to>
      <xdr:col>16</xdr:col>
      <xdr:colOff>0</xdr:colOff>
      <xdr:row>1026</xdr:row>
      <xdr:rowOff>123825</xdr:rowOff>
    </xdr:to>
    <xdr:sp macro="" textlink="">
      <xdr:nvSpPr>
        <xdr:cNvPr id="3124" name="Object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1013</xdr:row>
      <xdr:rowOff>28575</xdr:rowOff>
    </xdr:from>
    <xdr:to>
      <xdr:col>21</xdr:col>
      <xdr:colOff>19050</xdr:colOff>
      <xdr:row>1014</xdr:row>
      <xdr:rowOff>95250</xdr:rowOff>
    </xdr:to>
    <xdr:sp macro="" textlink="">
      <xdr:nvSpPr>
        <xdr:cNvPr id="3125" name="Object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</xdr:colOff>
      <xdr:row>1005</xdr:row>
      <xdr:rowOff>9525</xdr:rowOff>
    </xdr:from>
    <xdr:to>
      <xdr:col>10</xdr:col>
      <xdr:colOff>333375</xdr:colOff>
      <xdr:row>1006</xdr:row>
      <xdr:rowOff>76200</xdr:rowOff>
    </xdr:to>
    <xdr:sp macro="" textlink="">
      <xdr:nvSpPr>
        <xdr:cNvPr id="3127" name="Object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1013</xdr:row>
      <xdr:rowOff>9525</xdr:rowOff>
    </xdr:from>
    <xdr:to>
      <xdr:col>8</xdr:col>
      <xdr:colOff>161925</xdr:colOff>
      <xdr:row>1014</xdr:row>
      <xdr:rowOff>142875</xdr:rowOff>
    </xdr:to>
    <xdr:sp macro="" textlink="">
      <xdr:nvSpPr>
        <xdr:cNvPr id="3129" name="Object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20</xdr:col>
      <xdr:colOff>9525</xdr:colOff>
      <xdr:row>1018</xdr:row>
      <xdr:rowOff>47625</xdr:rowOff>
    </xdr:from>
    <xdr:to>
      <xdr:col>24</xdr:col>
      <xdr:colOff>904875</xdr:colOff>
      <xdr:row>1019</xdr:row>
      <xdr:rowOff>114300</xdr:rowOff>
    </xdr:to>
    <xdr:sp macro="" textlink="">
      <xdr:nvSpPr>
        <xdr:cNvPr id="3131" name="Object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1019</xdr:row>
      <xdr:rowOff>123825</xdr:rowOff>
    </xdr:from>
    <xdr:to>
      <xdr:col>20</xdr:col>
      <xdr:colOff>485775</xdr:colOff>
      <xdr:row>1022</xdr:row>
      <xdr:rowOff>47625</xdr:rowOff>
    </xdr:to>
    <xdr:sp macro="" textlink="">
      <xdr:nvSpPr>
        <xdr:cNvPr id="3134" name="Object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1018</xdr:row>
      <xdr:rowOff>47625</xdr:rowOff>
    </xdr:from>
    <xdr:to>
      <xdr:col>19</xdr:col>
      <xdr:colOff>152400</xdr:colOff>
      <xdr:row>1019</xdr:row>
      <xdr:rowOff>114300</xdr:rowOff>
    </xdr:to>
    <xdr:sp macro="" textlink="">
      <xdr:nvSpPr>
        <xdr:cNvPr id="3135" name="Object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9525</xdr:colOff>
      <xdr:row>1007</xdr:row>
      <xdr:rowOff>104775</xdr:rowOff>
    </xdr:from>
    <xdr:to>
      <xdr:col>37</xdr:col>
      <xdr:colOff>238125</xdr:colOff>
      <xdr:row>1010</xdr:row>
      <xdr:rowOff>66675</xdr:rowOff>
    </xdr:to>
    <xdr:sp macro="" textlink="">
      <xdr:nvSpPr>
        <xdr:cNvPr id="3141" name="Object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9525</xdr:colOff>
      <xdr:row>1010</xdr:row>
      <xdr:rowOff>76200</xdr:rowOff>
    </xdr:from>
    <xdr:to>
      <xdr:col>35</xdr:col>
      <xdr:colOff>600075</xdr:colOff>
      <xdr:row>1013</xdr:row>
      <xdr:rowOff>38100</xdr:rowOff>
    </xdr:to>
    <xdr:sp macro="" textlink="">
      <xdr:nvSpPr>
        <xdr:cNvPr id="3142" name="Object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1035</xdr:row>
      <xdr:rowOff>19050</xdr:rowOff>
    </xdr:from>
    <xdr:to>
      <xdr:col>11</xdr:col>
      <xdr:colOff>466725</xdr:colOff>
      <xdr:row>1038</xdr:row>
      <xdr:rowOff>19050</xdr:rowOff>
    </xdr:to>
    <xdr:sp macro="" textlink="">
      <xdr:nvSpPr>
        <xdr:cNvPr id="3157" name="Object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1040</xdr:row>
      <xdr:rowOff>19050</xdr:rowOff>
    </xdr:from>
    <xdr:to>
      <xdr:col>12</xdr:col>
      <xdr:colOff>28575</xdr:colOff>
      <xdr:row>1043</xdr:row>
      <xdr:rowOff>19050</xdr:rowOff>
    </xdr:to>
    <xdr:sp macro="" textlink="">
      <xdr:nvSpPr>
        <xdr:cNvPr id="3158" name="Object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1014</xdr:row>
      <xdr:rowOff>104775</xdr:rowOff>
    </xdr:from>
    <xdr:to>
      <xdr:col>20</xdr:col>
      <xdr:colOff>276225</xdr:colOff>
      <xdr:row>1016</xdr:row>
      <xdr:rowOff>9525</xdr:rowOff>
    </xdr:to>
    <xdr:sp macro="" textlink="">
      <xdr:nvSpPr>
        <xdr:cNvPr id="3161" name="Object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16</xdr:col>
      <xdr:colOff>209550</xdr:colOff>
      <xdr:row>1007</xdr:row>
      <xdr:rowOff>95250</xdr:rowOff>
    </xdr:from>
    <xdr:to>
      <xdr:col>32</xdr:col>
      <xdr:colOff>142875</xdr:colOff>
      <xdr:row>1010</xdr:row>
      <xdr:rowOff>76200</xdr:rowOff>
    </xdr:to>
    <xdr:sp macro="" textlink="">
      <xdr:nvSpPr>
        <xdr:cNvPr id="3162" name="Object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1055</xdr:row>
      <xdr:rowOff>28575</xdr:rowOff>
    </xdr:from>
    <xdr:to>
      <xdr:col>12</xdr:col>
      <xdr:colOff>276225</xdr:colOff>
      <xdr:row>1058</xdr:row>
      <xdr:rowOff>47625</xdr:rowOff>
    </xdr:to>
    <xdr:sp macro="" textlink="">
      <xdr:nvSpPr>
        <xdr:cNvPr id="3167" name="Object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1060</xdr:row>
      <xdr:rowOff>28575</xdr:rowOff>
    </xdr:from>
    <xdr:to>
      <xdr:col>15</xdr:col>
      <xdr:colOff>47625</xdr:colOff>
      <xdr:row>1063</xdr:row>
      <xdr:rowOff>47625</xdr:rowOff>
    </xdr:to>
    <xdr:sp macro="" textlink="">
      <xdr:nvSpPr>
        <xdr:cNvPr id="3168" name="Object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1065</xdr:row>
      <xdr:rowOff>28575</xdr:rowOff>
    </xdr:from>
    <xdr:to>
      <xdr:col>16</xdr:col>
      <xdr:colOff>561975</xdr:colOff>
      <xdr:row>1068</xdr:row>
      <xdr:rowOff>47625</xdr:rowOff>
    </xdr:to>
    <xdr:sp macro="" textlink="">
      <xdr:nvSpPr>
        <xdr:cNvPr id="3169" name="Object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1045</xdr:row>
      <xdr:rowOff>28575</xdr:rowOff>
    </xdr:from>
    <xdr:to>
      <xdr:col>16</xdr:col>
      <xdr:colOff>85725</xdr:colOff>
      <xdr:row>1048</xdr:row>
      <xdr:rowOff>28575</xdr:rowOff>
    </xdr:to>
    <xdr:sp macro="" textlink="">
      <xdr:nvSpPr>
        <xdr:cNvPr id="3173" name="Object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1050</xdr:row>
      <xdr:rowOff>28575</xdr:rowOff>
    </xdr:from>
    <xdr:to>
      <xdr:col>16</xdr:col>
      <xdr:colOff>323850</xdr:colOff>
      <xdr:row>1053</xdr:row>
      <xdr:rowOff>47625</xdr:rowOff>
    </xdr:to>
    <xdr:sp macro="" textlink="">
      <xdr:nvSpPr>
        <xdr:cNvPr id="3174" name="Object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1070</xdr:row>
      <xdr:rowOff>28575</xdr:rowOff>
    </xdr:from>
    <xdr:to>
      <xdr:col>12</xdr:col>
      <xdr:colOff>342900</xdr:colOff>
      <xdr:row>1073</xdr:row>
      <xdr:rowOff>47625</xdr:rowOff>
    </xdr:to>
    <xdr:sp macro="" textlink="">
      <xdr:nvSpPr>
        <xdr:cNvPr id="3178" name="Object 10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0</xdr:colOff>
      <xdr:row>1053</xdr:row>
      <xdr:rowOff>28575</xdr:rowOff>
    </xdr:from>
    <xdr:to>
      <xdr:col>32</xdr:col>
      <xdr:colOff>352425</xdr:colOff>
      <xdr:row>1056</xdr:row>
      <xdr:rowOff>28575</xdr:rowOff>
    </xdr:to>
    <xdr:sp macro="" textlink="">
      <xdr:nvSpPr>
        <xdr:cNvPr id="3188" name="Object 11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21</xdr:col>
      <xdr:colOff>19050</xdr:colOff>
      <xdr:row>1022</xdr:row>
      <xdr:rowOff>47625</xdr:rowOff>
    </xdr:from>
    <xdr:to>
      <xdr:col>32</xdr:col>
      <xdr:colOff>219075</xdr:colOff>
      <xdr:row>1024</xdr:row>
      <xdr:rowOff>114300</xdr:rowOff>
    </xdr:to>
    <xdr:sp macro="" textlink="">
      <xdr:nvSpPr>
        <xdr:cNvPr id="3192" name="Object 12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1017</xdr:row>
      <xdr:rowOff>19050</xdr:rowOff>
    </xdr:from>
    <xdr:to>
      <xdr:col>36</xdr:col>
      <xdr:colOff>142875</xdr:colOff>
      <xdr:row>1020</xdr:row>
      <xdr:rowOff>19050</xdr:rowOff>
    </xdr:to>
    <xdr:sp macro="" textlink="">
      <xdr:nvSpPr>
        <xdr:cNvPr id="3220" name="Object 148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1014</xdr:row>
      <xdr:rowOff>0</xdr:rowOff>
    </xdr:from>
    <xdr:to>
      <xdr:col>36</xdr:col>
      <xdr:colOff>581025</xdr:colOff>
      <xdr:row>1017</xdr:row>
      <xdr:rowOff>0</xdr:rowOff>
    </xdr:to>
    <xdr:sp macro="" textlink="">
      <xdr:nvSpPr>
        <xdr:cNvPr id="3222" name="Object 150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1020</xdr:row>
      <xdr:rowOff>38100</xdr:rowOff>
    </xdr:from>
    <xdr:to>
      <xdr:col>35</xdr:col>
      <xdr:colOff>114300</xdr:colOff>
      <xdr:row>1023</xdr:row>
      <xdr:rowOff>38100</xdr:rowOff>
    </xdr:to>
    <xdr:sp macro="" textlink="">
      <xdr:nvSpPr>
        <xdr:cNvPr id="3223" name="Object 151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1023</xdr:row>
      <xdr:rowOff>57150</xdr:rowOff>
    </xdr:from>
    <xdr:to>
      <xdr:col>36</xdr:col>
      <xdr:colOff>47625</xdr:colOff>
      <xdr:row>1026</xdr:row>
      <xdr:rowOff>57150</xdr:rowOff>
    </xdr:to>
    <xdr:sp macro="" textlink="">
      <xdr:nvSpPr>
        <xdr:cNvPr id="3225" name="Object 153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0</xdr:colOff>
      <xdr:row>1048</xdr:row>
      <xdr:rowOff>28575</xdr:rowOff>
    </xdr:from>
    <xdr:to>
      <xdr:col>34</xdr:col>
      <xdr:colOff>295275</xdr:colOff>
      <xdr:row>1051</xdr:row>
      <xdr:rowOff>76200</xdr:rowOff>
    </xdr:to>
    <xdr:sp macro="" textlink="">
      <xdr:nvSpPr>
        <xdr:cNvPr id="3281" name="Object 209" hidden="1">
          <a:extLst>
            <a:ext uri="{63B3BB69-23CF-44E3-9099-C40C66FF867C}">
              <a14:compatExt xmlns:a14="http://schemas.microsoft.com/office/drawing/2010/main" spid="_x0000_s3281"/>
            </a:ex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1010</xdr:row>
      <xdr:rowOff>85725</xdr:rowOff>
    </xdr:from>
    <xdr:to>
      <xdr:col>20</xdr:col>
      <xdr:colOff>238125</xdr:colOff>
      <xdr:row>1013</xdr:row>
      <xdr:rowOff>19050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3639500"/>
          <a:ext cx="98107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21</xdr:col>
      <xdr:colOff>19050</xdr:colOff>
      <xdr:row>1024</xdr:row>
      <xdr:rowOff>133350</xdr:rowOff>
    </xdr:from>
    <xdr:to>
      <xdr:col>25</xdr:col>
      <xdr:colOff>381000</xdr:colOff>
      <xdr:row>1026</xdr:row>
      <xdr:rowOff>66675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65954075"/>
          <a:ext cx="242887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209550</xdr:colOff>
      <xdr:row>1006</xdr:row>
      <xdr:rowOff>19050</xdr:rowOff>
    </xdr:from>
    <xdr:to>
      <xdr:col>24</xdr:col>
      <xdr:colOff>123825</xdr:colOff>
      <xdr:row>1007</xdr:row>
      <xdr:rowOff>85725</xdr:rowOff>
    </xdr:to>
    <xdr:pic>
      <xdr:nvPicPr>
        <xdr:cNvPr id="4" name="Picture 2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62925125"/>
          <a:ext cx="3219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1017</xdr:row>
      <xdr:rowOff>142875</xdr:rowOff>
    </xdr:from>
    <xdr:to>
      <xdr:col>10</xdr:col>
      <xdr:colOff>485775</xdr:colOff>
      <xdr:row>1019</xdr:row>
      <xdr:rowOff>114300</xdr:rowOff>
    </xdr:to>
    <xdr:pic>
      <xdr:nvPicPr>
        <xdr:cNvPr id="5" name="Picture 4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830125"/>
          <a:ext cx="195262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1014</xdr:row>
      <xdr:rowOff>142875</xdr:rowOff>
    </xdr:from>
    <xdr:to>
      <xdr:col>11</xdr:col>
      <xdr:colOff>219075</xdr:colOff>
      <xdr:row>1016</xdr:row>
      <xdr:rowOff>57150</xdr:rowOff>
    </xdr:to>
    <xdr:pic>
      <xdr:nvPicPr>
        <xdr:cNvPr id="6" name="Picture 4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344350"/>
          <a:ext cx="21907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1016</xdr:row>
      <xdr:rowOff>66675</xdr:rowOff>
    </xdr:from>
    <xdr:to>
      <xdr:col>11</xdr:col>
      <xdr:colOff>200025</xdr:colOff>
      <xdr:row>1017</xdr:row>
      <xdr:rowOff>133350</xdr:rowOff>
    </xdr:to>
    <xdr:pic>
      <xdr:nvPicPr>
        <xdr:cNvPr id="7" name="Picture 4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592000"/>
          <a:ext cx="21717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1022</xdr:row>
      <xdr:rowOff>57150</xdr:rowOff>
    </xdr:from>
    <xdr:to>
      <xdr:col>17</xdr:col>
      <xdr:colOff>228600</xdr:colOff>
      <xdr:row>1024</xdr:row>
      <xdr:rowOff>142875</xdr:rowOff>
    </xdr:to>
    <xdr:pic>
      <xdr:nvPicPr>
        <xdr:cNvPr id="8" name="Picture 4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554025"/>
          <a:ext cx="298132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1008</xdr:row>
      <xdr:rowOff>0</xdr:rowOff>
    </xdr:from>
    <xdr:to>
      <xdr:col>11</xdr:col>
      <xdr:colOff>200025</xdr:colOff>
      <xdr:row>1010</xdr:row>
      <xdr:rowOff>76200</xdr:rowOff>
    </xdr:to>
    <xdr:pic>
      <xdr:nvPicPr>
        <xdr:cNvPr id="9" name="Picture 4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3229925"/>
          <a:ext cx="36480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1010</xdr:row>
      <xdr:rowOff>85725</xdr:rowOff>
    </xdr:from>
    <xdr:to>
      <xdr:col>12</xdr:col>
      <xdr:colOff>200025</xdr:colOff>
      <xdr:row>1013</xdr:row>
      <xdr:rowOff>0</xdr:rowOff>
    </xdr:to>
    <xdr:pic>
      <xdr:nvPicPr>
        <xdr:cNvPr id="10" name="Picture 4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3639500"/>
          <a:ext cx="41529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1006</xdr:row>
      <xdr:rowOff>85725</xdr:rowOff>
    </xdr:from>
    <xdr:to>
      <xdr:col>3</xdr:col>
      <xdr:colOff>447675</xdr:colOff>
      <xdr:row>1007</xdr:row>
      <xdr:rowOff>142875</xdr:rowOff>
    </xdr:to>
    <xdr:pic>
      <xdr:nvPicPr>
        <xdr:cNvPr id="11" name="Picture 5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2991800"/>
          <a:ext cx="9334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1024</xdr:row>
      <xdr:rowOff>142875</xdr:rowOff>
    </xdr:from>
    <xdr:to>
      <xdr:col>16</xdr:col>
      <xdr:colOff>0</xdr:colOff>
      <xdr:row>1026</xdr:row>
      <xdr:rowOff>123825</xdr:rowOff>
    </xdr:to>
    <xdr:pic>
      <xdr:nvPicPr>
        <xdr:cNvPr id="12" name="Picture 5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963600"/>
          <a:ext cx="21812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18</xdr:col>
      <xdr:colOff>9525</xdr:colOff>
      <xdr:row>1013</xdr:row>
      <xdr:rowOff>28575</xdr:rowOff>
    </xdr:from>
    <xdr:to>
      <xdr:col>21</xdr:col>
      <xdr:colOff>19050</xdr:colOff>
      <xdr:row>1014</xdr:row>
      <xdr:rowOff>95250</xdr:rowOff>
    </xdr:to>
    <xdr:pic>
      <xdr:nvPicPr>
        <xdr:cNvPr id="13" name="Picture 5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4068125"/>
          <a:ext cx="1343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1005</xdr:row>
      <xdr:rowOff>9525</xdr:rowOff>
    </xdr:from>
    <xdr:to>
      <xdr:col>10</xdr:col>
      <xdr:colOff>333375</xdr:colOff>
      <xdr:row>1006</xdr:row>
      <xdr:rowOff>76200</xdr:rowOff>
    </xdr:to>
    <xdr:pic>
      <xdr:nvPicPr>
        <xdr:cNvPr id="14" name="Picture 55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2753675"/>
          <a:ext cx="42386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1013</xdr:row>
      <xdr:rowOff>9525</xdr:rowOff>
    </xdr:from>
    <xdr:to>
      <xdr:col>8</xdr:col>
      <xdr:colOff>161925</xdr:colOff>
      <xdr:row>1014</xdr:row>
      <xdr:rowOff>142875</xdr:rowOff>
    </xdr:to>
    <xdr:pic>
      <xdr:nvPicPr>
        <xdr:cNvPr id="15" name="Picture 57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4049075"/>
          <a:ext cx="212407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20</xdr:col>
      <xdr:colOff>9525</xdr:colOff>
      <xdr:row>1018</xdr:row>
      <xdr:rowOff>47625</xdr:rowOff>
    </xdr:from>
    <xdr:to>
      <xdr:col>24</xdr:col>
      <xdr:colOff>904875</xdr:colOff>
      <xdr:row>1019</xdr:row>
      <xdr:rowOff>114300</xdr:rowOff>
    </xdr:to>
    <xdr:pic>
      <xdr:nvPicPr>
        <xdr:cNvPr id="16" name="Picture 5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64896800"/>
          <a:ext cx="249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1019</xdr:row>
      <xdr:rowOff>123825</xdr:rowOff>
    </xdr:from>
    <xdr:to>
      <xdr:col>20</xdr:col>
      <xdr:colOff>485775</xdr:colOff>
      <xdr:row>1022</xdr:row>
      <xdr:rowOff>47625</xdr:rowOff>
    </xdr:to>
    <xdr:pic>
      <xdr:nvPicPr>
        <xdr:cNvPr id="17" name="Picture 6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134925"/>
          <a:ext cx="437197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1018</xdr:row>
      <xdr:rowOff>47625</xdr:rowOff>
    </xdr:from>
    <xdr:to>
      <xdr:col>19</xdr:col>
      <xdr:colOff>152400</xdr:colOff>
      <xdr:row>1019</xdr:row>
      <xdr:rowOff>114300</xdr:rowOff>
    </xdr:to>
    <xdr:pic>
      <xdr:nvPicPr>
        <xdr:cNvPr id="18" name="Picture 63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64896800"/>
          <a:ext cx="26289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9525</xdr:colOff>
      <xdr:row>1007</xdr:row>
      <xdr:rowOff>104775</xdr:rowOff>
    </xdr:from>
    <xdr:to>
      <xdr:col>37</xdr:col>
      <xdr:colOff>238125</xdr:colOff>
      <xdr:row>1010</xdr:row>
      <xdr:rowOff>66675</xdr:rowOff>
    </xdr:to>
    <xdr:pic>
      <xdr:nvPicPr>
        <xdr:cNvPr id="19" name="Picture 6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63172775"/>
          <a:ext cx="327660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9525</xdr:colOff>
      <xdr:row>1010</xdr:row>
      <xdr:rowOff>76200</xdr:rowOff>
    </xdr:from>
    <xdr:to>
      <xdr:col>35</xdr:col>
      <xdr:colOff>600075</xdr:colOff>
      <xdr:row>1013</xdr:row>
      <xdr:rowOff>38100</xdr:rowOff>
    </xdr:to>
    <xdr:pic>
      <xdr:nvPicPr>
        <xdr:cNvPr id="20" name="Picture 7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63629975"/>
          <a:ext cx="211455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1035</xdr:row>
      <xdr:rowOff>19050</xdr:rowOff>
    </xdr:from>
    <xdr:to>
      <xdr:col>11</xdr:col>
      <xdr:colOff>466725</xdr:colOff>
      <xdr:row>1038</xdr:row>
      <xdr:rowOff>19050</xdr:rowOff>
    </xdr:to>
    <xdr:pic>
      <xdr:nvPicPr>
        <xdr:cNvPr id="21" name="Picture 8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7620950"/>
          <a:ext cx="39147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1040</xdr:row>
      <xdr:rowOff>19050</xdr:rowOff>
    </xdr:from>
    <xdr:to>
      <xdr:col>12</xdr:col>
      <xdr:colOff>28575</xdr:colOff>
      <xdr:row>1043</xdr:row>
      <xdr:rowOff>19050</xdr:rowOff>
    </xdr:to>
    <xdr:pic>
      <xdr:nvPicPr>
        <xdr:cNvPr id="22" name="Picture 86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8430575"/>
          <a:ext cx="39814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18</xdr:col>
      <xdr:colOff>9525</xdr:colOff>
      <xdr:row>1014</xdr:row>
      <xdr:rowOff>104775</xdr:rowOff>
    </xdr:from>
    <xdr:to>
      <xdr:col>20</xdr:col>
      <xdr:colOff>276225</xdr:colOff>
      <xdr:row>1016</xdr:row>
      <xdr:rowOff>9525</xdr:rowOff>
    </xdr:to>
    <xdr:pic>
      <xdr:nvPicPr>
        <xdr:cNvPr id="23" name="Picture 89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4306250"/>
          <a:ext cx="10191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209550</xdr:colOff>
      <xdr:row>1007</xdr:row>
      <xdr:rowOff>95250</xdr:rowOff>
    </xdr:from>
    <xdr:to>
      <xdr:col>32</xdr:col>
      <xdr:colOff>142875</xdr:colOff>
      <xdr:row>1010</xdr:row>
      <xdr:rowOff>76200</xdr:rowOff>
    </xdr:to>
    <xdr:pic>
      <xdr:nvPicPr>
        <xdr:cNvPr id="24" name="Picture 9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63163250"/>
          <a:ext cx="6791325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1055</xdr:row>
      <xdr:rowOff>28575</xdr:rowOff>
    </xdr:from>
    <xdr:to>
      <xdr:col>12</xdr:col>
      <xdr:colOff>276225</xdr:colOff>
      <xdr:row>1058</xdr:row>
      <xdr:rowOff>47625</xdr:rowOff>
    </xdr:to>
    <xdr:pic>
      <xdr:nvPicPr>
        <xdr:cNvPr id="25" name="Picture 95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0868975"/>
          <a:ext cx="422910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1060</xdr:row>
      <xdr:rowOff>28575</xdr:rowOff>
    </xdr:from>
    <xdr:to>
      <xdr:col>15</xdr:col>
      <xdr:colOff>47625</xdr:colOff>
      <xdr:row>1063</xdr:row>
      <xdr:rowOff>47625</xdr:rowOff>
    </xdr:to>
    <xdr:pic>
      <xdr:nvPicPr>
        <xdr:cNvPr id="26" name="Picture 9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1678600"/>
          <a:ext cx="49053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1065</xdr:row>
      <xdr:rowOff>28575</xdr:rowOff>
    </xdr:from>
    <xdr:to>
      <xdr:col>16</xdr:col>
      <xdr:colOff>561975</xdr:colOff>
      <xdr:row>1068</xdr:row>
      <xdr:rowOff>47625</xdr:rowOff>
    </xdr:to>
    <xdr:pic>
      <xdr:nvPicPr>
        <xdr:cNvPr id="27" name="Picture 9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2488225"/>
          <a:ext cx="56864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1045</xdr:row>
      <xdr:rowOff>28575</xdr:rowOff>
    </xdr:from>
    <xdr:to>
      <xdr:col>16</xdr:col>
      <xdr:colOff>85725</xdr:colOff>
      <xdr:row>1048</xdr:row>
      <xdr:rowOff>28575</xdr:rowOff>
    </xdr:to>
    <xdr:pic>
      <xdr:nvPicPr>
        <xdr:cNvPr id="28" name="Picture 10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9249725"/>
          <a:ext cx="52101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1050</xdr:row>
      <xdr:rowOff>28575</xdr:rowOff>
    </xdr:from>
    <xdr:to>
      <xdr:col>16</xdr:col>
      <xdr:colOff>323850</xdr:colOff>
      <xdr:row>1053</xdr:row>
      <xdr:rowOff>47625</xdr:rowOff>
    </xdr:to>
    <xdr:pic>
      <xdr:nvPicPr>
        <xdr:cNvPr id="29" name="Picture 10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0059350"/>
          <a:ext cx="544830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1070</xdr:row>
      <xdr:rowOff>28575</xdr:rowOff>
    </xdr:from>
    <xdr:to>
      <xdr:col>12</xdr:col>
      <xdr:colOff>342900</xdr:colOff>
      <xdr:row>1073</xdr:row>
      <xdr:rowOff>47625</xdr:rowOff>
    </xdr:to>
    <xdr:pic>
      <xdr:nvPicPr>
        <xdr:cNvPr id="30" name="Picture 106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3297850"/>
          <a:ext cx="42957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1053</xdr:row>
      <xdr:rowOff>28575</xdr:rowOff>
    </xdr:from>
    <xdr:to>
      <xdr:col>32</xdr:col>
      <xdr:colOff>352425</xdr:colOff>
      <xdr:row>1056</xdr:row>
      <xdr:rowOff>28575</xdr:rowOff>
    </xdr:to>
    <xdr:pic>
      <xdr:nvPicPr>
        <xdr:cNvPr id="31" name="Picture 116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70545125"/>
          <a:ext cx="59055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21</xdr:col>
      <xdr:colOff>19050</xdr:colOff>
      <xdr:row>1022</xdr:row>
      <xdr:rowOff>47625</xdr:rowOff>
    </xdr:from>
    <xdr:to>
      <xdr:col>32</xdr:col>
      <xdr:colOff>219075</xdr:colOff>
      <xdr:row>1024</xdr:row>
      <xdr:rowOff>114300</xdr:rowOff>
    </xdr:to>
    <xdr:pic>
      <xdr:nvPicPr>
        <xdr:cNvPr id="32" name="Picture 120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65544500"/>
          <a:ext cx="47720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1017</xdr:row>
      <xdr:rowOff>19050</xdr:rowOff>
    </xdr:from>
    <xdr:to>
      <xdr:col>36</xdr:col>
      <xdr:colOff>142875</xdr:colOff>
      <xdr:row>1020</xdr:row>
      <xdr:rowOff>19050</xdr:rowOff>
    </xdr:to>
    <xdr:pic>
      <xdr:nvPicPr>
        <xdr:cNvPr id="33" name="Picture 148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4706300"/>
          <a:ext cx="24288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1014</xdr:row>
      <xdr:rowOff>0</xdr:rowOff>
    </xdr:from>
    <xdr:to>
      <xdr:col>36</xdr:col>
      <xdr:colOff>581025</xdr:colOff>
      <xdr:row>1017</xdr:row>
      <xdr:rowOff>0</xdr:rowOff>
    </xdr:to>
    <xdr:pic>
      <xdr:nvPicPr>
        <xdr:cNvPr id="34" name="Picture 150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4201475"/>
          <a:ext cx="28670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1020</xdr:row>
      <xdr:rowOff>38100</xdr:rowOff>
    </xdr:from>
    <xdr:to>
      <xdr:col>35</xdr:col>
      <xdr:colOff>114300</xdr:colOff>
      <xdr:row>1023</xdr:row>
      <xdr:rowOff>38100</xdr:rowOff>
    </xdr:to>
    <xdr:pic>
      <xdr:nvPicPr>
        <xdr:cNvPr id="35" name="Picture 151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5211125"/>
          <a:ext cx="16383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1023</xdr:row>
      <xdr:rowOff>57150</xdr:rowOff>
    </xdr:from>
    <xdr:to>
      <xdr:col>36</xdr:col>
      <xdr:colOff>47625</xdr:colOff>
      <xdr:row>1026</xdr:row>
      <xdr:rowOff>57150</xdr:rowOff>
    </xdr:to>
    <xdr:pic>
      <xdr:nvPicPr>
        <xdr:cNvPr id="36" name="Picture 153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5715950"/>
          <a:ext cx="23336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1048</xdr:row>
      <xdr:rowOff>28575</xdr:rowOff>
    </xdr:from>
    <xdr:to>
      <xdr:col>34</xdr:col>
      <xdr:colOff>295275</xdr:colOff>
      <xdr:row>1051</xdr:row>
      <xdr:rowOff>76200</xdr:rowOff>
    </xdr:to>
    <xdr:pic>
      <xdr:nvPicPr>
        <xdr:cNvPr id="37" name="Picture 209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69735500"/>
          <a:ext cx="73723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4</xdr:row>
      <xdr:rowOff>152400</xdr:rowOff>
    </xdr:to>
    <xdr:pic>
      <xdr:nvPicPr>
        <xdr:cNvPr id="2604352" name="Picture 8" descr="logoplasci">
          <a:extLst>
            <a:ext uri="{FF2B5EF4-FFF2-40B4-BE49-F238E27FC236}">
              <a16:creationId xmlns:a16="http://schemas.microsoft.com/office/drawing/2014/main" id="{00000000-0008-0000-0500-000040BD2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65100"/>
          <a:ext cx="984250" cy="63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450850</xdr:colOff>
      <xdr:row>0</xdr:row>
      <xdr:rowOff>120650</xdr:rowOff>
    </xdr:from>
    <xdr:to>
      <xdr:col>12</xdr:col>
      <xdr:colOff>450850</xdr:colOff>
      <xdr:row>17</xdr:row>
      <xdr:rowOff>25400</xdr:rowOff>
    </xdr:to>
    <xdr:graphicFrame macro="">
      <xdr:nvGraphicFramePr>
        <xdr:cNvPr id="2604353" name="Graphique 2">
          <a:extLst>
            <a:ext uri="{FF2B5EF4-FFF2-40B4-BE49-F238E27FC236}">
              <a16:creationId xmlns:a16="http://schemas.microsoft.com/office/drawing/2014/main" id="{00000000-0008-0000-0500-000041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450850</xdr:colOff>
      <xdr:row>17</xdr:row>
      <xdr:rowOff>25400</xdr:rowOff>
    </xdr:from>
    <xdr:to>
      <xdr:col>12</xdr:col>
      <xdr:colOff>450850</xdr:colOff>
      <xdr:row>34</xdr:row>
      <xdr:rowOff>19050</xdr:rowOff>
    </xdr:to>
    <xdr:graphicFrame macro="">
      <xdr:nvGraphicFramePr>
        <xdr:cNvPr id="2604354" name="Graphique 2">
          <a:extLst>
            <a:ext uri="{FF2B5EF4-FFF2-40B4-BE49-F238E27FC236}">
              <a16:creationId xmlns:a16="http://schemas.microsoft.com/office/drawing/2014/main" id="{00000000-0008-0000-0500-000042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17</xdr:row>
      <xdr:rowOff>25400</xdr:rowOff>
    </xdr:from>
    <xdr:to>
      <xdr:col>6</xdr:col>
      <xdr:colOff>450850</xdr:colOff>
      <xdr:row>34</xdr:row>
      <xdr:rowOff>19050</xdr:rowOff>
    </xdr:to>
    <xdr:graphicFrame macro="">
      <xdr:nvGraphicFramePr>
        <xdr:cNvPr id="2604355" name="Graphique 2">
          <a:extLst>
            <a:ext uri="{FF2B5EF4-FFF2-40B4-BE49-F238E27FC236}">
              <a16:creationId xmlns:a16="http://schemas.microsoft.com/office/drawing/2014/main" id="{00000000-0008-0000-0500-000043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635000</xdr:colOff>
          <xdr:row>9</xdr:row>
          <xdr:rowOff>12700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604063" name="Spinner 31" hidden="1">
              <a:extLst>
                <a:ext uri="{63B3BB69-23CF-44E3-9099-C40C66FF867C}">
                  <a14:compatExt spid="_x0000_s2604063"/>
                </a:ext>
                <a:ext uri="{FF2B5EF4-FFF2-40B4-BE49-F238E27FC236}">
                  <a16:creationId xmlns:a16="http://schemas.microsoft.com/office/drawing/2014/main" id="{00000000-0008-0000-0500-00001F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8</xdr:col>
      <xdr:colOff>323850</xdr:colOff>
      <xdr:row>68</xdr:row>
      <xdr:rowOff>19050</xdr:rowOff>
    </xdr:from>
    <xdr:to>
      <xdr:col>12</xdr:col>
      <xdr:colOff>752475</xdr:colOff>
      <xdr:row>85</xdr:row>
      <xdr:rowOff>9525</xdr:rowOff>
    </xdr:to>
    <xdr:sp macro="" textlink="">
      <xdr:nvSpPr>
        <xdr:cNvPr id="2604101" name="Object 69" hidden="1">
          <a:extLst>
            <a:ext uri="{63B3BB69-23CF-44E3-9099-C40C66FF867C}">
              <a14:compatExt xmlns:a14="http://schemas.microsoft.com/office/drawing/2010/main" spid="_x0000_s2604101"/>
            </a:ext>
            <a:ext uri="{FF2B5EF4-FFF2-40B4-BE49-F238E27FC236}">
              <a16:creationId xmlns:a16="http://schemas.microsoft.com/office/drawing/2014/main" id="{00000000-0008-0000-0500-000045BC27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635000</xdr:colOff>
          <xdr:row>10</xdr:row>
          <xdr:rowOff>12700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604202" name="Spinner 170" hidden="1">
              <a:extLst>
                <a:ext uri="{63B3BB69-23CF-44E3-9099-C40C66FF867C}">
                  <a14:compatExt spid="_x0000_s2604202"/>
                </a:ext>
                <a:ext uri="{FF2B5EF4-FFF2-40B4-BE49-F238E27FC236}">
                  <a16:creationId xmlns:a16="http://schemas.microsoft.com/office/drawing/2014/main" id="{00000000-0008-0000-0500-0000AA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8</xdr:col>
      <xdr:colOff>323850</xdr:colOff>
      <xdr:row>68</xdr:row>
      <xdr:rowOff>19050</xdr:rowOff>
    </xdr:from>
    <xdr:to>
      <xdr:col>12</xdr:col>
      <xdr:colOff>752475</xdr:colOff>
      <xdr:row>85</xdr:row>
      <xdr:rowOff>9525</xdr:rowOff>
    </xdr:to>
    <xdr:pic>
      <xdr:nvPicPr>
        <xdr:cNvPr id="2" name="Picture 69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5" y="11115675"/>
          <a:ext cx="3476625" cy="274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33</xdr:row>
      <xdr:rowOff>25400</xdr:rowOff>
    </xdr:from>
    <xdr:to>
      <xdr:col>2</xdr:col>
      <xdr:colOff>12700</xdr:colOff>
      <xdr:row>44</xdr:row>
      <xdr:rowOff>19050</xdr:rowOff>
    </xdr:to>
    <xdr:pic>
      <xdr:nvPicPr>
        <xdr:cNvPr id="5938" name="Image 1">
          <a:extLst>
            <a:ext uri="{FF2B5EF4-FFF2-40B4-BE49-F238E27FC236}">
              <a16:creationId xmlns:a16="http://schemas.microsoft.com/office/drawing/2014/main" id="{00000000-0008-0000-0600-00003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50" y="5295900"/>
          <a:ext cx="1231900" cy="1739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1123950</xdr:colOff>
      <xdr:row>53</xdr:row>
      <xdr:rowOff>44450</xdr:rowOff>
    </xdr:from>
    <xdr:to>
      <xdr:col>10</xdr:col>
      <xdr:colOff>609600</xdr:colOff>
      <xdr:row>81</xdr:row>
      <xdr:rowOff>25400</xdr:rowOff>
    </xdr:to>
    <xdr:pic>
      <xdr:nvPicPr>
        <xdr:cNvPr id="5939" name="Image 2">
          <a:extLst>
            <a:ext uri="{FF2B5EF4-FFF2-40B4-BE49-F238E27FC236}">
              <a16:creationId xmlns:a16="http://schemas.microsoft.com/office/drawing/2014/main" id="{00000000-0008-0000-0600-00003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6350" y="8331200"/>
          <a:ext cx="7099300" cy="442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4</xdr:row>
      <xdr:rowOff>152400</xdr:rowOff>
    </xdr:to>
    <xdr:pic>
      <xdr:nvPicPr>
        <xdr:cNvPr id="5940" name="Picture 8" descr="logoplasci">
          <a:extLst>
            <a:ext uri="{FF2B5EF4-FFF2-40B4-BE49-F238E27FC236}">
              <a16:creationId xmlns:a16="http://schemas.microsoft.com/office/drawing/2014/main" id="{00000000-0008-0000-0600-00003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400" y="15875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80</xdr:row>
      <xdr:rowOff>12700</xdr:rowOff>
    </xdr:from>
    <xdr:to>
      <xdr:col>8</xdr:col>
      <xdr:colOff>0</xdr:colOff>
      <xdr:row>102</xdr:row>
      <xdr:rowOff>107950</xdr:rowOff>
    </xdr:to>
    <xdr:grpSp>
      <xdr:nvGrpSpPr>
        <xdr:cNvPr id="5501606" name="Group 232">
          <a:extLst>
            <a:ext uri="{FF2B5EF4-FFF2-40B4-BE49-F238E27FC236}">
              <a16:creationId xmlns:a16="http://schemas.microsoft.com/office/drawing/2014/main" id="{00000000-0008-0000-0700-0000A6F25300}"/>
            </a:ext>
          </a:extLst>
        </xdr:cNvPr>
        <xdr:cNvGrpSpPr>
          <a:grpSpLocks/>
        </xdr:cNvGrpSpPr>
      </xdr:nvGrpSpPr>
      <xdr:grpSpPr bwMode="auto">
        <a:xfrm>
          <a:off x="4311650" y="13366750"/>
          <a:ext cx="2241550" cy="3714750"/>
          <a:chOff x="3421" y="5379"/>
          <a:chExt cx="2289" cy="5759"/>
        </a:xfrm>
      </xdr:grpSpPr>
      <xdr:grpSp>
        <xdr:nvGrpSpPr>
          <xdr:cNvPr id="5501710" name="Group 233">
            <a:extLst>
              <a:ext uri="{FF2B5EF4-FFF2-40B4-BE49-F238E27FC236}">
                <a16:creationId xmlns:a16="http://schemas.microsoft.com/office/drawing/2014/main" id="{00000000-0008-0000-0700-00000EF353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501728" name="Arc 234">
              <a:extLst>
                <a:ext uri="{FF2B5EF4-FFF2-40B4-BE49-F238E27FC236}">
                  <a16:creationId xmlns:a16="http://schemas.microsoft.com/office/drawing/2014/main" id="{00000000-0008-0000-0700-000020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29" name="Group 235">
              <a:extLst>
                <a:ext uri="{FF2B5EF4-FFF2-40B4-BE49-F238E27FC236}">
                  <a16:creationId xmlns:a16="http://schemas.microsoft.com/office/drawing/2014/main" id="{00000000-0008-0000-0700-000021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30" name="Line 236">
                <a:extLst>
                  <a:ext uri="{FF2B5EF4-FFF2-40B4-BE49-F238E27FC236}">
                    <a16:creationId xmlns:a16="http://schemas.microsoft.com/office/drawing/2014/main" id="{00000000-0008-0000-0700-000022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1" name="Line 237">
                <a:extLst>
                  <a:ext uri="{FF2B5EF4-FFF2-40B4-BE49-F238E27FC236}">
                    <a16:creationId xmlns:a16="http://schemas.microsoft.com/office/drawing/2014/main" id="{00000000-0008-0000-0700-000023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2" name="Line 238">
                <a:extLst>
                  <a:ext uri="{FF2B5EF4-FFF2-40B4-BE49-F238E27FC236}">
                    <a16:creationId xmlns:a16="http://schemas.microsoft.com/office/drawing/2014/main" id="{00000000-0008-0000-0700-000024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3" name="Line 239">
                <a:extLst>
                  <a:ext uri="{FF2B5EF4-FFF2-40B4-BE49-F238E27FC236}">
                    <a16:creationId xmlns:a16="http://schemas.microsoft.com/office/drawing/2014/main" id="{00000000-0008-0000-0700-000025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4" name="Line 240">
                <a:extLst>
                  <a:ext uri="{FF2B5EF4-FFF2-40B4-BE49-F238E27FC236}">
                    <a16:creationId xmlns:a16="http://schemas.microsoft.com/office/drawing/2014/main" id="{00000000-0008-0000-0700-000026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grpSp>
        <xdr:nvGrpSpPr>
          <xdr:cNvPr id="5501711" name="Group 241">
            <a:extLst>
              <a:ext uri="{FF2B5EF4-FFF2-40B4-BE49-F238E27FC236}">
                <a16:creationId xmlns:a16="http://schemas.microsoft.com/office/drawing/2014/main" id="{00000000-0008-0000-0700-00000FF353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501721" name="Arc 242">
              <a:extLst>
                <a:ext uri="{FF2B5EF4-FFF2-40B4-BE49-F238E27FC236}">
                  <a16:creationId xmlns:a16="http://schemas.microsoft.com/office/drawing/2014/main" id="{00000000-0008-0000-0700-000019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22" name="Group 243">
              <a:extLst>
                <a:ext uri="{FF2B5EF4-FFF2-40B4-BE49-F238E27FC236}">
                  <a16:creationId xmlns:a16="http://schemas.microsoft.com/office/drawing/2014/main" id="{00000000-0008-0000-0700-00001A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23" name="Line 244">
                <a:extLst>
                  <a:ext uri="{FF2B5EF4-FFF2-40B4-BE49-F238E27FC236}">
                    <a16:creationId xmlns:a16="http://schemas.microsoft.com/office/drawing/2014/main" id="{00000000-0008-0000-0700-00001B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4" name="Line 245">
                <a:extLst>
                  <a:ext uri="{FF2B5EF4-FFF2-40B4-BE49-F238E27FC236}">
                    <a16:creationId xmlns:a16="http://schemas.microsoft.com/office/drawing/2014/main" id="{00000000-0008-0000-0700-00001C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5" name="Line 246">
                <a:extLst>
                  <a:ext uri="{FF2B5EF4-FFF2-40B4-BE49-F238E27FC236}">
                    <a16:creationId xmlns:a16="http://schemas.microsoft.com/office/drawing/2014/main" id="{00000000-0008-0000-0700-00001D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6" name="Line 247">
                <a:extLst>
                  <a:ext uri="{FF2B5EF4-FFF2-40B4-BE49-F238E27FC236}">
                    <a16:creationId xmlns:a16="http://schemas.microsoft.com/office/drawing/2014/main" id="{00000000-0008-0000-0700-00001E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7" name="Line 248">
                <a:extLst>
                  <a:ext uri="{FF2B5EF4-FFF2-40B4-BE49-F238E27FC236}">
                    <a16:creationId xmlns:a16="http://schemas.microsoft.com/office/drawing/2014/main" id="{00000000-0008-0000-0700-00001F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5501712" name="Line 249">
            <a:extLst>
              <a:ext uri="{FF2B5EF4-FFF2-40B4-BE49-F238E27FC236}">
                <a16:creationId xmlns:a16="http://schemas.microsoft.com/office/drawing/2014/main" id="{00000000-0008-0000-0700-000010F353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3" name="Line 250">
            <a:extLst>
              <a:ext uri="{FF2B5EF4-FFF2-40B4-BE49-F238E27FC236}">
                <a16:creationId xmlns:a16="http://schemas.microsoft.com/office/drawing/2014/main" id="{00000000-0008-0000-0700-000011F353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4" name="Line 251">
            <a:extLst>
              <a:ext uri="{FF2B5EF4-FFF2-40B4-BE49-F238E27FC236}">
                <a16:creationId xmlns:a16="http://schemas.microsoft.com/office/drawing/2014/main" id="{00000000-0008-0000-0700-000012F353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5" name="Line 252">
            <a:extLst>
              <a:ext uri="{FF2B5EF4-FFF2-40B4-BE49-F238E27FC236}">
                <a16:creationId xmlns:a16="http://schemas.microsoft.com/office/drawing/2014/main" id="{00000000-0008-0000-0700-000013F3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6" name="Line 253">
            <a:extLst>
              <a:ext uri="{FF2B5EF4-FFF2-40B4-BE49-F238E27FC236}">
                <a16:creationId xmlns:a16="http://schemas.microsoft.com/office/drawing/2014/main" id="{00000000-0008-0000-0700-000014F353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7" name="Line 254">
            <a:extLst>
              <a:ext uri="{FF2B5EF4-FFF2-40B4-BE49-F238E27FC236}">
                <a16:creationId xmlns:a16="http://schemas.microsoft.com/office/drawing/2014/main" id="{00000000-0008-0000-0700-000015F3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8" name="Line 255">
            <a:extLst>
              <a:ext uri="{FF2B5EF4-FFF2-40B4-BE49-F238E27FC236}">
                <a16:creationId xmlns:a16="http://schemas.microsoft.com/office/drawing/2014/main" id="{00000000-0008-0000-0700-000016F3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9" name="Line 256">
            <a:extLst>
              <a:ext uri="{FF2B5EF4-FFF2-40B4-BE49-F238E27FC236}">
                <a16:creationId xmlns:a16="http://schemas.microsoft.com/office/drawing/2014/main" id="{00000000-0008-0000-0700-000017F353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20" name="Line 257">
            <a:extLst>
              <a:ext uri="{FF2B5EF4-FFF2-40B4-BE49-F238E27FC236}">
                <a16:creationId xmlns:a16="http://schemas.microsoft.com/office/drawing/2014/main" id="{00000000-0008-0000-0700-000018F3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825500</xdr:colOff>
      <xdr:row>84</xdr:row>
      <xdr:rowOff>101600</xdr:rowOff>
    </xdr:from>
    <xdr:to>
      <xdr:col>6</xdr:col>
      <xdr:colOff>1543050</xdr:colOff>
      <xdr:row>84</xdr:row>
      <xdr:rowOff>101600</xdr:rowOff>
    </xdr:to>
    <xdr:sp macro="" textlink="">
      <xdr:nvSpPr>
        <xdr:cNvPr id="5501607" name="Line 268">
          <a:extLst>
            <a:ext uri="{FF2B5EF4-FFF2-40B4-BE49-F238E27FC236}">
              <a16:creationId xmlns:a16="http://schemas.microsoft.com/office/drawing/2014/main" id="{00000000-0008-0000-0700-0000A7F25300}"/>
            </a:ext>
          </a:extLst>
        </xdr:cNvPr>
        <xdr:cNvSpPr>
          <a:spLocks noChangeShapeType="1"/>
        </xdr:cNvSpPr>
      </xdr:nvSpPr>
      <xdr:spPr bwMode="auto">
        <a:xfrm flipV="1">
          <a:off x="5105400" y="14128750"/>
          <a:ext cx="7175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152400</xdr:colOff>
      <xdr:row>80</xdr:row>
      <xdr:rowOff>0</xdr:rowOff>
    </xdr:from>
    <xdr:to>
      <xdr:col>8</xdr:col>
      <xdr:colOff>654050</xdr:colOff>
      <xdr:row>80</xdr:row>
      <xdr:rowOff>0</xdr:rowOff>
    </xdr:to>
    <xdr:sp macro="" textlink="">
      <xdr:nvSpPr>
        <xdr:cNvPr id="5501608" name="Line 269">
          <a:extLst>
            <a:ext uri="{FF2B5EF4-FFF2-40B4-BE49-F238E27FC236}">
              <a16:creationId xmlns:a16="http://schemas.microsoft.com/office/drawing/2014/main" id="{00000000-0008-0000-0700-0000A8F25300}"/>
            </a:ext>
          </a:extLst>
        </xdr:cNvPr>
        <xdr:cNvSpPr>
          <a:spLocks noChangeShapeType="1"/>
        </xdr:cNvSpPr>
      </xdr:nvSpPr>
      <xdr:spPr bwMode="auto">
        <a:xfrm flipV="1">
          <a:off x="4432300" y="13354050"/>
          <a:ext cx="2647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228600</xdr:colOff>
      <xdr:row>80</xdr:row>
      <xdr:rowOff>12700</xdr:rowOff>
    </xdr:from>
    <xdr:to>
      <xdr:col>8</xdr:col>
      <xdr:colOff>228600</xdr:colOff>
      <xdr:row>93</xdr:row>
      <xdr:rowOff>82550</xdr:rowOff>
    </xdr:to>
    <xdr:sp macro="" textlink="">
      <xdr:nvSpPr>
        <xdr:cNvPr id="5501609" name="Line 270">
          <a:extLst>
            <a:ext uri="{FF2B5EF4-FFF2-40B4-BE49-F238E27FC236}">
              <a16:creationId xmlns:a16="http://schemas.microsoft.com/office/drawing/2014/main" id="{00000000-0008-0000-0700-0000A9F25300}"/>
            </a:ext>
          </a:extLst>
        </xdr:cNvPr>
        <xdr:cNvSpPr>
          <a:spLocks noChangeShapeType="1"/>
        </xdr:cNvSpPr>
      </xdr:nvSpPr>
      <xdr:spPr bwMode="auto">
        <a:xfrm>
          <a:off x="6838950" y="13366750"/>
          <a:ext cx="0" cy="2209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139700</xdr:colOff>
      <xdr:row>83</xdr:row>
      <xdr:rowOff>50800</xdr:rowOff>
    </xdr:from>
    <xdr:to>
      <xdr:col>6</xdr:col>
      <xdr:colOff>838200</xdr:colOff>
      <xdr:row>83</xdr:row>
      <xdr:rowOff>50800</xdr:rowOff>
    </xdr:to>
    <xdr:sp macro="" textlink="">
      <xdr:nvSpPr>
        <xdr:cNvPr id="5501610" name="Line 271">
          <a:extLst>
            <a:ext uri="{FF2B5EF4-FFF2-40B4-BE49-F238E27FC236}">
              <a16:creationId xmlns:a16="http://schemas.microsoft.com/office/drawing/2014/main" id="{00000000-0008-0000-0700-0000AAF25300}"/>
            </a:ext>
          </a:extLst>
        </xdr:cNvPr>
        <xdr:cNvSpPr>
          <a:spLocks noChangeShapeType="1"/>
        </xdr:cNvSpPr>
      </xdr:nvSpPr>
      <xdr:spPr bwMode="auto">
        <a:xfrm>
          <a:off x="4419600" y="13912850"/>
          <a:ext cx="698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152400</xdr:colOff>
      <xdr:row>80</xdr:row>
      <xdr:rowOff>0</xdr:rowOff>
    </xdr:from>
    <xdr:to>
      <xdr:col>6</xdr:col>
      <xdr:colOff>152400</xdr:colOff>
      <xdr:row>83</xdr:row>
      <xdr:rowOff>50800</xdr:rowOff>
    </xdr:to>
    <xdr:sp macro="" textlink="">
      <xdr:nvSpPr>
        <xdr:cNvPr id="5501611" name="Line 272">
          <a:extLst>
            <a:ext uri="{FF2B5EF4-FFF2-40B4-BE49-F238E27FC236}">
              <a16:creationId xmlns:a16="http://schemas.microsoft.com/office/drawing/2014/main" id="{00000000-0008-0000-0700-0000ABF25300}"/>
            </a:ext>
          </a:extLst>
        </xdr:cNvPr>
        <xdr:cNvSpPr>
          <a:spLocks noChangeShapeType="1"/>
        </xdr:cNvSpPr>
      </xdr:nvSpPr>
      <xdr:spPr bwMode="auto">
        <a:xfrm>
          <a:off x="4432300" y="13354050"/>
          <a:ext cx="0" cy="558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7</xdr:col>
      <xdr:colOff>787400</xdr:colOff>
      <xdr:row>102</xdr:row>
      <xdr:rowOff>95250</xdr:rowOff>
    </xdr:from>
    <xdr:to>
      <xdr:col>8</xdr:col>
      <xdr:colOff>552450</xdr:colOff>
      <xdr:row>102</xdr:row>
      <xdr:rowOff>95250</xdr:rowOff>
    </xdr:to>
    <xdr:sp macro="" textlink="">
      <xdr:nvSpPr>
        <xdr:cNvPr id="5501612" name="Line 277">
          <a:extLst>
            <a:ext uri="{FF2B5EF4-FFF2-40B4-BE49-F238E27FC236}">
              <a16:creationId xmlns:a16="http://schemas.microsoft.com/office/drawing/2014/main" id="{00000000-0008-0000-0700-0000ACF25300}"/>
            </a:ext>
          </a:extLst>
        </xdr:cNvPr>
        <xdr:cNvSpPr>
          <a:spLocks noChangeShapeType="1"/>
        </xdr:cNvSpPr>
      </xdr:nvSpPr>
      <xdr:spPr bwMode="auto">
        <a:xfrm>
          <a:off x="6610350" y="17068800"/>
          <a:ext cx="469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12700</xdr:colOff>
      <xdr:row>98</xdr:row>
      <xdr:rowOff>133350</xdr:rowOff>
    </xdr:from>
    <xdr:to>
      <xdr:col>8</xdr:col>
      <xdr:colOff>469900</xdr:colOff>
      <xdr:row>98</xdr:row>
      <xdr:rowOff>133350</xdr:rowOff>
    </xdr:to>
    <xdr:sp macro="" textlink="">
      <xdr:nvSpPr>
        <xdr:cNvPr id="5501613" name="Line 278">
          <a:extLst>
            <a:ext uri="{FF2B5EF4-FFF2-40B4-BE49-F238E27FC236}">
              <a16:creationId xmlns:a16="http://schemas.microsoft.com/office/drawing/2014/main" id="{00000000-0008-0000-0700-0000ADF25300}"/>
            </a:ext>
          </a:extLst>
        </xdr:cNvPr>
        <xdr:cNvSpPr>
          <a:spLocks noChangeShapeType="1"/>
        </xdr:cNvSpPr>
      </xdr:nvSpPr>
      <xdr:spPr bwMode="auto">
        <a:xfrm>
          <a:off x="6623050" y="16440150"/>
          <a:ext cx="457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93</xdr:row>
      <xdr:rowOff>76200</xdr:rowOff>
    </xdr:from>
    <xdr:to>
      <xdr:col>8</xdr:col>
      <xdr:colOff>552450</xdr:colOff>
      <xdr:row>93</xdr:row>
      <xdr:rowOff>76200</xdr:rowOff>
    </xdr:to>
    <xdr:sp macro="" textlink="">
      <xdr:nvSpPr>
        <xdr:cNvPr id="5501614" name="Line 279">
          <a:extLst>
            <a:ext uri="{FF2B5EF4-FFF2-40B4-BE49-F238E27FC236}">
              <a16:creationId xmlns:a16="http://schemas.microsoft.com/office/drawing/2014/main" id="{00000000-0008-0000-0700-0000AEF25300}"/>
            </a:ext>
          </a:extLst>
        </xdr:cNvPr>
        <xdr:cNvSpPr>
          <a:spLocks noChangeShapeType="1"/>
        </xdr:cNvSpPr>
      </xdr:nvSpPr>
      <xdr:spPr bwMode="auto">
        <a:xfrm flipV="1">
          <a:off x="4756150" y="15570200"/>
          <a:ext cx="2324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99</xdr:row>
      <xdr:rowOff>152400</xdr:rowOff>
    </xdr:from>
    <xdr:to>
      <xdr:col>6</xdr:col>
      <xdr:colOff>1428750</xdr:colOff>
      <xdr:row>99</xdr:row>
      <xdr:rowOff>152400</xdr:rowOff>
    </xdr:to>
    <xdr:sp macro="" textlink="">
      <xdr:nvSpPr>
        <xdr:cNvPr id="5501615" name="Line 280">
          <a:extLst>
            <a:ext uri="{FF2B5EF4-FFF2-40B4-BE49-F238E27FC236}">
              <a16:creationId xmlns:a16="http://schemas.microsoft.com/office/drawing/2014/main" id="{00000000-0008-0000-0700-0000AFF25300}"/>
            </a:ext>
          </a:extLst>
        </xdr:cNvPr>
        <xdr:cNvSpPr>
          <a:spLocks noChangeShapeType="1"/>
        </xdr:cNvSpPr>
      </xdr:nvSpPr>
      <xdr:spPr bwMode="auto">
        <a:xfrm flipV="1">
          <a:off x="4756150" y="16617950"/>
          <a:ext cx="952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93</xdr:row>
      <xdr:rowOff>76200</xdr:rowOff>
    </xdr:from>
    <xdr:to>
      <xdr:col>6</xdr:col>
      <xdr:colOff>476250</xdr:colOff>
      <xdr:row>100</xdr:row>
      <xdr:rowOff>0</xdr:rowOff>
    </xdr:to>
    <xdr:sp macro="" textlink="">
      <xdr:nvSpPr>
        <xdr:cNvPr id="5501616" name="Line 281">
          <a:extLst>
            <a:ext uri="{FF2B5EF4-FFF2-40B4-BE49-F238E27FC236}">
              <a16:creationId xmlns:a16="http://schemas.microsoft.com/office/drawing/2014/main" id="{00000000-0008-0000-0700-0000B0F25300}"/>
            </a:ext>
          </a:extLst>
        </xdr:cNvPr>
        <xdr:cNvSpPr>
          <a:spLocks noChangeShapeType="1"/>
        </xdr:cNvSpPr>
      </xdr:nvSpPr>
      <xdr:spPr bwMode="auto">
        <a:xfrm>
          <a:off x="4756150" y="15570200"/>
          <a:ext cx="0" cy="1066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488950</xdr:colOff>
      <xdr:row>98</xdr:row>
      <xdr:rowOff>133350</xdr:rowOff>
    </xdr:from>
    <xdr:to>
      <xdr:col>8</xdr:col>
      <xdr:colOff>488950</xdr:colOff>
      <xdr:row>102</xdr:row>
      <xdr:rowOff>95250</xdr:rowOff>
    </xdr:to>
    <xdr:sp macro="" textlink="">
      <xdr:nvSpPr>
        <xdr:cNvPr id="5501617" name="Line 282">
          <a:extLst>
            <a:ext uri="{FF2B5EF4-FFF2-40B4-BE49-F238E27FC236}">
              <a16:creationId xmlns:a16="http://schemas.microsoft.com/office/drawing/2014/main" id="{00000000-0008-0000-0700-0000B1F25300}"/>
            </a:ext>
          </a:extLst>
        </xdr:cNvPr>
        <xdr:cNvSpPr>
          <a:spLocks noChangeShapeType="1"/>
        </xdr:cNvSpPr>
      </xdr:nvSpPr>
      <xdr:spPr bwMode="auto">
        <a:xfrm>
          <a:off x="7080250" y="16440150"/>
          <a:ext cx="0" cy="6286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488950</xdr:colOff>
      <xdr:row>93</xdr:row>
      <xdr:rowOff>63500</xdr:rowOff>
    </xdr:from>
    <xdr:to>
      <xdr:col>8</xdr:col>
      <xdr:colOff>488950</xdr:colOff>
      <xdr:row>98</xdr:row>
      <xdr:rowOff>133350</xdr:rowOff>
    </xdr:to>
    <xdr:sp macro="" textlink="">
      <xdr:nvSpPr>
        <xdr:cNvPr id="5501618" name="Line 283">
          <a:extLst>
            <a:ext uri="{FF2B5EF4-FFF2-40B4-BE49-F238E27FC236}">
              <a16:creationId xmlns:a16="http://schemas.microsoft.com/office/drawing/2014/main" id="{00000000-0008-0000-0700-0000B2F25300}"/>
            </a:ext>
          </a:extLst>
        </xdr:cNvPr>
        <xdr:cNvSpPr>
          <a:spLocks noChangeShapeType="1"/>
        </xdr:cNvSpPr>
      </xdr:nvSpPr>
      <xdr:spPr bwMode="auto">
        <a:xfrm>
          <a:off x="7080250" y="15557500"/>
          <a:ext cx="0" cy="8826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0</xdr:colOff>
      <xdr:row>102</xdr:row>
      <xdr:rowOff>95250</xdr:rowOff>
    </xdr:from>
    <xdr:to>
      <xdr:col>8</xdr:col>
      <xdr:colOff>0</xdr:colOff>
      <xdr:row>103</xdr:row>
      <xdr:rowOff>0</xdr:rowOff>
    </xdr:to>
    <xdr:sp macro="" textlink="">
      <xdr:nvSpPr>
        <xdr:cNvPr id="5501619" name="Line 284">
          <a:extLst>
            <a:ext uri="{FF2B5EF4-FFF2-40B4-BE49-F238E27FC236}">
              <a16:creationId xmlns:a16="http://schemas.microsoft.com/office/drawing/2014/main" id="{00000000-0008-0000-0700-0000B3F25300}"/>
            </a:ext>
          </a:extLst>
        </xdr:cNvPr>
        <xdr:cNvSpPr>
          <a:spLocks noChangeShapeType="1"/>
        </xdr:cNvSpPr>
      </xdr:nvSpPr>
      <xdr:spPr bwMode="auto">
        <a:xfrm flipV="1">
          <a:off x="6610350" y="17068800"/>
          <a:ext cx="0" cy="6985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1428750</xdr:colOff>
      <xdr:row>99</xdr:row>
      <xdr:rowOff>139700</xdr:rowOff>
    </xdr:from>
    <xdr:to>
      <xdr:col>6</xdr:col>
      <xdr:colOff>1428750</xdr:colOff>
      <xdr:row>103</xdr:row>
      <xdr:rowOff>0</xdr:rowOff>
    </xdr:to>
    <xdr:sp macro="" textlink="">
      <xdr:nvSpPr>
        <xdr:cNvPr id="5501620" name="Line 285">
          <a:extLst>
            <a:ext uri="{FF2B5EF4-FFF2-40B4-BE49-F238E27FC236}">
              <a16:creationId xmlns:a16="http://schemas.microsoft.com/office/drawing/2014/main" id="{00000000-0008-0000-0700-0000B4F25300}"/>
            </a:ext>
          </a:extLst>
        </xdr:cNvPr>
        <xdr:cNvSpPr>
          <a:spLocks noChangeShapeType="1"/>
        </xdr:cNvSpPr>
      </xdr:nvSpPr>
      <xdr:spPr bwMode="auto">
        <a:xfrm flipH="1" flipV="1">
          <a:off x="5708650" y="16605250"/>
          <a:ext cx="0" cy="5334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1422400</xdr:colOff>
      <xdr:row>103</xdr:row>
      <xdr:rowOff>0</xdr:rowOff>
    </xdr:from>
    <xdr:to>
      <xdr:col>8</xdr:col>
      <xdr:colOff>0</xdr:colOff>
      <xdr:row>103</xdr:row>
      <xdr:rowOff>0</xdr:rowOff>
    </xdr:to>
    <xdr:sp macro="" textlink="">
      <xdr:nvSpPr>
        <xdr:cNvPr id="5501621" name="Line 286">
          <a:extLst>
            <a:ext uri="{FF2B5EF4-FFF2-40B4-BE49-F238E27FC236}">
              <a16:creationId xmlns:a16="http://schemas.microsoft.com/office/drawing/2014/main" id="{00000000-0008-0000-0700-0000B5F25300}"/>
            </a:ext>
          </a:extLst>
        </xdr:cNvPr>
        <xdr:cNvSpPr>
          <a:spLocks noChangeShapeType="1"/>
        </xdr:cNvSpPr>
      </xdr:nvSpPr>
      <xdr:spPr bwMode="auto">
        <a:xfrm>
          <a:off x="5702300" y="17138650"/>
          <a:ext cx="9080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685800</xdr:colOff>
      <xdr:row>89</xdr:row>
      <xdr:rowOff>69850</xdr:rowOff>
    </xdr:from>
    <xdr:to>
      <xdr:col>6</xdr:col>
      <xdr:colOff>1695450</xdr:colOff>
      <xdr:row>89</xdr:row>
      <xdr:rowOff>69850</xdr:rowOff>
    </xdr:to>
    <xdr:sp macro="" textlink="">
      <xdr:nvSpPr>
        <xdr:cNvPr id="5501622" name="Line 287">
          <a:extLst>
            <a:ext uri="{FF2B5EF4-FFF2-40B4-BE49-F238E27FC236}">
              <a16:creationId xmlns:a16="http://schemas.microsoft.com/office/drawing/2014/main" id="{00000000-0008-0000-0700-0000B6F25300}"/>
            </a:ext>
          </a:extLst>
        </xdr:cNvPr>
        <xdr:cNvSpPr>
          <a:spLocks noChangeShapeType="1"/>
        </xdr:cNvSpPr>
      </xdr:nvSpPr>
      <xdr:spPr bwMode="auto">
        <a:xfrm>
          <a:off x="4965700" y="14916150"/>
          <a:ext cx="100965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990600</xdr:colOff>
      <xdr:row>93</xdr:row>
      <xdr:rowOff>25400</xdr:rowOff>
    </xdr:from>
    <xdr:to>
      <xdr:col>6</xdr:col>
      <xdr:colOff>1397000</xdr:colOff>
      <xdr:row>93</xdr:row>
      <xdr:rowOff>25400</xdr:rowOff>
    </xdr:to>
    <xdr:sp macro="" textlink="">
      <xdr:nvSpPr>
        <xdr:cNvPr id="5501623" name="Line 288">
          <a:extLst>
            <a:ext uri="{FF2B5EF4-FFF2-40B4-BE49-F238E27FC236}">
              <a16:creationId xmlns:a16="http://schemas.microsoft.com/office/drawing/2014/main" id="{00000000-0008-0000-0700-0000B7F25300}"/>
            </a:ext>
          </a:extLst>
        </xdr:cNvPr>
        <xdr:cNvSpPr>
          <a:spLocks noChangeShapeType="1"/>
        </xdr:cNvSpPr>
      </xdr:nvSpPr>
      <xdr:spPr bwMode="auto">
        <a:xfrm>
          <a:off x="5270500" y="15519400"/>
          <a:ext cx="4064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850900</xdr:colOff>
      <xdr:row>87</xdr:row>
      <xdr:rowOff>57150</xdr:rowOff>
    </xdr:from>
    <xdr:to>
      <xdr:col>8</xdr:col>
      <xdr:colOff>44450</xdr:colOff>
      <xdr:row>87</xdr:row>
      <xdr:rowOff>57150</xdr:rowOff>
    </xdr:to>
    <xdr:sp macro="" textlink="">
      <xdr:nvSpPr>
        <xdr:cNvPr id="5501624" name="Line 289">
          <a:extLst>
            <a:ext uri="{FF2B5EF4-FFF2-40B4-BE49-F238E27FC236}">
              <a16:creationId xmlns:a16="http://schemas.microsoft.com/office/drawing/2014/main" id="{00000000-0008-0000-0700-0000B8F25300}"/>
            </a:ext>
          </a:extLst>
        </xdr:cNvPr>
        <xdr:cNvSpPr>
          <a:spLocks noChangeShapeType="1"/>
        </xdr:cNvSpPr>
      </xdr:nvSpPr>
      <xdr:spPr bwMode="auto">
        <a:xfrm>
          <a:off x="5130800" y="14579600"/>
          <a:ext cx="1524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698500</xdr:colOff>
      <xdr:row>88</xdr:row>
      <xdr:rowOff>57150</xdr:rowOff>
    </xdr:from>
    <xdr:to>
      <xdr:col>8</xdr:col>
      <xdr:colOff>57150</xdr:colOff>
      <xdr:row>88</xdr:row>
      <xdr:rowOff>57150</xdr:rowOff>
    </xdr:to>
    <xdr:sp macro="" textlink="">
      <xdr:nvSpPr>
        <xdr:cNvPr id="5501625" name="Line 290">
          <a:extLst>
            <a:ext uri="{FF2B5EF4-FFF2-40B4-BE49-F238E27FC236}">
              <a16:creationId xmlns:a16="http://schemas.microsoft.com/office/drawing/2014/main" id="{00000000-0008-0000-0700-0000B9F25300}"/>
            </a:ext>
          </a:extLst>
        </xdr:cNvPr>
        <xdr:cNvSpPr>
          <a:spLocks noChangeShapeType="1"/>
        </xdr:cNvSpPr>
      </xdr:nvSpPr>
      <xdr:spPr bwMode="auto">
        <a:xfrm>
          <a:off x="4978400" y="14738350"/>
          <a:ext cx="16891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698500</xdr:colOff>
      <xdr:row>90</xdr:row>
      <xdr:rowOff>139700</xdr:rowOff>
    </xdr:from>
    <xdr:to>
      <xdr:col>8</xdr:col>
      <xdr:colOff>69850</xdr:colOff>
      <xdr:row>90</xdr:row>
      <xdr:rowOff>139700</xdr:rowOff>
    </xdr:to>
    <xdr:sp macro="" textlink="">
      <xdr:nvSpPr>
        <xdr:cNvPr id="5501626" name="Line 291">
          <a:extLst>
            <a:ext uri="{FF2B5EF4-FFF2-40B4-BE49-F238E27FC236}">
              <a16:creationId xmlns:a16="http://schemas.microsoft.com/office/drawing/2014/main" id="{00000000-0008-0000-0700-0000BAF25300}"/>
            </a:ext>
          </a:extLst>
        </xdr:cNvPr>
        <xdr:cNvSpPr>
          <a:spLocks noChangeShapeType="1"/>
        </xdr:cNvSpPr>
      </xdr:nvSpPr>
      <xdr:spPr bwMode="auto">
        <a:xfrm>
          <a:off x="4978400" y="15157450"/>
          <a:ext cx="17018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977900</xdr:colOff>
      <xdr:row>92</xdr:row>
      <xdr:rowOff>44450</xdr:rowOff>
    </xdr:from>
    <xdr:to>
      <xdr:col>8</xdr:col>
      <xdr:colOff>44450</xdr:colOff>
      <xdr:row>92</xdr:row>
      <xdr:rowOff>44450</xdr:rowOff>
    </xdr:to>
    <xdr:sp macro="" textlink="">
      <xdr:nvSpPr>
        <xdr:cNvPr id="5501627" name="Line 292">
          <a:extLst>
            <a:ext uri="{FF2B5EF4-FFF2-40B4-BE49-F238E27FC236}">
              <a16:creationId xmlns:a16="http://schemas.microsoft.com/office/drawing/2014/main" id="{00000000-0008-0000-0700-0000BBF25300}"/>
            </a:ext>
          </a:extLst>
        </xdr:cNvPr>
        <xdr:cNvSpPr>
          <a:spLocks noChangeShapeType="1"/>
        </xdr:cNvSpPr>
      </xdr:nvSpPr>
      <xdr:spPr bwMode="auto">
        <a:xfrm>
          <a:off x="5257800" y="15379700"/>
          <a:ext cx="1397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1790700</xdr:colOff>
      <xdr:row>80</xdr:row>
      <xdr:rowOff>0</xdr:rowOff>
    </xdr:from>
    <xdr:to>
      <xdr:col>6</xdr:col>
      <xdr:colOff>1790700</xdr:colOff>
      <xdr:row>87</xdr:row>
      <xdr:rowOff>63500</xdr:rowOff>
    </xdr:to>
    <xdr:sp macro="" textlink="">
      <xdr:nvSpPr>
        <xdr:cNvPr id="5501628" name="Line 293">
          <a:extLst>
            <a:ext uri="{FF2B5EF4-FFF2-40B4-BE49-F238E27FC236}">
              <a16:creationId xmlns:a16="http://schemas.microsoft.com/office/drawing/2014/main" id="{00000000-0008-0000-0700-0000BCF25300}"/>
            </a:ext>
          </a:extLst>
        </xdr:cNvPr>
        <xdr:cNvSpPr>
          <a:spLocks noChangeShapeType="1"/>
        </xdr:cNvSpPr>
      </xdr:nvSpPr>
      <xdr:spPr bwMode="auto">
        <a:xfrm>
          <a:off x="6070600" y="13354050"/>
          <a:ext cx="0" cy="12319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7</xdr:col>
      <xdr:colOff>190500</xdr:colOff>
      <xdr:row>80</xdr:row>
      <xdr:rowOff>0</xdr:rowOff>
    </xdr:from>
    <xdr:to>
      <xdr:col>7</xdr:col>
      <xdr:colOff>190500</xdr:colOff>
      <xdr:row>90</xdr:row>
      <xdr:rowOff>133350</xdr:rowOff>
    </xdr:to>
    <xdr:sp macro="" textlink="">
      <xdr:nvSpPr>
        <xdr:cNvPr id="5501629" name="Line 294">
          <a:extLst>
            <a:ext uri="{FF2B5EF4-FFF2-40B4-BE49-F238E27FC236}">
              <a16:creationId xmlns:a16="http://schemas.microsoft.com/office/drawing/2014/main" id="{00000000-0008-0000-0700-0000BDF25300}"/>
            </a:ext>
          </a:extLst>
        </xdr:cNvPr>
        <xdr:cNvSpPr>
          <a:spLocks noChangeShapeType="1"/>
        </xdr:cNvSpPr>
      </xdr:nvSpPr>
      <xdr:spPr bwMode="auto">
        <a:xfrm>
          <a:off x="6330950" y="13354050"/>
          <a:ext cx="0" cy="17970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8</xdr:col>
      <xdr:colOff>44450</xdr:colOff>
      <xdr:row>87</xdr:row>
      <xdr:rowOff>57150</xdr:rowOff>
    </xdr:from>
    <xdr:to>
      <xdr:col>8</xdr:col>
      <xdr:colOff>44450</xdr:colOff>
      <xdr:row>88</xdr:row>
      <xdr:rowOff>57150</xdr:rowOff>
    </xdr:to>
    <xdr:sp macro="" textlink="">
      <xdr:nvSpPr>
        <xdr:cNvPr id="5501630" name="Line 295">
          <a:extLst>
            <a:ext uri="{FF2B5EF4-FFF2-40B4-BE49-F238E27FC236}">
              <a16:creationId xmlns:a16="http://schemas.microsoft.com/office/drawing/2014/main" id="{00000000-0008-0000-0700-0000BEF25300}"/>
            </a:ext>
          </a:extLst>
        </xdr:cNvPr>
        <xdr:cNvSpPr>
          <a:spLocks noChangeShapeType="1"/>
        </xdr:cNvSpPr>
      </xdr:nvSpPr>
      <xdr:spPr bwMode="auto">
        <a:xfrm>
          <a:off x="6654800" y="14579600"/>
          <a:ext cx="0" cy="15875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8</xdr:col>
      <xdr:colOff>44450</xdr:colOff>
      <xdr:row>90</xdr:row>
      <xdr:rowOff>139700</xdr:rowOff>
    </xdr:from>
    <xdr:to>
      <xdr:col>8</xdr:col>
      <xdr:colOff>44450</xdr:colOff>
      <xdr:row>92</xdr:row>
      <xdr:rowOff>44450</xdr:rowOff>
    </xdr:to>
    <xdr:sp macro="" textlink="">
      <xdr:nvSpPr>
        <xdr:cNvPr id="5501631" name="Line 296">
          <a:extLst>
            <a:ext uri="{FF2B5EF4-FFF2-40B4-BE49-F238E27FC236}">
              <a16:creationId xmlns:a16="http://schemas.microsoft.com/office/drawing/2014/main" id="{00000000-0008-0000-0700-0000BFF25300}"/>
            </a:ext>
          </a:extLst>
        </xdr:cNvPr>
        <xdr:cNvSpPr>
          <a:spLocks noChangeShapeType="1"/>
        </xdr:cNvSpPr>
      </xdr:nvSpPr>
      <xdr:spPr bwMode="auto">
        <a:xfrm>
          <a:off x="6654800" y="15157450"/>
          <a:ext cx="0" cy="2222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0</xdr:colOff>
      <xdr:row>84</xdr:row>
      <xdr:rowOff>101600</xdr:rowOff>
    </xdr:from>
    <xdr:to>
      <xdr:col>6</xdr:col>
      <xdr:colOff>838200</xdr:colOff>
      <xdr:row>84</xdr:row>
      <xdr:rowOff>101600</xdr:rowOff>
    </xdr:to>
    <xdr:sp macro="" textlink="">
      <xdr:nvSpPr>
        <xdr:cNvPr id="5501632" name="Line 297">
          <a:extLst>
            <a:ext uri="{FF2B5EF4-FFF2-40B4-BE49-F238E27FC236}">
              <a16:creationId xmlns:a16="http://schemas.microsoft.com/office/drawing/2014/main" id="{00000000-0008-0000-0700-0000C0F25300}"/>
            </a:ext>
          </a:extLst>
        </xdr:cNvPr>
        <xdr:cNvSpPr>
          <a:spLocks noChangeShapeType="1"/>
        </xdr:cNvSpPr>
      </xdr:nvSpPr>
      <xdr:spPr bwMode="auto">
        <a:xfrm>
          <a:off x="4279900" y="1412875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89</xdr:row>
      <xdr:rowOff>69850</xdr:rowOff>
    </xdr:from>
    <xdr:to>
      <xdr:col>6</xdr:col>
      <xdr:colOff>685800</xdr:colOff>
      <xdr:row>89</xdr:row>
      <xdr:rowOff>69850</xdr:rowOff>
    </xdr:to>
    <xdr:sp macro="" textlink="">
      <xdr:nvSpPr>
        <xdr:cNvPr id="5501633" name="Line 298">
          <a:extLst>
            <a:ext uri="{FF2B5EF4-FFF2-40B4-BE49-F238E27FC236}">
              <a16:creationId xmlns:a16="http://schemas.microsoft.com/office/drawing/2014/main" id="{00000000-0008-0000-0700-0000C1F25300}"/>
            </a:ext>
          </a:extLst>
        </xdr:cNvPr>
        <xdr:cNvSpPr>
          <a:spLocks noChangeShapeType="1"/>
        </xdr:cNvSpPr>
      </xdr:nvSpPr>
      <xdr:spPr bwMode="auto">
        <a:xfrm>
          <a:off x="4279900" y="14916150"/>
          <a:ext cx="6858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93</xdr:row>
      <xdr:rowOff>25400</xdr:rowOff>
    </xdr:from>
    <xdr:to>
      <xdr:col>6</xdr:col>
      <xdr:colOff>971550</xdr:colOff>
      <xdr:row>93</xdr:row>
      <xdr:rowOff>25400</xdr:rowOff>
    </xdr:to>
    <xdr:sp macro="" textlink="">
      <xdr:nvSpPr>
        <xdr:cNvPr id="5501634" name="Line 299">
          <a:extLst>
            <a:ext uri="{FF2B5EF4-FFF2-40B4-BE49-F238E27FC236}">
              <a16:creationId xmlns:a16="http://schemas.microsoft.com/office/drawing/2014/main" id="{00000000-0008-0000-0700-0000C2F25300}"/>
            </a:ext>
          </a:extLst>
        </xdr:cNvPr>
        <xdr:cNvSpPr>
          <a:spLocks noChangeShapeType="1"/>
        </xdr:cNvSpPr>
      </xdr:nvSpPr>
      <xdr:spPr bwMode="auto">
        <a:xfrm>
          <a:off x="4279900" y="15519400"/>
          <a:ext cx="97155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96</xdr:row>
      <xdr:rowOff>76200</xdr:rowOff>
    </xdr:from>
    <xdr:to>
      <xdr:col>6</xdr:col>
      <xdr:colOff>476250</xdr:colOff>
      <xdr:row>96</xdr:row>
      <xdr:rowOff>76200</xdr:rowOff>
    </xdr:to>
    <xdr:sp macro="" textlink="">
      <xdr:nvSpPr>
        <xdr:cNvPr id="5501635" name="Line 300">
          <a:extLst>
            <a:ext uri="{FF2B5EF4-FFF2-40B4-BE49-F238E27FC236}">
              <a16:creationId xmlns:a16="http://schemas.microsoft.com/office/drawing/2014/main" id="{00000000-0008-0000-0700-0000C3F25300}"/>
            </a:ext>
          </a:extLst>
        </xdr:cNvPr>
        <xdr:cNvSpPr>
          <a:spLocks noChangeShapeType="1"/>
        </xdr:cNvSpPr>
      </xdr:nvSpPr>
      <xdr:spPr bwMode="auto">
        <a:xfrm>
          <a:off x="4279900" y="16052800"/>
          <a:ext cx="476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152400</xdr:colOff>
      <xdr:row>103</xdr:row>
      <xdr:rowOff>0</xdr:rowOff>
    </xdr:from>
    <xdr:to>
      <xdr:col>7</xdr:col>
      <xdr:colOff>152400</xdr:colOff>
      <xdr:row>104</xdr:row>
      <xdr:rowOff>12700</xdr:rowOff>
    </xdr:to>
    <xdr:sp macro="" textlink="">
      <xdr:nvSpPr>
        <xdr:cNvPr id="5501636" name="Line 301">
          <a:extLst>
            <a:ext uri="{FF2B5EF4-FFF2-40B4-BE49-F238E27FC236}">
              <a16:creationId xmlns:a16="http://schemas.microsoft.com/office/drawing/2014/main" id="{00000000-0008-0000-0700-0000C4F25300}"/>
            </a:ext>
          </a:extLst>
        </xdr:cNvPr>
        <xdr:cNvSpPr>
          <a:spLocks noChangeShapeType="1"/>
        </xdr:cNvSpPr>
      </xdr:nvSpPr>
      <xdr:spPr bwMode="auto">
        <a:xfrm>
          <a:off x="6292850" y="17138650"/>
          <a:ext cx="0" cy="184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81</xdr:row>
      <xdr:rowOff>76200</xdr:rowOff>
    </xdr:from>
    <xdr:to>
      <xdr:col>6</xdr:col>
      <xdr:colOff>152400</xdr:colOff>
      <xdr:row>81</xdr:row>
      <xdr:rowOff>76200</xdr:rowOff>
    </xdr:to>
    <xdr:sp macro="" textlink="">
      <xdr:nvSpPr>
        <xdr:cNvPr id="5501637" name="Line 302">
          <a:extLst>
            <a:ext uri="{FF2B5EF4-FFF2-40B4-BE49-F238E27FC236}">
              <a16:creationId xmlns:a16="http://schemas.microsoft.com/office/drawing/2014/main" id="{00000000-0008-0000-0700-0000C5F25300}"/>
            </a:ext>
          </a:extLst>
        </xdr:cNvPr>
        <xdr:cNvSpPr>
          <a:spLocks noChangeShapeType="1"/>
        </xdr:cNvSpPr>
      </xdr:nvSpPr>
      <xdr:spPr bwMode="auto">
        <a:xfrm>
          <a:off x="4279900" y="136017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1778000</xdr:colOff>
      <xdr:row>83</xdr:row>
      <xdr:rowOff>82550</xdr:rowOff>
    </xdr:from>
    <xdr:to>
      <xdr:col>9</xdr:col>
      <xdr:colOff>0</xdr:colOff>
      <xdr:row>83</xdr:row>
      <xdr:rowOff>82550</xdr:rowOff>
    </xdr:to>
    <xdr:sp macro="" textlink="">
      <xdr:nvSpPr>
        <xdr:cNvPr id="5501638" name="Line 303">
          <a:extLst>
            <a:ext uri="{FF2B5EF4-FFF2-40B4-BE49-F238E27FC236}">
              <a16:creationId xmlns:a16="http://schemas.microsoft.com/office/drawing/2014/main" id="{00000000-0008-0000-0700-0000C6F25300}"/>
            </a:ext>
          </a:extLst>
        </xdr:cNvPr>
        <xdr:cNvSpPr>
          <a:spLocks noChangeShapeType="1"/>
        </xdr:cNvSpPr>
      </xdr:nvSpPr>
      <xdr:spPr bwMode="auto">
        <a:xfrm flipV="1">
          <a:off x="6057900" y="13944600"/>
          <a:ext cx="10223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190500</xdr:colOff>
      <xdr:row>85</xdr:row>
      <xdr:rowOff>76200</xdr:rowOff>
    </xdr:from>
    <xdr:to>
      <xdr:col>9</xdr:col>
      <xdr:colOff>0</xdr:colOff>
      <xdr:row>85</xdr:row>
      <xdr:rowOff>76200</xdr:rowOff>
    </xdr:to>
    <xdr:sp macro="" textlink="">
      <xdr:nvSpPr>
        <xdr:cNvPr id="5501639" name="Line 304">
          <a:extLst>
            <a:ext uri="{FF2B5EF4-FFF2-40B4-BE49-F238E27FC236}">
              <a16:creationId xmlns:a16="http://schemas.microsoft.com/office/drawing/2014/main" id="{00000000-0008-0000-0700-0000C7F25300}"/>
            </a:ext>
          </a:extLst>
        </xdr:cNvPr>
        <xdr:cNvSpPr>
          <a:spLocks noChangeShapeType="1"/>
        </xdr:cNvSpPr>
      </xdr:nvSpPr>
      <xdr:spPr bwMode="auto">
        <a:xfrm flipV="1">
          <a:off x="6330950" y="142748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44450</xdr:colOff>
      <xdr:row>87</xdr:row>
      <xdr:rowOff>133350</xdr:rowOff>
    </xdr:from>
    <xdr:to>
      <xdr:col>9</xdr:col>
      <xdr:colOff>0</xdr:colOff>
      <xdr:row>87</xdr:row>
      <xdr:rowOff>133350</xdr:rowOff>
    </xdr:to>
    <xdr:sp macro="" textlink="">
      <xdr:nvSpPr>
        <xdr:cNvPr id="5501640" name="Line 305">
          <a:extLst>
            <a:ext uri="{FF2B5EF4-FFF2-40B4-BE49-F238E27FC236}">
              <a16:creationId xmlns:a16="http://schemas.microsoft.com/office/drawing/2014/main" id="{00000000-0008-0000-0700-0000C8F25300}"/>
            </a:ext>
          </a:extLst>
        </xdr:cNvPr>
        <xdr:cNvSpPr>
          <a:spLocks noChangeShapeType="1"/>
        </xdr:cNvSpPr>
      </xdr:nvSpPr>
      <xdr:spPr bwMode="auto">
        <a:xfrm flipV="1">
          <a:off x="6654800" y="14655800"/>
          <a:ext cx="4254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488950</xdr:colOff>
      <xdr:row>89</xdr:row>
      <xdr:rowOff>88900</xdr:rowOff>
    </xdr:from>
    <xdr:to>
      <xdr:col>9</xdr:col>
      <xdr:colOff>0</xdr:colOff>
      <xdr:row>89</xdr:row>
      <xdr:rowOff>88900</xdr:rowOff>
    </xdr:to>
    <xdr:sp macro="" textlink="">
      <xdr:nvSpPr>
        <xdr:cNvPr id="5501641" name="Line 307">
          <a:extLst>
            <a:ext uri="{FF2B5EF4-FFF2-40B4-BE49-F238E27FC236}">
              <a16:creationId xmlns:a16="http://schemas.microsoft.com/office/drawing/2014/main" id="{00000000-0008-0000-0700-0000C9F25300}"/>
            </a:ext>
          </a:extLst>
        </xdr:cNvPr>
        <xdr:cNvSpPr>
          <a:spLocks noChangeShapeType="1"/>
        </xdr:cNvSpPr>
      </xdr:nvSpPr>
      <xdr:spPr bwMode="auto">
        <a:xfrm flipV="1">
          <a:off x="7080250" y="1493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44450</xdr:colOff>
      <xdr:row>91</xdr:row>
      <xdr:rowOff>76200</xdr:rowOff>
    </xdr:from>
    <xdr:to>
      <xdr:col>9</xdr:col>
      <xdr:colOff>12700</xdr:colOff>
      <xdr:row>91</xdr:row>
      <xdr:rowOff>76200</xdr:rowOff>
    </xdr:to>
    <xdr:sp macro="" textlink="">
      <xdr:nvSpPr>
        <xdr:cNvPr id="5501642" name="Line 308">
          <a:extLst>
            <a:ext uri="{FF2B5EF4-FFF2-40B4-BE49-F238E27FC236}">
              <a16:creationId xmlns:a16="http://schemas.microsoft.com/office/drawing/2014/main" id="{00000000-0008-0000-0700-0000CAF25300}"/>
            </a:ext>
          </a:extLst>
        </xdr:cNvPr>
        <xdr:cNvSpPr>
          <a:spLocks noChangeShapeType="1"/>
        </xdr:cNvSpPr>
      </xdr:nvSpPr>
      <xdr:spPr bwMode="auto">
        <a:xfrm flipH="1" flipV="1">
          <a:off x="6654800" y="15252700"/>
          <a:ext cx="4381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</xdr:spPr>
    </xdr:sp>
    <xdr:clientData/>
  </xdr:twoCellAnchor>
  <xdr:twoCellAnchor>
    <xdr:from>
      <xdr:col>8</xdr:col>
      <xdr:colOff>488950</xdr:colOff>
      <xdr:row>96</xdr:row>
      <xdr:rowOff>76200</xdr:rowOff>
    </xdr:from>
    <xdr:to>
      <xdr:col>9</xdr:col>
      <xdr:colOff>0</xdr:colOff>
      <xdr:row>96</xdr:row>
      <xdr:rowOff>76200</xdr:rowOff>
    </xdr:to>
    <xdr:sp macro="" textlink="">
      <xdr:nvSpPr>
        <xdr:cNvPr id="5501643" name="Line 309">
          <a:extLst>
            <a:ext uri="{FF2B5EF4-FFF2-40B4-BE49-F238E27FC236}">
              <a16:creationId xmlns:a16="http://schemas.microsoft.com/office/drawing/2014/main" id="{00000000-0008-0000-0700-0000CBF25300}"/>
            </a:ext>
          </a:extLst>
        </xdr:cNvPr>
        <xdr:cNvSpPr>
          <a:spLocks noChangeShapeType="1"/>
        </xdr:cNvSpPr>
      </xdr:nvSpPr>
      <xdr:spPr bwMode="auto">
        <a:xfrm>
          <a:off x="7080250" y="1605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488950</xdr:colOff>
      <xdr:row>100</xdr:row>
      <xdr:rowOff>88900</xdr:rowOff>
    </xdr:from>
    <xdr:to>
      <xdr:col>9</xdr:col>
      <xdr:colOff>0</xdr:colOff>
      <xdr:row>100</xdr:row>
      <xdr:rowOff>88900</xdr:rowOff>
    </xdr:to>
    <xdr:sp macro="" textlink="">
      <xdr:nvSpPr>
        <xdr:cNvPr id="5501644" name="Line 310">
          <a:extLst>
            <a:ext uri="{FF2B5EF4-FFF2-40B4-BE49-F238E27FC236}">
              <a16:creationId xmlns:a16="http://schemas.microsoft.com/office/drawing/2014/main" id="{00000000-0008-0000-0700-0000CCF25300}"/>
            </a:ext>
          </a:extLst>
        </xdr:cNvPr>
        <xdr:cNvSpPr>
          <a:spLocks noChangeShapeType="1"/>
        </xdr:cNvSpPr>
      </xdr:nvSpPr>
      <xdr:spPr bwMode="auto">
        <a:xfrm>
          <a:off x="7080250" y="16725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222250</xdr:colOff>
      <xdr:row>89</xdr:row>
      <xdr:rowOff>88900</xdr:rowOff>
    </xdr:from>
    <xdr:to>
      <xdr:col>8</xdr:col>
      <xdr:colOff>463550</xdr:colOff>
      <xdr:row>89</xdr:row>
      <xdr:rowOff>88900</xdr:rowOff>
    </xdr:to>
    <xdr:sp macro="" textlink="">
      <xdr:nvSpPr>
        <xdr:cNvPr id="5501645" name="Line 278">
          <a:extLst>
            <a:ext uri="{FF2B5EF4-FFF2-40B4-BE49-F238E27FC236}">
              <a16:creationId xmlns:a16="http://schemas.microsoft.com/office/drawing/2014/main" id="{00000000-0008-0000-0700-0000CDF25300}"/>
            </a:ext>
          </a:extLst>
        </xdr:cNvPr>
        <xdr:cNvSpPr>
          <a:spLocks noChangeShapeType="1"/>
        </xdr:cNvSpPr>
      </xdr:nvSpPr>
      <xdr:spPr bwMode="auto">
        <a:xfrm>
          <a:off x="6832600" y="14935200"/>
          <a:ext cx="241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69850</xdr:colOff>
      <xdr:row>1</xdr:row>
      <xdr:rowOff>12700</xdr:rowOff>
    </xdr:from>
    <xdr:to>
      <xdr:col>19</xdr:col>
      <xdr:colOff>0</xdr:colOff>
      <xdr:row>31</xdr:row>
      <xdr:rowOff>101600</xdr:rowOff>
    </xdr:to>
    <xdr:grpSp>
      <xdr:nvGrpSpPr>
        <xdr:cNvPr id="5501646" name="Group 232">
          <a:extLst>
            <a:ext uri="{FF2B5EF4-FFF2-40B4-BE49-F238E27FC236}">
              <a16:creationId xmlns:a16="http://schemas.microsoft.com/office/drawing/2014/main" id="{00000000-0008-0000-0700-0000CEF25300}"/>
            </a:ext>
          </a:extLst>
        </xdr:cNvPr>
        <xdr:cNvGrpSpPr>
          <a:grpSpLocks/>
        </xdr:cNvGrpSpPr>
      </xdr:nvGrpSpPr>
      <xdr:grpSpPr bwMode="auto">
        <a:xfrm>
          <a:off x="13538200" y="184150"/>
          <a:ext cx="2216150" cy="5181600"/>
          <a:chOff x="3421" y="5379"/>
          <a:chExt cx="2289" cy="5759"/>
        </a:xfrm>
      </xdr:grpSpPr>
      <xdr:grpSp>
        <xdr:nvGrpSpPr>
          <xdr:cNvPr id="5501685" name="Group 233">
            <a:extLst>
              <a:ext uri="{FF2B5EF4-FFF2-40B4-BE49-F238E27FC236}">
                <a16:creationId xmlns:a16="http://schemas.microsoft.com/office/drawing/2014/main" id="{00000000-0008-0000-0700-0000F5F253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501703" name="Arc 234">
              <a:extLst>
                <a:ext uri="{FF2B5EF4-FFF2-40B4-BE49-F238E27FC236}">
                  <a16:creationId xmlns:a16="http://schemas.microsoft.com/office/drawing/2014/main" id="{00000000-0008-0000-0700-000007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04" name="Group 235">
              <a:extLst>
                <a:ext uri="{FF2B5EF4-FFF2-40B4-BE49-F238E27FC236}">
                  <a16:creationId xmlns:a16="http://schemas.microsoft.com/office/drawing/2014/main" id="{00000000-0008-0000-0700-000008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05" name="Line 236">
                <a:extLst>
                  <a:ext uri="{FF2B5EF4-FFF2-40B4-BE49-F238E27FC236}">
                    <a16:creationId xmlns:a16="http://schemas.microsoft.com/office/drawing/2014/main" id="{00000000-0008-0000-0700-000009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6" name="Line 237">
                <a:extLst>
                  <a:ext uri="{FF2B5EF4-FFF2-40B4-BE49-F238E27FC236}">
                    <a16:creationId xmlns:a16="http://schemas.microsoft.com/office/drawing/2014/main" id="{00000000-0008-0000-0700-00000A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7" name="Line 238">
                <a:extLst>
                  <a:ext uri="{FF2B5EF4-FFF2-40B4-BE49-F238E27FC236}">
                    <a16:creationId xmlns:a16="http://schemas.microsoft.com/office/drawing/2014/main" id="{00000000-0008-0000-0700-00000B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8" name="Line 239">
                <a:extLst>
                  <a:ext uri="{FF2B5EF4-FFF2-40B4-BE49-F238E27FC236}">
                    <a16:creationId xmlns:a16="http://schemas.microsoft.com/office/drawing/2014/main" id="{00000000-0008-0000-0700-00000C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9" name="Line 240">
                <a:extLst>
                  <a:ext uri="{FF2B5EF4-FFF2-40B4-BE49-F238E27FC236}">
                    <a16:creationId xmlns:a16="http://schemas.microsoft.com/office/drawing/2014/main" id="{00000000-0008-0000-0700-00000D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grpSp>
        <xdr:nvGrpSpPr>
          <xdr:cNvPr id="5501686" name="Group 241">
            <a:extLst>
              <a:ext uri="{FF2B5EF4-FFF2-40B4-BE49-F238E27FC236}">
                <a16:creationId xmlns:a16="http://schemas.microsoft.com/office/drawing/2014/main" id="{00000000-0008-0000-0700-0000F6F253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501696" name="Arc 242">
              <a:extLst>
                <a:ext uri="{FF2B5EF4-FFF2-40B4-BE49-F238E27FC236}">
                  <a16:creationId xmlns:a16="http://schemas.microsoft.com/office/drawing/2014/main" id="{00000000-0008-0000-0700-000000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697" name="Group 243">
              <a:extLst>
                <a:ext uri="{FF2B5EF4-FFF2-40B4-BE49-F238E27FC236}">
                  <a16:creationId xmlns:a16="http://schemas.microsoft.com/office/drawing/2014/main" id="{00000000-0008-0000-0700-000001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698" name="Line 244">
                <a:extLst>
                  <a:ext uri="{FF2B5EF4-FFF2-40B4-BE49-F238E27FC236}">
                    <a16:creationId xmlns:a16="http://schemas.microsoft.com/office/drawing/2014/main" id="{00000000-0008-0000-0700-000002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699" name="Line 245">
                <a:extLst>
                  <a:ext uri="{FF2B5EF4-FFF2-40B4-BE49-F238E27FC236}">
                    <a16:creationId xmlns:a16="http://schemas.microsoft.com/office/drawing/2014/main" id="{00000000-0008-0000-0700-000003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0" name="Line 246">
                <a:extLst>
                  <a:ext uri="{FF2B5EF4-FFF2-40B4-BE49-F238E27FC236}">
                    <a16:creationId xmlns:a16="http://schemas.microsoft.com/office/drawing/2014/main" id="{00000000-0008-0000-0700-000004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1" name="Line 247">
                <a:extLst>
                  <a:ext uri="{FF2B5EF4-FFF2-40B4-BE49-F238E27FC236}">
                    <a16:creationId xmlns:a16="http://schemas.microsoft.com/office/drawing/2014/main" id="{00000000-0008-0000-0700-000005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2" name="Line 248">
                <a:extLst>
                  <a:ext uri="{FF2B5EF4-FFF2-40B4-BE49-F238E27FC236}">
                    <a16:creationId xmlns:a16="http://schemas.microsoft.com/office/drawing/2014/main" id="{00000000-0008-0000-0700-000006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5501687" name="Line 249">
            <a:extLst>
              <a:ext uri="{FF2B5EF4-FFF2-40B4-BE49-F238E27FC236}">
                <a16:creationId xmlns:a16="http://schemas.microsoft.com/office/drawing/2014/main" id="{00000000-0008-0000-0700-0000F7F253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88" name="Line 250">
            <a:extLst>
              <a:ext uri="{FF2B5EF4-FFF2-40B4-BE49-F238E27FC236}">
                <a16:creationId xmlns:a16="http://schemas.microsoft.com/office/drawing/2014/main" id="{00000000-0008-0000-0700-0000F8F253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89" name="Line 251">
            <a:extLst>
              <a:ext uri="{FF2B5EF4-FFF2-40B4-BE49-F238E27FC236}">
                <a16:creationId xmlns:a16="http://schemas.microsoft.com/office/drawing/2014/main" id="{00000000-0008-0000-0700-0000F9F253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0" name="Line 252">
            <a:extLst>
              <a:ext uri="{FF2B5EF4-FFF2-40B4-BE49-F238E27FC236}">
                <a16:creationId xmlns:a16="http://schemas.microsoft.com/office/drawing/2014/main" id="{00000000-0008-0000-0700-0000FAF2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1" name="Line 253">
            <a:extLst>
              <a:ext uri="{FF2B5EF4-FFF2-40B4-BE49-F238E27FC236}">
                <a16:creationId xmlns:a16="http://schemas.microsoft.com/office/drawing/2014/main" id="{00000000-0008-0000-0700-0000FBF253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2" name="Line 254">
            <a:extLst>
              <a:ext uri="{FF2B5EF4-FFF2-40B4-BE49-F238E27FC236}">
                <a16:creationId xmlns:a16="http://schemas.microsoft.com/office/drawing/2014/main" id="{00000000-0008-0000-0700-0000FCF2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3" name="Line 255">
            <a:extLst>
              <a:ext uri="{FF2B5EF4-FFF2-40B4-BE49-F238E27FC236}">
                <a16:creationId xmlns:a16="http://schemas.microsoft.com/office/drawing/2014/main" id="{00000000-0008-0000-0700-0000FDF2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4" name="Line 256">
            <a:extLst>
              <a:ext uri="{FF2B5EF4-FFF2-40B4-BE49-F238E27FC236}">
                <a16:creationId xmlns:a16="http://schemas.microsoft.com/office/drawing/2014/main" id="{00000000-0008-0000-0700-0000FEF253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5" name="Line 257">
            <a:extLst>
              <a:ext uri="{FF2B5EF4-FFF2-40B4-BE49-F238E27FC236}">
                <a16:creationId xmlns:a16="http://schemas.microsoft.com/office/drawing/2014/main" id="{00000000-0008-0000-0700-0000FFF2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831850</xdr:colOff>
      <xdr:row>11</xdr:row>
      <xdr:rowOff>101600</xdr:rowOff>
    </xdr:from>
    <xdr:to>
      <xdr:col>18</xdr:col>
      <xdr:colOff>368300</xdr:colOff>
      <xdr:row>11</xdr:row>
      <xdr:rowOff>101600</xdr:rowOff>
    </xdr:to>
    <xdr:sp macro="" textlink="">
      <xdr:nvSpPr>
        <xdr:cNvPr id="5501647" name="Line 268">
          <a:extLst>
            <a:ext uri="{FF2B5EF4-FFF2-40B4-BE49-F238E27FC236}">
              <a16:creationId xmlns:a16="http://schemas.microsoft.com/office/drawing/2014/main" id="{00000000-0008-0000-0700-0000CFF25300}"/>
            </a:ext>
          </a:extLst>
        </xdr:cNvPr>
        <xdr:cNvSpPr>
          <a:spLocks noChangeShapeType="1"/>
        </xdr:cNvSpPr>
      </xdr:nvSpPr>
      <xdr:spPr bwMode="auto">
        <a:xfrm flipV="1">
          <a:off x="14408150" y="2032000"/>
          <a:ext cx="673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88900</xdr:colOff>
      <xdr:row>1</xdr:row>
      <xdr:rowOff>12700</xdr:rowOff>
    </xdr:from>
    <xdr:to>
      <xdr:col>19</xdr:col>
      <xdr:colOff>336550</xdr:colOff>
      <xdr:row>1</xdr:row>
      <xdr:rowOff>12700</xdr:rowOff>
    </xdr:to>
    <xdr:sp macro="" textlink="">
      <xdr:nvSpPr>
        <xdr:cNvPr id="5501648" name="Line 269">
          <a:extLst>
            <a:ext uri="{FF2B5EF4-FFF2-40B4-BE49-F238E27FC236}">
              <a16:creationId xmlns:a16="http://schemas.microsoft.com/office/drawing/2014/main" id="{00000000-0008-0000-0700-0000D0F25300}"/>
            </a:ext>
          </a:extLst>
        </xdr:cNvPr>
        <xdr:cNvSpPr>
          <a:spLocks noChangeShapeType="1"/>
        </xdr:cNvSpPr>
      </xdr:nvSpPr>
      <xdr:spPr bwMode="auto">
        <a:xfrm flipV="1">
          <a:off x="13665200" y="184150"/>
          <a:ext cx="2520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1054100</xdr:colOff>
      <xdr:row>1</xdr:row>
      <xdr:rowOff>12700</xdr:rowOff>
    </xdr:from>
    <xdr:to>
      <xdr:col>18</xdr:col>
      <xdr:colOff>1054100</xdr:colOff>
      <xdr:row>28</xdr:row>
      <xdr:rowOff>139700</xdr:rowOff>
    </xdr:to>
    <xdr:sp macro="" textlink="">
      <xdr:nvSpPr>
        <xdr:cNvPr id="5501649" name="Line 270">
          <a:extLst>
            <a:ext uri="{FF2B5EF4-FFF2-40B4-BE49-F238E27FC236}">
              <a16:creationId xmlns:a16="http://schemas.microsoft.com/office/drawing/2014/main" id="{00000000-0008-0000-0700-0000D1F25300}"/>
            </a:ext>
          </a:extLst>
        </xdr:cNvPr>
        <xdr:cNvSpPr>
          <a:spLocks noChangeShapeType="1"/>
        </xdr:cNvSpPr>
      </xdr:nvSpPr>
      <xdr:spPr bwMode="auto">
        <a:xfrm>
          <a:off x="15767050" y="184150"/>
          <a:ext cx="0" cy="47053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120650</xdr:colOff>
      <xdr:row>10</xdr:row>
      <xdr:rowOff>152400</xdr:rowOff>
    </xdr:from>
    <xdr:to>
      <xdr:col>18</xdr:col>
      <xdr:colOff>412750</xdr:colOff>
      <xdr:row>10</xdr:row>
      <xdr:rowOff>152400</xdr:rowOff>
    </xdr:to>
    <xdr:sp macro="" textlink="">
      <xdr:nvSpPr>
        <xdr:cNvPr id="5501650" name="Line 271">
          <a:extLst>
            <a:ext uri="{FF2B5EF4-FFF2-40B4-BE49-F238E27FC236}">
              <a16:creationId xmlns:a16="http://schemas.microsoft.com/office/drawing/2014/main" id="{00000000-0008-0000-0700-0000D2F25300}"/>
            </a:ext>
          </a:extLst>
        </xdr:cNvPr>
        <xdr:cNvSpPr>
          <a:spLocks noChangeShapeType="1"/>
        </xdr:cNvSpPr>
      </xdr:nvSpPr>
      <xdr:spPr bwMode="auto">
        <a:xfrm>
          <a:off x="13696950" y="1911350"/>
          <a:ext cx="1428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152400</xdr:colOff>
      <xdr:row>0</xdr:row>
      <xdr:rowOff>158750</xdr:rowOff>
    </xdr:from>
    <xdr:to>
      <xdr:col>17</xdr:col>
      <xdr:colOff>152400</xdr:colOff>
      <xdr:row>10</xdr:row>
      <xdr:rowOff>139700</xdr:rowOff>
    </xdr:to>
    <xdr:sp macro="" textlink="">
      <xdr:nvSpPr>
        <xdr:cNvPr id="5501651" name="Line 272">
          <a:extLst>
            <a:ext uri="{FF2B5EF4-FFF2-40B4-BE49-F238E27FC236}">
              <a16:creationId xmlns:a16="http://schemas.microsoft.com/office/drawing/2014/main" id="{00000000-0008-0000-0700-0000D3F25300}"/>
            </a:ext>
          </a:extLst>
        </xdr:cNvPr>
        <xdr:cNvSpPr>
          <a:spLocks noChangeShapeType="1"/>
        </xdr:cNvSpPr>
      </xdr:nvSpPr>
      <xdr:spPr bwMode="auto">
        <a:xfrm flipH="1">
          <a:off x="13728700" y="158750"/>
          <a:ext cx="0" cy="17399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234950</xdr:colOff>
      <xdr:row>31</xdr:row>
      <xdr:rowOff>95250</xdr:rowOff>
    </xdr:from>
    <xdr:to>
      <xdr:col>17</xdr:col>
      <xdr:colOff>82550</xdr:colOff>
      <xdr:row>31</xdr:row>
      <xdr:rowOff>95250</xdr:rowOff>
    </xdr:to>
    <xdr:sp macro="" textlink="">
      <xdr:nvSpPr>
        <xdr:cNvPr id="5501652" name="Line 277">
          <a:extLst>
            <a:ext uri="{FF2B5EF4-FFF2-40B4-BE49-F238E27FC236}">
              <a16:creationId xmlns:a16="http://schemas.microsoft.com/office/drawing/2014/main" id="{00000000-0008-0000-0700-0000D4F25300}"/>
            </a:ext>
          </a:extLst>
        </xdr:cNvPr>
        <xdr:cNvSpPr>
          <a:spLocks noChangeShapeType="1"/>
        </xdr:cNvSpPr>
      </xdr:nvSpPr>
      <xdr:spPr bwMode="auto">
        <a:xfrm>
          <a:off x="12998450" y="5359400"/>
          <a:ext cx="660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196850</xdr:colOff>
      <xdr:row>29</xdr:row>
      <xdr:rowOff>88900</xdr:rowOff>
    </xdr:from>
    <xdr:to>
      <xdr:col>18</xdr:col>
      <xdr:colOff>1035050</xdr:colOff>
      <xdr:row>29</xdr:row>
      <xdr:rowOff>88900</xdr:rowOff>
    </xdr:to>
    <xdr:sp macro="" textlink="">
      <xdr:nvSpPr>
        <xdr:cNvPr id="5501653" name="Line 280">
          <a:extLst>
            <a:ext uri="{FF2B5EF4-FFF2-40B4-BE49-F238E27FC236}">
              <a16:creationId xmlns:a16="http://schemas.microsoft.com/office/drawing/2014/main" id="{00000000-0008-0000-0700-0000D5F25300}"/>
            </a:ext>
          </a:extLst>
        </xdr:cNvPr>
        <xdr:cNvSpPr>
          <a:spLocks noChangeShapeType="1"/>
        </xdr:cNvSpPr>
      </xdr:nvSpPr>
      <xdr:spPr bwMode="auto">
        <a:xfrm>
          <a:off x="14909800" y="5010150"/>
          <a:ext cx="838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508000</xdr:colOff>
      <xdr:row>20</xdr:row>
      <xdr:rowOff>0</xdr:rowOff>
    </xdr:from>
    <xdr:to>
      <xdr:col>17</xdr:col>
      <xdr:colOff>508000</xdr:colOff>
      <xdr:row>28</xdr:row>
      <xdr:rowOff>127000</xdr:rowOff>
    </xdr:to>
    <xdr:sp macro="" textlink="">
      <xdr:nvSpPr>
        <xdr:cNvPr id="5501654" name="Line 281">
          <a:extLst>
            <a:ext uri="{FF2B5EF4-FFF2-40B4-BE49-F238E27FC236}">
              <a16:creationId xmlns:a16="http://schemas.microsoft.com/office/drawing/2014/main" id="{00000000-0008-0000-0700-0000D6F25300}"/>
            </a:ext>
          </a:extLst>
        </xdr:cNvPr>
        <xdr:cNvSpPr>
          <a:spLocks noChangeShapeType="1"/>
        </xdr:cNvSpPr>
      </xdr:nvSpPr>
      <xdr:spPr bwMode="auto">
        <a:xfrm flipH="1">
          <a:off x="14084300" y="3422650"/>
          <a:ext cx="0" cy="14541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311150</xdr:colOff>
      <xdr:row>27</xdr:row>
      <xdr:rowOff>133350</xdr:rowOff>
    </xdr:from>
    <xdr:to>
      <xdr:col>16</xdr:col>
      <xdr:colOff>323850</xdr:colOff>
      <xdr:row>31</xdr:row>
      <xdr:rowOff>95250</xdr:rowOff>
    </xdr:to>
    <xdr:sp macro="" textlink="">
      <xdr:nvSpPr>
        <xdr:cNvPr id="5501655" name="Line 282">
          <a:extLst>
            <a:ext uri="{FF2B5EF4-FFF2-40B4-BE49-F238E27FC236}">
              <a16:creationId xmlns:a16="http://schemas.microsoft.com/office/drawing/2014/main" id="{00000000-0008-0000-0700-0000D7F25300}"/>
            </a:ext>
          </a:extLst>
        </xdr:cNvPr>
        <xdr:cNvSpPr>
          <a:spLocks noChangeShapeType="1"/>
        </xdr:cNvSpPr>
      </xdr:nvSpPr>
      <xdr:spPr bwMode="auto">
        <a:xfrm flipH="1">
          <a:off x="13074650" y="4711700"/>
          <a:ext cx="12700" cy="647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730250</xdr:colOff>
      <xdr:row>20</xdr:row>
      <xdr:rowOff>0</xdr:rowOff>
    </xdr:from>
    <xdr:to>
      <xdr:col>16</xdr:col>
      <xdr:colOff>730250</xdr:colOff>
      <xdr:row>27</xdr:row>
      <xdr:rowOff>133350</xdr:rowOff>
    </xdr:to>
    <xdr:sp macro="" textlink="">
      <xdr:nvSpPr>
        <xdr:cNvPr id="5501656" name="Line 283">
          <a:extLst>
            <a:ext uri="{FF2B5EF4-FFF2-40B4-BE49-F238E27FC236}">
              <a16:creationId xmlns:a16="http://schemas.microsoft.com/office/drawing/2014/main" id="{00000000-0008-0000-0700-0000D8F25300}"/>
            </a:ext>
          </a:extLst>
        </xdr:cNvPr>
        <xdr:cNvSpPr>
          <a:spLocks noChangeShapeType="1"/>
        </xdr:cNvSpPr>
      </xdr:nvSpPr>
      <xdr:spPr bwMode="auto">
        <a:xfrm>
          <a:off x="13493750" y="3422650"/>
          <a:ext cx="0" cy="12890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69850</xdr:colOff>
      <xdr:row>31</xdr:row>
      <xdr:rowOff>95250</xdr:rowOff>
    </xdr:from>
    <xdr:to>
      <xdr:col>17</xdr:col>
      <xdr:colOff>69850</xdr:colOff>
      <xdr:row>32</xdr:row>
      <xdr:rowOff>0</xdr:rowOff>
    </xdr:to>
    <xdr:sp macro="" textlink="">
      <xdr:nvSpPr>
        <xdr:cNvPr id="5501657" name="Line 284">
          <a:extLst>
            <a:ext uri="{FF2B5EF4-FFF2-40B4-BE49-F238E27FC236}">
              <a16:creationId xmlns:a16="http://schemas.microsoft.com/office/drawing/2014/main" id="{00000000-0008-0000-0700-0000D9F25300}"/>
            </a:ext>
          </a:extLst>
        </xdr:cNvPr>
        <xdr:cNvSpPr>
          <a:spLocks noChangeShapeType="1"/>
        </xdr:cNvSpPr>
      </xdr:nvSpPr>
      <xdr:spPr bwMode="auto">
        <a:xfrm flipV="1">
          <a:off x="13646150" y="5359400"/>
          <a:ext cx="0" cy="762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946150</xdr:colOff>
      <xdr:row>29</xdr:row>
      <xdr:rowOff>88900</xdr:rowOff>
    </xdr:from>
    <xdr:to>
      <xdr:col>17</xdr:col>
      <xdr:colOff>946150</xdr:colOff>
      <xdr:row>31</xdr:row>
      <xdr:rowOff>158750</xdr:rowOff>
    </xdr:to>
    <xdr:sp macro="" textlink="">
      <xdr:nvSpPr>
        <xdr:cNvPr id="5501658" name="Line 285">
          <a:extLst>
            <a:ext uri="{FF2B5EF4-FFF2-40B4-BE49-F238E27FC236}">
              <a16:creationId xmlns:a16="http://schemas.microsoft.com/office/drawing/2014/main" id="{00000000-0008-0000-0700-0000DAF25300}"/>
            </a:ext>
          </a:extLst>
        </xdr:cNvPr>
        <xdr:cNvSpPr>
          <a:spLocks noChangeShapeType="1"/>
        </xdr:cNvSpPr>
      </xdr:nvSpPr>
      <xdr:spPr bwMode="auto">
        <a:xfrm flipH="1" flipV="1">
          <a:off x="14522450" y="5010150"/>
          <a:ext cx="0" cy="41275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88900</xdr:colOff>
      <xdr:row>31</xdr:row>
      <xdr:rowOff>127000</xdr:rowOff>
    </xdr:from>
    <xdr:to>
      <xdr:col>17</xdr:col>
      <xdr:colOff>958850</xdr:colOff>
      <xdr:row>31</xdr:row>
      <xdr:rowOff>127000</xdr:rowOff>
    </xdr:to>
    <xdr:sp macro="" textlink="">
      <xdr:nvSpPr>
        <xdr:cNvPr id="5501659" name="Line 286">
          <a:extLst>
            <a:ext uri="{FF2B5EF4-FFF2-40B4-BE49-F238E27FC236}">
              <a16:creationId xmlns:a16="http://schemas.microsoft.com/office/drawing/2014/main" id="{00000000-0008-0000-0700-0000DBF25300}"/>
            </a:ext>
          </a:extLst>
        </xdr:cNvPr>
        <xdr:cNvSpPr>
          <a:spLocks noChangeShapeType="1"/>
        </xdr:cNvSpPr>
      </xdr:nvSpPr>
      <xdr:spPr bwMode="auto">
        <a:xfrm flipV="1">
          <a:off x="13665200" y="5391150"/>
          <a:ext cx="869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666750</xdr:colOff>
      <xdr:row>16</xdr:row>
      <xdr:rowOff>57150</xdr:rowOff>
    </xdr:from>
    <xdr:to>
      <xdr:col>18</xdr:col>
      <xdr:colOff>514350</xdr:colOff>
      <xdr:row>16</xdr:row>
      <xdr:rowOff>57150</xdr:rowOff>
    </xdr:to>
    <xdr:sp macro="" textlink="">
      <xdr:nvSpPr>
        <xdr:cNvPr id="5501660" name="Line 287">
          <a:extLst>
            <a:ext uri="{FF2B5EF4-FFF2-40B4-BE49-F238E27FC236}">
              <a16:creationId xmlns:a16="http://schemas.microsoft.com/office/drawing/2014/main" id="{00000000-0008-0000-0700-0000DCF25300}"/>
            </a:ext>
          </a:extLst>
        </xdr:cNvPr>
        <xdr:cNvSpPr>
          <a:spLocks noChangeShapeType="1"/>
        </xdr:cNvSpPr>
      </xdr:nvSpPr>
      <xdr:spPr bwMode="auto">
        <a:xfrm flipV="1">
          <a:off x="14243050" y="2819400"/>
          <a:ext cx="98425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17</xdr:col>
      <xdr:colOff>831850</xdr:colOff>
      <xdr:row>14</xdr:row>
      <xdr:rowOff>127000</xdr:rowOff>
    </xdr:from>
    <xdr:to>
      <xdr:col>19</xdr:col>
      <xdr:colOff>19050</xdr:colOff>
      <xdr:row>14</xdr:row>
      <xdr:rowOff>127000</xdr:rowOff>
    </xdr:to>
    <xdr:sp macro="" textlink="">
      <xdr:nvSpPr>
        <xdr:cNvPr id="5501661" name="Line 289">
          <a:extLst>
            <a:ext uri="{FF2B5EF4-FFF2-40B4-BE49-F238E27FC236}">
              <a16:creationId xmlns:a16="http://schemas.microsoft.com/office/drawing/2014/main" id="{00000000-0008-0000-0700-0000DDF25300}"/>
            </a:ext>
          </a:extLst>
        </xdr:cNvPr>
        <xdr:cNvSpPr>
          <a:spLocks noChangeShapeType="1"/>
        </xdr:cNvSpPr>
      </xdr:nvSpPr>
      <xdr:spPr bwMode="auto">
        <a:xfrm>
          <a:off x="14408150" y="2559050"/>
          <a:ext cx="1460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679450</xdr:colOff>
      <xdr:row>15</xdr:row>
      <xdr:rowOff>127000</xdr:rowOff>
    </xdr:from>
    <xdr:to>
      <xdr:col>19</xdr:col>
      <xdr:colOff>44450</xdr:colOff>
      <xdr:row>15</xdr:row>
      <xdr:rowOff>127000</xdr:rowOff>
    </xdr:to>
    <xdr:sp macro="" textlink="">
      <xdr:nvSpPr>
        <xdr:cNvPr id="5501662" name="Line 290">
          <a:extLst>
            <a:ext uri="{FF2B5EF4-FFF2-40B4-BE49-F238E27FC236}">
              <a16:creationId xmlns:a16="http://schemas.microsoft.com/office/drawing/2014/main" id="{00000000-0008-0000-0700-0000DEF25300}"/>
            </a:ext>
          </a:extLst>
        </xdr:cNvPr>
        <xdr:cNvSpPr>
          <a:spLocks noChangeShapeType="1"/>
        </xdr:cNvSpPr>
      </xdr:nvSpPr>
      <xdr:spPr bwMode="auto">
        <a:xfrm>
          <a:off x="14255750" y="2724150"/>
          <a:ext cx="16383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666750</xdr:colOff>
      <xdr:row>18</xdr:row>
      <xdr:rowOff>69850</xdr:rowOff>
    </xdr:from>
    <xdr:to>
      <xdr:col>19</xdr:col>
      <xdr:colOff>44450</xdr:colOff>
      <xdr:row>18</xdr:row>
      <xdr:rowOff>69850</xdr:rowOff>
    </xdr:to>
    <xdr:sp macro="" textlink="">
      <xdr:nvSpPr>
        <xdr:cNvPr id="5501663" name="Line 291">
          <a:extLst>
            <a:ext uri="{FF2B5EF4-FFF2-40B4-BE49-F238E27FC236}">
              <a16:creationId xmlns:a16="http://schemas.microsoft.com/office/drawing/2014/main" id="{00000000-0008-0000-0700-0000DFF25300}"/>
            </a:ext>
          </a:extLst>
        </xdr:cNvPr>
        <xdr:cNvSpPr>
          <a:spLocks noChangeShapeType="1"/>
        </xdr:cNvSpPr>
      </xdr:nvSpPr>
      <xdr:spPr bwMode="auto">
        <a:xfrm>
          <a:off x="14243050" y="3162300"/>
          <a:ext cx="1651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946150</xdr:colOff>
      <xdr:row>19</xdr:row>
      <xdr:rowOff>139700</xdr:rowOff>
    </xdr:from>
    <xdr:to>
      <xdr:col>19</xdr:col>
      <xdr:colOff>12700</xdr:colOff>
      <xdr:row>19</xdr:row>
      <xdr:rowOff>139700</xdr:rowOff>
    </xdr:to>
    <xdr:sp macro="" textlink="">
      <xdr:nvSpPr>
        <xdr:cNvPr id="5501664" name="Line 292">
          <a:extLst>
            <a:ext uri="{FF2B5EF4-FFF2-40B4-BE49-F238E27FC236}">
              <a16:creationId xmlns:a16="http://schemas.microsoft.com/office/drawing/2014/main" id="{00000000-0008-0000-0700-0000E0F25300}"/>
            </a:ext>
          </a:extLst>
        </xdr:cNvPr>
        <xdr:cNvSpPr>
          <a:spLocks noChangeShapeType="1"/>
        </xdr:cNvSpPr>
      </xdr:nvSpPr>
      <xdr:spPr bwMode="auto">
        <a:xfrm>
          <a:off x="14522450" y="3397250"/>
          <a:ext cx="133985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1136650</xdr:colOff>
      <xdr:row>1</xdr:row>
      <xdr:rowOff>0</xdr:rowOff>
    </xdr:from>
    <xdr:to>
      <xdr:col>18</xdr:col>
      <xdr:colOff>0</xdr:colOff>
      <xdr:row>14</xdr:row>
      <xdr:rowOff>127000</xdr:rowOff>
    </xdr:to>
    <xdr:sp macro="" textlink="">
      <xdr:nvSpPr>
        <xdr:cNvPr id="5501665" name="Line 293">
          <a:extLst>
            <a:ext uri="{FF2B5EF4-FFF2-40B4-BE49-F238E27FC236}">
              <a16:creationId xmlns:a16="http://schemas.microsoft.com/office/drawing/2014/main" id="{00000000-0008-0000-0700-0000E1F25300}"/>
            </a:ext>
          </a:extLst>
        </xdr:cNvPr>
        <xdr:cNvSpPr>
          <a:spLocks noChangeShapeType="1"/>
        </xdr:cNvSpPr>
      </xdr:nvSpPr>
      <xdr:spPr bwMode="auto">
        <a:xfrm flipH="1">
          <a:off x="14712950" y="171450"/>
          <a:ext cx="0" cy="23876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18</xdr:col>
      <xdr:colOff>190500</xdr:colOff>
      <xdr:row>1</xdr:row>
      <xdr:rowOff>0</xdr:rowOff>
    </xdr:from>
    <xdr:to>
      <xdr:col>18</xdr:col>
      <xdr:colOff>190500</xdr:colOff>
      <xdr:row>18</xdr:row>
      <xdr:rowOff>69850</xdr:rowOff>
    </xdr:to>
    <xdr:sp macro="" textlink="">
      <xdr:nvSpPr>
        <xdr:cNvPr id="5501666" name="Line 294">
          <a:extLst>
            <a:ext uri="{FF2B5EF4-FFF2-40B4-BE49-F238E27FC236}">
              <a16:creationId xmlns:a16="http://schemas.microsoft.com/office/drawing/2014/main" id="{00000000-0008-0000-0700-0000E2F25300}"/>
            </a:ext>
          </a:extLst>
        </xdr:cNvPr>
        <xdr:cNvSpPr>
          <a:spLocks noChangeShapeType="1"/>
        </xdr:cNvSpPr>
      </xdr:nvSpPr>
      <xdr:spPr bwMode="auto">
        <a:xfrm>
          <a:off x="14903450" y="171450"/>
          <a:ext cx="0" cy="29908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19</xdr:col>
      <xdr:colOff>19050</xdr:colOff>
      <xdr:row>14</xdr:row>
      <xdr:rowOff>127000</xdr:rowOff>
    </xdr:from>
    <xdr:to>
      <xdr:col>19</xdr:col>
      <xdr:colOff>19050</xdr:colOff>
      <xdr:row>15</xdr:row>
      <xdr:rowOff>127000</xdr:rowOff>
    </xdr:to>
    <xdr:sp macro="" textlink="">
      <xdr:nvSpPr>
        <xdr:cNvPr id="5501667" name="Line 295">
          <a:extLst>
            <a:ext uri="{FF2B5EF4-FFF2-40B4-BE49-F238E27FC236}">
              <a16:creationId xmlns:a16="http://schemas.microsoft.com/office/drawing/2014/main" id="{00000000-0008-0000-0700-0000E3F25300}"/>
            </a:ext>
          </a:extLst>
        </xdr:cNvPr>
        <xdr:cNvSpPr>
          <a:spLocks noChangeShapeType="1"/>
        </xdr:cNvSpPr>
      </xdr:nvSpPr>
      <xdr:spPr bwMode="auto">
        <a:xfrm>
          <a:off x="15868650" y="255905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19</xdr:col>
      <xdr:colOff>12700</xdr:colOff>
      <xdr:row>18</xdr:row>
      <xdr:rowOff>69850</xdr:rowOff>
    </xdr:from>
    <xdr:to>
      <xdr:col>19</xdr:col>
      <xdr:colOff>12700</xdr:colOff>
      <xdr:row>19</xdr:row>
      <xdr:rowOff>139700</xdr:rowOff>
    </xdr:to>
    <xdr:sp macro="" textlink="">
      <xdr:nvSpPr>
        <xdr:cNvPr id="5501668" name="Line 296">
          <a:extLst>
            <a:ext uri="{FF2B5EF4-FFF2-40B4-BE49-F238E27FC236}">
              <a16:creationId xmlns:a16="http://schemas.microsoft.com/office/drawing/2014/main" id="{00000000-0008-0000-0700-0000E4F25300}"/>
            </a:ext>
          </a:extLst>
        </xdr:cNvPr>
        <xdr:cNvSpPr>
          <a:spLocks noChangeShapeType="1"/>
        </xdr:cNvSpPr>
      </xdr:nvSpPr>
      <xdr:spPr bwMode="auto">
        <a:xfrm>
          <a:off x="15862300" y="3162300"/>
          <a:ext cx="0" cy="2349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17</xdr:col>
      <xdr:colOff>0</xdr:colOff>
      <xdr:row>11</xdr:row>
      <xdr:rowOff>101600</xdr:rowOff>
    </xdr:from>
    <xdr:to>
      <xdr:col>17</xdr:col>
      <xdr:colOff>838200</xdr:colOff>
      <xdr:row>11</xdr:row>
      <xdr:rowOff>101600</xdr:rowOff>
    </xdr:to>
    <xdr:sp macro="" textlink="">
      <xdr:nvSpPr>
        <xdr:cNvPr id="5501669" name="Line 297">
          <a:extLst>
            <a:ext uri="{FF2B5EF4-FFF2-40B4-BE49-F238E27FC236}">
              <a16:creationId xmlns:a16="http://schemas.microsoft.com/office/drawing/2014/main" id="{00000000-0008-0000-0700-0000E5F25300}"/>
            </a:ext>
          </a:extLst>
        </xdr:cNvPr>
        <xdr:cNvSpPr>
          <a:spLocks noChangeShapeType="1"/>
        </xdr:cNvSpPr>
      </xdr:nvSpPr>
      <xdr:spPr bwMode="auto">
        <a:xfrm>
          <a:off x="13576300" y="20320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</xdr:row>
      <xdr:rowOff>69850</xdr:rowOff>
    </xdr:from>
    <xdr:to>
      <xdr:col>17</xdr:col>
      <xdr:colOff>679450</xdr:colOff>
      <xdr:row>16</xdr:row>
      <xdr:rowOff>69850</xdr:rowOff>
    </xdr:to>
    <xdr:sp macro="" textlink="">
      <xdr:nvSpPr>
        <xdr:cNvPr id="5501670" name="Line 298">
          <a:extLst>
            <a:ext uri="{FF2B5EF4-FFF2-40B4-BE49-F238E27FC236}">
              <a16:creationId xmlns:a16="http://schemas.microsoft.com/office/drawing/2014/main" id="{00000000-0008-0000-0700-0000E6F25300}"/>
            </a:ext>
          </a:extLst>
        </xdr:cNvPr>
        <xdr:cNvSpPr>
          <a:spLocks noChangeShapeType="1"/>
        </xdr:cNvSpPr>
      </xdr:nvSpPr>
      <xdr:spPr bwMode="auto">
        <a:xfrm>
          <a:off x="13576300" y="2832100"/>
          <a:ext cx="67945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514350</xdr:colOff>
      <xdr:row>31</xdr:row>
      <xdr:rowOff>127000</xdr:rowOff>
    </xdr:from>
    <xdr:to>
      <xdr:col>17</xdr:col>
      <xdr:colOff>514350</xdr:colOff>
      <xdr:row>33</xdr:row>
      <xdr:rowOff>95250</xdr:rowOff>
    </xdr:to>
    <xdr:sp macro="" textlink="">
      <xdr:nvSpPr>
        <xdr:cNvPr id="5501671" name="Line 301">
          <a:extLst>
            <a:ext uri="{FF2B5EF4-FFF2-40B4-BE49-F238E27FC236}">
              <a16:creationId xmlns:a16="http://schemas.microsoft.com/office/drawing/2014/main" id="{00000000-0008-0000-0700-0000E7F25300}"/>
            </a:ext>
          </a:extLst>
        </xdr:cNvPr>
        <xdr:cNvSpPr>
          <a:spLocks noChangeShapeType="1"/>
        </xdr:cNvSpPr>
      </xdr:nvSpPr>
      <xdr:spPr bwMode="auto">
        <a:xfrm flipH="1">
          <a:off x="14090650" y="5391150"/>
          <a:ext cx="0" cy="31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</xdr:row>
      <xdr:rowOff>76200</xdr:rowOff>
    </xdr:from>
    <xdr:to>
      <xdr:col>17</xdr:col>
      <xdr:colOff>152400</xdr:colOff>
      <xdr:row>2</xdr:row>
      <xdr:rowOff>76200</xdr:rowOff>
    </xdr:to>
    <xdr:sp macro="" textlink="">
      <xdr:nvSpPr>
        <xdr:cNvPr id="5501672" name="Line 302">
          <a:extLst>
            <a:ext uri="{FF2B5EF4-FFF2-40B4-BE49-F238E27FC236}">
              <a16:creationId xmlns:a16="http://schemas.microsoft.com/office/drawing/2014/main" id="{00000000-0008-0000-0700-0000E8F25300}"/>
            </a:ext>
          </a:extLst>
        </xdr:cNvPr>
        <xdr:cNvSpPr>
          <a:spLocks noChangeShapeType="1"/>
        </xdr:cNvSpPr>
      </xdr:nvSpPr>
      <xdr:spPr bwMode="auto">
        <a:xfrm>
          <a:off x="13576300" y="4191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1771650</xdr:colOff>
      <xdr:row>10</xdr:row>
      <xdr:rowOff>88900</xdr:rowOff>
    </xdr:from>
    <xdr:to>
      <xdr:col>20</xdr:col>
      <xdr:colOff>0</xdr:colOff>
      <xdr:row>10</xdr:row>
      <xdr:rowOff>88900</xdr:rowOff>
    </xdr:to>
    <xdr:sp macro="" textlink="">
      <xdr:nvSpPr>
        <xdr:cNvPr id="5501673" name="Line 303">
          <a:extLst>
            <a:ext uri="{FF2B5EF4-FFF2-40B4-BE49-F238E27FC236}">
              <a16:creationId xmlns:a16="http://schemas.microsoft.com/office/drawing/2014/main" id="{00000000-0008-0000-0700-0000E9F25300}"/>
            </a:ext>
          </a:extLst>
        </xdr:cNvPr>
        <xdr:cNvSpPr>
          <a:spLocks noChangeShapeType="1"/>
        </xdr:cNvSpPr>
      </xdr:nvSpPr>
      <xdr:spPr bwMode="auto">
        <a:xfrm flipV="1">
          <a:off x="14712950" y="1847850"/>
          <a:ext cx="19494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18</xdr:col>
      <xdr:colOff>190500</xdr:colOff>
      <xdr:row>12</xdr:row>
      <xdr:rowOff>76200</xdr:rowOff>
    </xdr:from>
    <xdr:to>
      <xdr:col>20</xdr:col>
      <xdr:colOff>0</xdr:colOff>
      <xdr:row>12</xdr:row>
      <xdr:rowOff>76200</xdr:rowOff>
    </xdr:to>
    <xdr:sp macro="" textlink="">
      <xdr:nvSpPr>
        <xdr:cNvPr id="5501674" name="Line 304">
          <a:extLst>
            <a:ext uri="{FF2B5EF4-FFF2-40B4-BE49-F238E27FC236}">
              <a16:creationId xmlns:a16="http://schemas.microsoft.com/office/drawing/2014/main" id="{00000000-0008-0000-0700-0000EAF25300}"/>
            </a:ext>
          </a:extLst>
        </xdr:cNvPr>
        <xdr:cNvSpPr>
          <a:spLocks noChangeShapeType="1"/>
        </xdr:cNvSpPr>
      </xdr:nvSpPr>
      <xdr:spPr bwMode="auto">
        <a:xfrm flipV="1">
          <a:off x="14903450" y="2178050"/>
          <a:ext cx="17589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19</xdr:col>
      <xdr:colOff>19050</xdr:colOff>
      <xdr:row>15</xdr:row>
      <xdr:rowOff>44450</xdr:rowOff>
    </xdr:from>
    <xdr:to>
      <xdr:col>19</xdr:col>
      <xdr:colOff>787400</xdr:colOff>
      <xdr:row>15</xdr:row>
      <xdr:rowOff>44450</xdr:rowOff>
    </xdr:to>
    <xdr:sp macro="" textlink="">
      <xdr:nvSpPr>
        <xdr:cNvPr id="5501675" name="Line 305">
          <a:extLst>
            <a:ext uri="{FF2B5EF4-FFF2-40B4-BE49-F238E27FC236}">
              <a16:creationId xmlns:a16="http://schemas.microsoft.com/office/drawing/2014/main" id="{00000000-0008-0000-0700-0000EBF25300}"/>
            </a:ext>
          </a:extLst>
        </xdr:cNvPr>
        <xdr:cNvSpPr>
          <a:spLocks noChangeShapeType="1"/>
        </xdr:cNvSpPr>
      </xdr:nvSpPr>
      <xdr:spPr bwMode="auto">
        <a:xfrm flipV="1">
          <a:off x="15868650" y="2641600"/>
          <a:ext cx="7683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19</xdr:col>
      <xdr:colOff>19050</xdr:colOff>
      <xdr:row>19</xdr:row>
      <xdr:rowOff>25400</xdr:rowOff>
    </xdr:from>
    <xdr:to>
      <xdr:col>19</xdr:col>
      <xdr:colOff>806450</xdr:colOff>
      <xdr:row>19</xdr:row>
      <xdr:rowOff>25400</xdr:rowOff>
    </xdr:to>
    <xdr:sp macro="" textlink="">
      <xdr:nvSpPr>
        <xdr:cNvPr id="5501676" name="Line 308">
          <a:extLst>
            <a:ext uri="{FF2B5EF4-FFF2-40B4-BE49-F238E27FC236}">
              <a16:creationId xmlns:a16="http://schemas.microsoft.com/office/drawing/2014/main" id="{00000000-0008-0000-0700-0000ECF25300}"/>
            </a:ext>
          </a:extLst>
        </xdr:cNvPr>
        <xdr:cNvSpPr>
          <a:spLocks noChangeShapeType="1"/>
        </xdr:cNvSpPr>
      </xdr:nvSpPr>
      <xdr:spPr bwMode="auto">
        <a:xfrm flipH="1" flipV="1">
          <a:off x="15868650" y="3282950"/>
          <a:ext cx="7874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</xdr:spPr>
    </xdr:sp>
    <xdr:clientData/>
  </xdr:twoCellAnchor>
  <xdr:twoCellAnchor>
    <xdr:from>
      <xdr:col>15</xdr:col>
      <xdr:colOff>812800</xdr:colOff>
      <xdr:row>28</xdr:row>
      <xdr:rowOff>88900</xdr:rowOff>
    </xdr:from>
    <xdr:to>
      <xdr:col>16</xdr:col>
      <xdr:colOff>323850</xdr:colOff>
      <xdr:row>28</xdr:row>
      <xdr:rowOff>88900</xdr:rowOff>
    </xdr:to>
    <xdr:sp macro="" textlink="">
      <xdr:nvSpPr>
        <xdr:cNvPr id="5501677" name="Line 310">
          <a:extLst>
            <a:ext uri="{FF2B5EF4-FFF2-40B4-BE49-F238E27FC236}">
              <a16:creationId xmlns:a16="http://schemas.microsoft.com/office/drawing/2014/main" id="{00000000-0008-0000-0700-0000EDF25300}"/>
            </a:ext>
          </a:extLst>
        </xdr:cNvPr>
        <xdr:cNvSpPr>
          <a:spLocks noChangeShapeType="1"/>
        </xdr:cNvSpPr>
      </xdr:nvSpPr>
      <xdr:spPr bwMode="auto">
        <a:xfrm>
          <a:off x="12763500" y="48387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234950</xdr:colOff>
      <xdr:row>27</xdr:row>
      <xdr:rowOff>127000</xdr:rowOff>
    </xdr:from>
    <xdr:to>
      <xdr:col>17</xdr:col>
      <xdr:colOff>69850</xdr:colOff>
      <xdr:row>27</xdr:row>
      <xdr:rowOff>127000</xdr:rowOff>
    </xdr:to>
    <xdr:sp macro="" textlink="">
      <xdr:nvSpPr>
        <xdr:cNvPr id="5501678" name="Line 277">
          <a:extLst>
            <a:ext uri="{FF2B5EF4-FFF2-40B4-BE49-F238E27FC236}">
              <a16:creationId xmlns:a16="http://schemas.microsoft.com/office/drawing/2014/main" id="{00000000-0008-0000-0700-0000EEF25300}"/>
            </a:ext>
          </a:extLst>
        </xdr:cNvPr>
        <xdr:cNvSpPr>
          <a:spLocks noChangeShapeType="1"/>
        </xdr:cNvSpPr>
      </xdr:nvSpPr>
      <xdr:spPr bwMode="auto">
        <a:xfrm>
          <a:off x="12998450" y="4705350"/>
          <a:ext cx="6477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412750</xdr:colOff>
      <xdr:row>28</xdr:row>
      <xdr:rowOff>127000</xdr:rowOff>
    </xdr:from>
    <xdr:to>
      <xdr:col>19</xdr:col>
      <xdr:colOff>82550</xdr:colOff>
      <xdr:row>28</xdr:row>
      <xdr:rowOff>127000</xdr:rowOff>
    </xdr:to>
    <xdr:sp macro="" textlink="">
      <xdr:nvSpPr>
        <xdr:cNvPr id="5501679" name="Line 280">
          <a:extLst>
            <a:ext uri="{FF2B5EF4-FFF2-40B4-BE49-F238E27FC236}">
              <a16:creationId xmlns:a16="http://schemas.microsoft.com/office/drawing/2014/main" id="{00000000-0008-0000-0700-0000EFF25300}"/>
            </a:ext>
          </a:extLst>
        </xdr:cNvPr>
        <xdr:cNvSpPr>
          <a:spLocks noChangeShapeType="1"/>
        </xdr:cNvSpPr>
      </xdr:nvSpPr>
      <xdr:spPr bwMode="auto">
        <a:xfrm flipV="1">
          <a:off x="13989050" y="4876800"/>
          <a:ext cx="1943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165100</xdr:colOff>
      <xdr:row>30</xdr:row>
      <xdr:rowOff>44450</xdr:rowOff>
    </xdr:from>
    <xdr:to>
      <xdr:col>18</xdr:col>
      <xdr:colOff>927100</xdr:colOff>
      <xdr:row>30</xdr:row>
      <xdr:rowOff>44450</xdr:rowOff>
    </xdr:to>
    <xdr:sp macro="" textlink="">
      <xdr:nvSpPr>
        <xdr:cNvPr id="5501680" name="Line 280">
          <a:extLst>
            <a:ext uri="{FF2B5EF4-FFF2-40B4-BE49-F238E27FC236}">
              <a16:creationId xmlns:a16="http://schemas.microsoft.com/office/drawing/2014/main" id="{00000000-0008-0000-0700-0000F0F25300}"/>
            </a:ext>
          </a:extLst>
        </xdr:cNvPr>
        <xdr:cNvSpPr>
          <a:spLocks noChangeShapeType="1"/>
        </xdr:cNvSpPr>
      </xdr:nvSpPr>
      <xdr:spPr bwMode="auto">
        <a:xfrm>
          <a:off x="14878050" y="5137150"/>
          <a:ext cx="76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1047750</xdr:colOff>
      <xdr:row>20</xdr:row>
      <xdr:rowOff>0</xdr:rowOff>
    </xdr:from>
    <xdr:to>
      <xdr:col>18</xdr:col>
      <xdr:colOff>158750</xdr:colOff>
      <xdr:row>30</xdr:row>
      <xdr:rowOff>44450</xdr:rowOff>
    </xdr:to>
    <xdr:sp macro="" textlink="">
      <xdr:nvSpPr>
        <xdr:cNvPr id="5501681" name="Rectangle 139">
          <a:extLst>
            <a:ext uri="{FF2B5EF4-FFF2-40B4-BE49-F238E27FC236}">
              <a16:creationId xmlns:a16="http://schemas.microsoft.com/office/drawing/2014/main" id="{00000000-0008-0000-0700-0000F1F25300}"/>
            </a:ext>
          </a:extLst>
        </xdr:cNvPr>
        <xdr:cNvSpPr>
          <a:spLocks noChangeArrowheads="1"/>
        </xdr:cNvSpPr>
      </xdr:nvSpPr>
      <xdr:spPr bwMode="auto">
        <a:xfrm>
          <a:off x="14624050" y="3422650"/>
          <a:ext cx="247650" cy="1714500"/>
        </a:xfrm>
        <a:prstGeom prst="rect">
          <a:avLst/>
        </a:prstGeom>
        <a:noFill/>
        <a:ln w="9525" algn="ctr">
          <a:solidFill>
            <a:srgbClr val="00B0F0"/>
          </a:solidFill>
          <a:prstDash val="sysDash"/>
          <a:round/>
          <a:headEnd/>
          <a:tailEnd/>
        </a:ln>
      </xdr:spPr>
    </xdr:sp>
    <xdr:clientData/>
  </xdr:twoCellAnchor>
  <xdr:twoCellAnchor>
    <xdr:from>
      <xdr:col>18</xdr:col>
      <xdr:colOff>927100</xdr:colOff>
      <xdr:row>1</xdr:row>
      <xdr:rowOff>12700</xdr:rowOff>
    </xdr:from>
    <xdr:to>
      <xdr:col>18</xdr:col>
      <xdr:colOff>927100</xdr:colOff>
      <xdr:row>29</xdr:row>
      <xdr:rowOff>69850</xdr:rowOff>
    </xdr:to>
    <xdr:sp macro="" textlink="">
      <xdr:nvSpPr>
        <xdr:cNvPr id="5501682" name="Line 270">
          <a:extLst>
            <a:ext uri="{FF2B5EF4-FFF2-40B4-BE49-F238E27FC236}">
              <a16:creationId xmlns:a16="http://schemas.microsoft.com/office/drawing/2014/main" id="{00000000-0008-0000-0700-0000F2F25300}"/>
            </a:ext>
          </a:extLst>
        </xdr:cNvPr>
        <xdr:cNvSpPr>
          <a:spLocks noChangeShapeType="1"/>
        </xdr:cNvSpPr>
      </xdr:nvSpPr>
      <xdr:spPr bwMode="auto">
        <a:xfrm flipH="1">
          <a:off x="15640050" y="184150"/>
          <a:ext cx="0" cy="48069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12700</xdr:colOff>
      <xdr:row>33</xdr:row>
      <xdr:rowOff>95250</xdr:rowOff>
    </xdr:from>
    <xdr:to>
      <xdr:col>17</xdr:col>
      <xdr:colOff>520700</xdr:colOff>
      <xdr:row>33</xdr:row>
      <xdr:rowOff>95250</xdr:rowOff>
    </xdr:to>
    <xdr:sp macro="" textlink="">
      <xdr:nvSpPr>
        <xdr:cNvPr id="5501683" name="Line 301">
          <a:extLst>
            <a:ext uri="{FF2B5EF4-FFF2-40B4-BE49-F238E27FC236}">
              <a16:creationId xmlns:a16="http://schemas.microsoft.com/office/drawing/2014/main" id="{00000000-0008-0000-0700-0000F3F25300}"/>
            </a:ext>
          </a:extLst>
        </xdr:cNvPr>
        <xdr:cNvSpPr>
          <a:spLocks noChangeShapeType="1"/>
        </xdr:cNvSpPr>
      </xdr:nvSpPr>
      <xdr:spPr bwMode="auto">
        <a:xfrm>
          <a:off x="13589000" y="5702300"/>
          <a:ext cx="5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787400</xdr:colOff>
      <xdr:row>1</xdr:row>
      <xdr:rowOff>19050</xdr:rowOff>
    </xdr:from>
    <xdr:to>
      <xdr:col>18</xdr:col>
      <xdr:colOff>787400</xdr:colOff>
      <xdr:row>30</xdr:row>
      <xdr:rowOff>38100</xdr:rowOff>
    </xdr:to>
    <xdr:sp macro="" textlink="">
      <xdr:nvSpPr>
        <xdr:cNvPr id="5501684" name="Line 270">
          <a:extLst>
            <a:ext uri="{FF2B5EF4-FFF2-40B4-BE49-F238E27FC236}">
              <a16:creationId xmlns:a16="http://schemas.microsoft.com/office/drawing/2014/main" id="{00000000-0008-0000-0700-0000F4F25300}"/>
            </a:ext>
          </a:extLst>
        </xdr:cNvPr>
        <xdr:cNvSpPr>
          <a:spLocks noChangeShapeType="1"/>
        </xdr:cNvSpPr>
      </xdr:nvSpPr>
      <xdr:spPr bwMode="auto">
        <a:xfrm>
          <a:off x="15500350" y="190500"/>
          <a:ext cx="0" cy="49403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planete-sciences.org/espace/basedoc/" TargetMode="External"/><Relationship Id="rId1" Type="http://schemas.openxmlformats.org/officeDocument/2006/relationships/hyperlink" Target="http://en.wikipedia.org/wiki/Template:Numerical_integrators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sa/3.0/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espace@planete-sciences.org" TargetMode="External"/><Relationship Id="rId1" Type="http://schemas.openxmlformats.org/officeDocument/2006/relationships/hyperlink" Target="http://www.planete-sciences.org/espace/basedoc/" TargetMode="External"/><Relationship Id="rId6" Type="http://schemas.openxmlformats.org/officeDocument/2006/relationships/vmlDrawing" Target="../drawings/vmlDrawing4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pageSetUpPr fitToPage="1"/>
  </sheetPr>
  <dimension ref="A1:W361"/>
  <sheetViews>
    <sheetView showGridLines="0" zoomScale="116" zoomScaleNormal="190" zoomScaleSheetLayoutView="100" workbookViewId="0">
      <selection activeCell="C12" sqref="C12"/>
    </sheetView>
  </sheetViews>
  <sheetFormatPr baseColWidth="10" defaultColWidth="11.453125" defaultRowHeight="13" x14ac:dyDescent="0.3"/>
  <cols>
    <col min="1" max="1" width="2.1796875" style="24" customWidth="1"/>
    <col min="2" max="2" width="16.36328125" style="24" customWidth="1"/>
    <col min="3" max="3" width="12.81640625" style="31" customWidth="1"/>
    <col min="4" max="4" width="12.81640625" style="24" customWidth="1"/>
    <col min="5" max="5" width="4.1796875" style="89" customWidth="1"/>
    <col min="6" max="6" width="10.1796875" style="26" bestFit="1" customWidth="1"/>
    <col min="7" max="7" width="10" style="26" bestFit="1" customWidth="1"/>
    <col min="8" max="9" width="8.453125" style="26" customWidth="1"/>
    <col min="10" max="10" width="5.453125" style="24" customWidth="1"/>
    <col min="11" max="11" width="2.1796875" style="24" customWidth="1"/>
    <col min="12" max="12" width="17" style="24" customWidth="1"/>
    <col min="13" max="13" width="8.453125" style="24" customWidth="1"/>
    <col min="14" max="15" width="4.36328125" style="24" customWidth="1"/>
    <col min="16" max="16" width="8.453125" style="24" customWidth="1"/>
    <col min="17" max="18" width="2.1796875" style="24" customWidth="1"/>
    <col min="19" max="16384" width="11.453125" style="24"/>
  </cols>
  <sheetData>
    <row r="1" spans="1:20" ht="12.75" customHeight="1" x14ac:dyDescent="0.3">
      <c r="A1" s="19"/>
      <c r="B1" s="20"/>
      <c r="C1" s="21"/>
      <c r="D1" s="20"/>
      <c r="E1" s="88"/>
      <c r="F1" s="22"/>
      <c r="G1" s="22"/>
      <c r="H1" s="22"/>
      <c r="I1" s="22"/>
      <c r="J1" s="20"/>
      <c r="K1" s="20"/>
      <c r="L1" s="20"/>
      <c r="M1" s="20"/>
      <c r="N1" s="20"/>
      <c r="O1" s="20"/>
      <c r="P1" s="20"/>
      <c r="Q1" s="23"/>
    </row>
    <row r="2" spans="1:20" ht="12.75" customHeight="1" x14ac:dyDescent="0.3">
      <c r="A2" s="25"/>
      <c r="C2" s="553" t="s">
        <v>54</v>
      </c>
      <c r="D2" s="553"/>
      <c r="L2" s="147" t="str">
        <f>"Language/Langue"</f>
        <v>Language/Langue</v>
      </c>
      <c r="M2" s="578" t="s">
        <v>1</v>
      </c>
      <c r="N2" s="578"/>
      <c r="O2" s="578"/>
      <c r="P2" s="579"/>
      <c r="Q2" s="27"/>
    </row>
    <row r="3" spans="1:20" ht="12.75" customHeight="1" x14ac:dyDescent="0.3">
      <c r="A3" s="25"/>
      <c r="C3" s="553"/>
      <c r="D3" s="553"/>
      <c r="L3" s="586"/>
      <c r="M3" s="586"/>
      <c r="N3" s="45"/>
      <c r="Q3" s="27"/>
    </row>
    <row r="4" spans="1:20" ht="12.75" customHeight="1" x14ac:dyDescent="0.3">
      <c r="A4" s="25"/>
      <c r="C4" s="554" t="str">
        <f>IF(Lang="Français","Stabilité de fusée à ailerons",IF(Lang="English","Stability for rocket with fins",""))</f>
        <v>Stabilité de fusée à ailerons</v>
      </c>
      <c r="D4" s="554"/>
      <c r="L4" s="33"/>
      <c r="M4" s="578" t="s">
        <v>557</v>
      </c>
      <c r="N4" s="578"/>
      <c r="O4" s="578"/>
      <c r="P4" s="579"/>
      <c r="Q4" s="27"/>
    </row>
    <row r="5" spans="1:20" ht="12.75" customHeight="1" x14ac:dyDescent="0.3">
      <c r="A5" s="25"/>
      <c r="B5" s="28"/>
      <c r="C5" s="535"/>
      <c r="D5" s="535"/>
      <c r="L5" s="33"/>
      <c r="M5" s="560" t="s">
        <v>157</v>
      </c>
      <c r="N5" s="561"/>
      <c r="O5" s="589" t="s">
        <v>158</v>
      </c>
      <c r="P5" s="589"/>
      <c r="Q5" s="29"/>
    </row>
    <row r="6" spans="1:20" ht="12.75" customHeight="1" thickBot="1" x14ac:dyDescent="0.35">
      <c r="A6" s="25"/>
      <c r="B6" s="87"/>
      <c r="C6" s="548" t="str">
        <f>IF(Lang="Français","Remplir les cases jaunes",IF(Lang="English","Fill-in yellow cells only",""))</f>
        <v>Remplir les cases jaunes</v>
      </c>
      <c r="D6" s="548"/>
      <c r="L6" s="139" t="str">
        <f>IF(Lang="Français","Longueur      'L'",IF(Lang="English","Length      'L'",""))</f>
        <v>Longueur      'L'</v>
      </c>
      <c r="M6" s="549">
        <v>50</v>
      </c>
      <c r="N6" s="550"/>
      <c r="O6" s="570">
        <v>50</v>
      </c>
      <c r="P6" s="570"/>
      <c r="Q6" s="29"/>
    </row>
    <row r="7" spans="1:20" ht="12.75" customHeight="1" thickTop="1" thickBot="1" x14ac:dyDescent="0.35">
      <c r="A7" s="25"/>
      <c r="B7" s="31"/>
      <c r="C7" s="556" t="str">
        <f>IF(Lang="Français","Fusée",IF(Lang="English","Rocket",""))</f>
        <v>Fusée</v>
      </c>
      <c r="D7" s="557"/>
      <c r="L7" s="139" t="str">
        <f>IF(Lang="Français","Diamètre     'D1'",IF(Lang="English","Diameter 'D1'",""))</f>
        <v>Diamètre     'D1'</v>
      </c>
      <c r="M7" s="549">
        <f>D_og</f>
        <v>64</v>
      </c>
      <c r="N7" s="550"/>
      <c r="O7" s="570">
        <f>D_og</f>
        <v>64</v>
      </c>
      <c r="P7" s="570"/>
      <c r="Q7" s="29"/>
    </row>
    <row r="8" spans="1:20" ht="12.75" customHeight="1" thickTop="1" x14ac:dyDescent="0.3">
      <c r="A8" s="25"/>
      <c r="B8" s="138" t="str">
        <f>IF(Lang="Français","Nom",IF(Lang="English","Name",""))</f>
        <v>Nom</v>
      </c>
      <c r="C8" s="551" t="s">
        <v>558</v>
      </c>
      <c r="D8" s="551"/>
      <c r="E8" s="90"/>
      <c r="K8" s="33"/>
      <c r="L8" s="139" t="str">
        <f>IF(Lang="Français","Diamètre     'D2'",IF(Lang="English","Diameter 'D2'",""))</f>
        <v>Diamètre     'D2'</v>
      </c>
      <c r="M8" s="549">
        <v>64</v>
      </c>
      <c r="N8" s="550"/>
      <c r="O8" s="570">
        <v>45</v>
      </c>
      <c r="P8" s="570"/>
      <c r="Q8" s="29"/>
    </row>
    <row r="9" spans="1:20" ht="12.75" customHeight="1" x14ac:dyDescent="0.3">
      <c r="A9" s="25"/>
      <c r="B9" s="138" t="s">
        <v>4</v>
      </c>
      <c r="C9" s="552" t="s">
        <v>559</v>
      </c>
      <c r="D9" s="552"/>
      <c r="E9" s="90"/>
      <c r="K9" s="33"/>
      <c r="L9" s="139" t="str">
        <f>IF(Lang="Français","Implantation 'x'",IF(Lang="English","Basement 'x'",""))</f>
        <v>Implantation 'x'</v>
      </c>
      <c r="M9" s="549">
        <v>500</v>
      </c>
      <c r="N9" s="550"/>
      <c r="O9" s="570">
        <f>XpropuRef-l_r</f>
        <v>1000</v>
      </c>
      <c r="P9" s="570"/>
      <c r="Q9" s="29"/>
    </row>
    <row r="10" spans="1:20" ht="12.75" customHeight="1" x14ac:dyDescent="0.3">
      <c r="A10" s="25"/>
      <c r="B10" s="139" t="s">
        <v>55</v>
      </c>
      <c r="C10" s="558" t="s">
        <v>553</v>
      </c>
      <c r="D10" s="559"/>
      <c r="E10" s="90"/>
      <c r="K10" s="33"/>
      <c r="Q10" s="29"/>
    </row>
    <row r="11" spans="1:20" ht="12.75" customHeight="1" x14ac:dyDescent="0.3">
      <c r="A11" s="25"/>
      <c r="B11" s="139" t="str">
        <f>IF(Lang="Français","Masse",IF(Lang="English","Weight",""))</f>
        <v>Masse</v>
      </c>
      <c r="C11" s="222">
        <v>2000</v>
      </c>
      <c r="D11" s="34" t="s">
        <v>423</v>
      </c>
      <c r="E11" s="90"/>
      <c r="K11" s="33"/>
      <c r="L11" s="107"/>
      <c r="M11" s="224" t="str">
        <f>IF(Lang="Français","Propu plein",IF(Lang="English","Loaded Motor",""))</f>
        <v>Propu plein</v>
      </c>
      <c r="N11" s="587" t="str">
        <f>IF(Lang="Français","Propu vide",IF(Lang="English","Empty Motor",""))</f>
        <v>Propu vide</v>
      </c>
      <c r="O11" s="588"/>
      <c r="P11" s="224" t="str">
        <f>IF(Lang="Français","Sans propu",IF(Lang="English","Without M",""))</f>
        <v>Sans propu</v>
      </c>
      <c r="Q11" s="29"/>
      <c r="S11" s="385"/>
      <c r="T11" s="386" t="str">
        <f>IF(Lang="Français","Propulseur",IF(Lang="English","Motor",""))</f>
        <v>Propulseur</v>
      </c>
    </row>
    <row r="12" spans="1:20" ht="12.75" customHeight="1" x14ac:dyDescent="0.3">
      <c r="A12" s="25"/>
      <c r="B12" s="139" t="str">
        <f>IF(Lang="Français","Centre de Masse",IF(Lang="English","Center of Mass",""))</f>
        <v>Centre de Masse</v>
      </c>
      <c r="C12" s="35">
        <v>610</v>
      </c>
      <c r="D12" s="34" t="s">
        <v>423</v>
      </c>
      <c r="L12" s="108" t="str">
        <f>IF(Lang="Français","Masse propu",IF(Lang="English","Motor Mass",""))</f>
        <v>Masse propu</v>
      </c>
      <c r="M12" s="109">
        <f ca="1">MpropuPlein</f>
        <v>0.15989999999999999</v>
      </c>
      <c r="N12" s="582">
        <f ca="1">MpropuVide</f>
        <v>8.43E-2</v>
      </c>
      <c r="O12" s="583"/>
      <c r="P12" s="110" t="s">
        <v>14</v>
      </c>
      <c r="Q12" s="29"/>
      <c r="S12" s="386" t="str">
        <f>IF(Lang="Français","Haut",IF(Lang="English","Top",""))</f>
        <v>Haut</v>
      </c>
      <c r="T12" s="387">
        <f ca="1">XpropuRef-Long_propu</f>
        <v>822</v>
      </c>
    </row>
    <row r="13" spans="1:20" ht="12.75" customHeight="1" x14ac:dyDescent="0.3">
      <c r="A13" s="25"/>
      <c r="B13" s="139" t="str">
        <f>IF(Lang="Français","Longueur totale",IF(Lang="English","Total length",""))</f>
        <v>Longueur totale</v>
      </c>
      <c r="C13" s="549">
        <v>1050</v>
      </c>
      <c r="D13" s="550"/>
      <c r="L13" s="108" t="str">
        <f>IF(Lang="Français","CdM propu",IF(Lang="English","Motor CoM",""))</f>
        <v>CdM propu</v>
      </c>
      <c r="M13" s="111">
        <f ca="1">XpropuPlein</f>
        <v>114</v>
      </c>
      <c r="N13" s="580">
        <f ca="1">XpropuVide</f>
        <v>114</v>
      </c>
      <c r="O13" s="581"/>
      <c r="P13" s="110" t="s">
        <v>14</v>
      </c>
      <c r="Q13" s="29"/>
      <c r="S13" s="386" t="str">
        <f>IF(Lang="Français","Longueur",IF(Lang="English","Length",""))</f>
        <v>Longueur</v>
      </c>
      <c r="T13" s="387">
        <f ca="1">Long_propu</f>
        <v>228</v>
      </c>
    </row>
    <row r="14" spans="1:20" ht="12.75" customHeight="1" x14ac:dyDescent="0.3">
      <c r="A14" s="25"/>
      <c r="B14" s="139" t="str">
        <f>IF(Lang="Français","Diamètre Réf.",IF(Lang="English","Ref. Diameter",""))</f>
        <v>Diamètre Réf.</v>
      </c>
      <c r="C14" s="549">
        <f>D_og</f>
        <v>64</v>
      </c>
      <c r="D14" s="550"/>
      <c r="L14" s="108" t="str">
        <f>IF(Lang="Français","Masse fusée",IF(Lang="English","Rocket Mass",""))</f>
        <v>Masse fusée</v>
      </c>
      <c r="M14" s="112">
        <f ca="1">MasseSans+MpropuPlein</f>
        <v>2.1598999999999999</v>
      </c>
      <c r="N14" s="562">
        <f ca="1">MasseSans+MpropuVide</f>
        <v>2.0842999999999998</v>
      </c>
      <c r="O14" s="563"/>
      <c r="P14" s="109">
        <f>IF(OR(D11="sans propu",D11="without motor"),C11/1000,IF(OR(D11="avec propu vide",D11="with empty motor"),C11/1000-MpropuVide,IF(OR(D11="avec propu plein",D11="with loaded motor"),C11/1000-MpropuPlein,"Erreur")))</f>
        <v>2</v>
      </c>
      <c r="Q14" s="29"/>
      <c r="S14" s="386" t="str">
        <f>IF(Lang="Français","Bas",IF(Lang="English","Base",""))</f>
        <v>Bas</v>
      </c>
      <c r="T14" s="387">
        <f>XpropuRef</f>
        <v>1050</v>
      </c>
    </row>
    <row r="15" spans="1:20" ht="12.75" customHeight="1" thickBot="1" x14ac:dyDescent="0.35">
      <c r="A15" s="25"/>
      <c r="D15" s="31"/>
      <c r="L15" s="175" t="str">
        <f>IF(Lang="Français","CdM fusée",IF(Lang="English","Rocket CoM",""))</f>
        <v>CdM fusée</v>
      </c>
      <c r="M15" s="176">
        <f ca="1">(XcgSans*MasseSans+(XpropuRef-Long_propu+XpropuPlein)*MpropuPlein)/MassePlein</f>
        <v>634.1341728783741</v>
      </c>
      <c r="N15" s="564">
        <f ca="1">(XcgSans*MasseSans+(XpropuRef-Long_propu+XpropuVide)*MpropuVide)/MasseVide</f>
        <v>623.18514609221324</v>
      </c>
      <c r="O15" s="565"/>
      <c r="P15" s="113">
        <f>IF(OR(D12="sans propu",D12="without motor"),C12,IF(OR(D12="avec propu vide",D12="with empty motor"),(C12*MasseVide-(XpropuRef-Long_propu+XpropuVide)*MpropuVide)/MasseSans,IF(OR(D12="avec propu plein",D12="with loaded motor"),(C12*MassePlein-(XpropuRef-Long_propu+XpropuPlein)*MpropuPlein)/MasseSans,"Erreur")))</f>
        <v>610</v>
      </c>
      <c r="Q15" s="29"/>
    </row>
    <row r="16" spans="1:20" ht="12.75" customHeight="1" thickTop="1" thickBot="1" x14ac:dyDescent="0.35">
      <c r="A16" s="25"/>
      <c r="C16" s="537" t="str">
        <f>IF(Lang="Français","Propulseur",IF(Lang="English","Motor",""))</f>
        <v>Propulseur</v>
      </c>
      <c r="D16" s="538"/>
      <c r="L16" s="94"/>
      <c r="M16" s="94"/>
      <c r="N16" s="94"/>
      <c r="O16" s="94"/>
      <c r="P16" s="94"/>
      <c r="Q16" s="29"/>
      <c r="S16" s="385"/>
      <c r="T16" s="386" t="str">
        <f>IF(RIGHT(Type_masquage,1)=",",IF(Lang="Français","Ailerons","Fins"),IF(Lang="Français","Ailerons bas","Lower Fins"))</f>
        <v>Ailerons bas</v>
      </c>
    </row>
    <row r="17" spans="1:20" ht="12.75" customHeight="1" thickTop="1" x14ac:dyDescent="0.3">
      <c r="A17" s="25"/>
      <c r="B17" s="139" t="s">
        <v>55</v>
      </c>
      <c r="C17" s="539" t="s">
        <v>549</v>
      </c>
      <c r="D17" s="540"/>
      <c r="L17" s="114"/>
      <c r="M17" s="566" t="s">
        <v>56</v>
      </c>
      <c r="N17" s="567"/>
      <c r="O17" s="590" t="s">
        <v>66</v>
      </c>
      <c r="P17" s="590"/>
      <c r="Q17" s="29"/>
      <c r="S17" s="386" t="str">
        <f>IF(Lang="Français","Haut","Top")</f>
        <v>Haut</v>
      </c>
      <c r="T17" s="387">
        <f>X_ail-m_ail</f>
        <v>822</v>
      </c>
    </row>
    <row r="18" spans="1:20" ht="12.75" customHeight="1" x14ac:dyDescent="0.3">
      <c r="A18" s="25"/>
      <c r="B18" s="139" t="str">
        <f>IF(Lang="Français","Position du bas",IF(Lang="English","Basement",""))</f>
        <v>Position du bas</v>
      </c>
      <c r="C18" s="570">
        <f>Long_tot</f>
        <v>1050</v>
      </c>
      <c r="D18" s="570"/>
      <c r="K18" s="37"/>
      <c r="L18" s="108" t="str">
        <f>IF(Lang="Français","Coiffe",IF(Lang="English","Nose Cone",""))</f>
        <v>Coiffe</v>
      </c>
      <c r="M18" s="542">
        <f>IF(LEFT(Forme_ogive,5)="Parab",1/2*Long_ogive,IF(LEFT(Forme_ogive,4)="Ogiv",7/15*Long_ogive,IF(LEFT(Forme_ogive,3)="Con",2/3*Long_ogive)))</f>
        <v>186.66666666666666</v>
      </c>
      <c r="N18" s="543"/>
      <c r="O18" s="541">
        <f>2*POWER(D_og/D_ref, 2)</f>
        <v>2</v>
      </c>
      <c r="P18" s="541"/>
      <c r="Q18" s="29"/>
      <c r="S18" s="386" t="str">
        <f>IF(Lang="Français","Emplanture","Root edge")</f>
        <v>Emplanture</v>
      </c>
      <c r="T18" s="387">
        <f>m_ail</f>
        <v>178</v>
      </c>
    </row>
    <row r="19" spans="1:20" ht="12.75" customHeight="1" thickBot="1" x14ac:dyDescent="0.35">
      <c r="A19" s="25"/>
      <c r="B19" s="428" t="str">
        <f>IF(Propu="Cariacou","Cariacou :"," ")</f>
        <v xml:space="preserve"> </v>
      </c>
      <c r="C19" s="571" t="str">
        <f>IF(Propu="Pandora (Pro24-6G)",IF(Lang="Français","C'Space Seulement",IF(Lang="English","C'Space only","")),"")</f>
        <v/>
      </c>
      <c r="D19" s="571"/>
      <c r="L19" s="108" t="str">
        <f>IF(Lang="Français","Ailerons",IF(Lang="English","Fins",""))</f>
        <v>Ailerons</v>
      </c>
      <c r="M19" s="542">
        <f>(XCpa*Cnail-0.5*XCpi*Cni)/Cnai</f>
        <v>916.93798449612393</v>
      </c>
      <c r="N19" s="543"/>
      <c r="O19" s="544">
        <f>Cnail-Cni/2</f>
        <v>19.82007913033426</v>
      </c>
      <c r="P19" s="545"/>
      <c r="Q19" s="29"/>
      <c r="S19" s="386" t="str">
        <f>IF(Lang="Français","Bas","Base")</f>
        <v>Bas</v>
      </c>
      <c r="T19" s="387">
        <f>X_ail</f>
        <v>1000</v>
      </c>
    </row>
    <row r="20" spans="1:20" ht="12.75" customHeight="1" thickTop="1" thickBot="1" x14ac:dyDescent="0.35">
      <c r="A20" s="25"/>
      <c r="B20" s="30"/>
      <c r="C20" s="546" t="str">
        <f>IF(Lang="Français","Coiffe",IF(Lang="English","Nose Cone",""))</f>
        <v>Coiffe</v>
      </c>
      <c r="D20" s="547"/>
      <c r="L20" s="108" t="str">
        <f>IF(Lang="Français","Ail bas entier",IF(Lang="English","Total Lower Fins",""))</f>
        <v>Ail bas entier</v>
      </c>
      <c r="M20" s="542">
        <f>X_ail-m_ail+p_ail*(m_ail+2*n_ail)/(3*(m_ail+n_ail))+(m_ail+n_ail-m_ail*n_ail/(m_ail+n_ail))/6</f>
        <v>916.93798449612405</v>
      </c>
      <c r="N20" s="543"/>
      <c r="O20" s="541">
        <f>4*Q_ail*POWER((E_ail/D_ref),2)*(1+D_ail/(2*E_ail+D_ail))/(1+SQRT(1+POWER(2*f_ail/(m_ail+n_ail),2)))</f>
        <v>19.82007913033426</v>
      </c>
      <c r="P20" s="541"/>
      <c r="Q20" s="29"/>
    </row>
    <row r="21" spans="1:20" ht="12.75" customHeight="1" thickTop="1" x14ac:dyDescent="0.3">
      <c r="A21" s="25"/>
      <c r="B21" s="139" t="str">
        <f>IF(Lang="Français","Forme",IF(Lang="English","Shape",""))</f>
        <v>Forme</v>
      </c>
      <c r="C21" s="572" t="s">
        <v>556</v>
      </c>
      <c r="D21" s="573"/>
      <c r="L21" s="108" t="str">
        <f>IF(Lang="Français","Ailerons haut",IF(Lang="English","Upper Fins",""))</f>
        <v>Ailerons haut</v>
      </c>
      <c r="M21" s="542">
        <f>IF(LEFT(Type_masquage,1)="M",0, X_can-m_can+p_can*(m_can+2*n_can)/(3*(m_can+n_can))+(m_can+n_can-m_can*n_can/(m_can+n_can))/6)</f>
        <v>0</v>
      </c>
      <c r="N21" s="543"/>
      <c r="O21" s="541">
        <f>IF(LEFT(Type_masquage,1)="M",0, 4*Q_can*POWER((E_can/D_ref),2)*(1+D_can/(2*E_can+D_can))/(1+SQRT(1+POWER(2*f_can/(m_can+n_can),2))))</f>
        <v>0</v>
      </c>
      <c r="P21" s="541"/>
      <c r="Q21" s="29"/>
    </row>
    <row r="22" spans="1:20" ht="12.75" customHeight="1" x14ac:dyDescent="0.3">
      <c r="A22" s="25"/>
      <c r="B22" s="139" t="str">
        <f>IF(Lang="Français","Hauteur",IF(Lang="English","Heigth",""))</f>
        <v>Hauteur</v>
      </c>
      <c r="C22" s="549">
        <v>280</v>
      </c>
      <c r="D22" s="550"/>
      <c r="L22" s="108" t="str">
        <f>IF(Lang="Français","Partie masquée",IF(Lang="English","Interation zone",""))</f>
        <v>Partie masquée</v>
      </c>
      <c r="M22" s="555">
        <f>IF(LEFT(Type_masquage,1)="B", X_int-m_int+p_int*(m_int+2*n_int)/(3*(m_int+n_int))+(m_int+n_int-m_int*n_int/(m_int+n_int))/6, 0 )</f>
        <v>0</v>
      </c>
      <c r="N22" s="555"/>
      <c r="O22" s="544">
        <f>IF(LEFT(Type_masquage,1)="B", 4*Q_int*POWER((E_int/D_ref),2)*(1+D_int/(2*E_int+D_int))/(1+SQRT(1+POWER(2*f_int/(m_int+n_int),2))), 0 )</f>
        <v>0</v>
      </c>
      <c r="P22" s="545"/>
      <c r="Q22" s="29"/>
    </row>
    <row r="23" spans="1:20" ht="12.75" customHeight="1" x14ac:dyDescent="0.3">
      <c r="A23" s="25"/>
      <c r="B23" s="139" t="str">
        <f>IF(Lang="Français","Diamètre",IF(Lang="English","Diameter",""))</f>
        <v>Diamètre</v>
      </c>
      <c r="C23" s="549">
        <v>64</v>
      </c>
      <c r="D23" s="550"/>
      <c r="L23" s="108" t="s">
        <v>157</v>
      </c>
      <c r="M23" s="542">
        <f>IF(OR(RIGHT(Nb_diam,1)=",",D2j=0),0, X_j+l_j/3*(1+1/(1+D1j/D2j)) )</f>
        <v>525</v>
      </c>
      <c r="N23" s="543"/>
      <c r="O23" s="541">
        <f>IF(OR(RIGHT(Nb_diam,1)=",",D2j=0),0,2*(POWER(D2j/D_ref,2)-POWER(D1j/D_ref,2)))</f>
        <v>0</v>
      </c>
      <c r="P23" s="541"/>
      <c r="Q23" s="29"/>
    </row>
    <row r="24" spans="1:20" ht="12.75" customHeight="1" thickBot="1" x14ac:dyDescent="0.35">
      <c r="A24" s="25"/>
      <c r="L24" s="108" t="s">
        <v>158</v>
      </c>
      <c r="M24" s="542">
        <f>IF( OR(RIGHT(Nb_diam,1)=",",D2r=0), 0, X_r+l_r/3*(1+1/(1+D1r/D2r)) )</f>
        <v>1023.5474006116208</v>
      </c>
      <c r="N24" s="543"/>
      <c r="O24" s="541">
        <f>IF( OR(RIGHT(Nb_diam,1)=",",D2r=0), 0, 2*(POWER(D2r/D_ref,2)-POWER(D1r/D_ref,2)) )</f>
        <v>-1.01123046875</v>
      </c>
      <c r="P24" s="541"/>
      <c r="Q24" s="29"/>
    </row>
    <row r="25" spans="1:20" ht="12.75" customHeight="1" thickTop="1" thickBot="1" x14ac:dyDescent="0.35">
      <c r="A25" s="25"/>
      <c r="B25" s="30"/>
      <c r="C25" s="178" t="str">
        <f>IF(LEFT(Type_masquage,1)="M",IF(Lang="Français","Ailerons","Fins"),IF(Lang="Français","Ailerons bas","Lower Fins"))</f>
        <v>Ailerons</v>
      </c>
      <c r="D25" s="179" t="str">
        <f>IF(Lang="Français","Ailerons haut",IF(Lang="English","Upper Fins",""))</f>
        <v>Ailerons haut</v>
      </c>
      <c r="E25" s="180" t="s">
        <v>152</v>
      </c>
      <c r="L25" s="38"/>
      <c r="M25" s="38"/>
      <c r="N25" s="38"/>
      <c r="Q25" s="29"/>
      <c r="R25" s="38"/>
      <c r="S25" s="388" t="str">
        <f ca="1">IF(AND(Portee_balistique&gt;200,LEFT(Type_propu,3)="Min"),IF(Lang="Français","Fusée trop lègère !","Rocket too light"),"")</f>
        <v>Fusée trop lègère !</v>
      </c>
    </row>
    <row r="26" spans="1:20" ht="12.75" customHeight="1" thickTop="1" x14ac:dyDescent="0.3">
      <c r="A26" s="25"/>
      <c r="B26" s="30"/>
      <c r="C26" s="568" t="s">
        <v>424</v>
      </c>
      <c r="D26" s="569"/>
      <c r="F26" s="39">
        <f ca="1">TODAY()</f>
        <v>45708</v>
      </c>
      <c r="G26" s="137" t="s">
        <v>63</v>
      </c>
      <c r="H26" s="536" t="str">
        <f>IF(Lang="Français","Résultats",IF(Lang="English","Results",""))</f>
        <v>Résultats</v>
      </c>
      <c r="I26" s="536"/>
      <c r="J26" s="137" t="s">
        <v>64</v>
      </c>
      <c r="K26" s="32"/>
      <c r="L26" s="38"/>
      <c r="M26" s="38"/>
      <c r="N26" s="38"/>
      <c r="Q26" s="29"/>
      <c r="R26" s="38"/>
      <c r="S26" s="388" t="e">
        <f ca="1">IF(AND(Vsortie_de_rampe&lt;18, OR(LEFT(Type_fusee,1)=",",LEFT(Type_fusee,4)="Mini",LEFT(Type_fusee,1)="R")),IF(Lang="Français","Fusée trop lourde ou rampe trop courte !","Rocket too heavy or launch pad too small!"),"")</f>
        <v>#N/A</v>
      </c>
    </row>
    <row r="27" spans="1:20" ht="12.75" customHeight="1" x14ac:dyDescent="0.3">
      <c r="A27" s="25"/>
      <c r="B27" s="526" t="str">
        <f>IF(Lang="Français"," Emplanture  'm'",IF(Lang="English"," Root edge  'm'",""))</f>
        <v xml:space="preserve"> Emplanture  'm'</v>
      </c>
      <c r="C27" s="177">
        <v>178</v>
      </c>
      <c r="D27" s="177">
        <v>70</v>
      </c>
      <c r="E27" s="146">
        <f>m_ail</f>
        <v>178</v>
      </c>
      <c r="F27" s="105" t="s">
        <v>65</v>
      </c>
      <c r="G27" s="104">
        <f>IF(RIGHT(Type_fusee,1)=".",10, IF(OR(LEFT(Type_fusee,1)="R",LEFT(Type_fusee,1)=",",LEFT(Type_fusee,4)="Mini"),10, IF(LEFT(Type_fusee,5)="Micro",10, IF(RIGHT(Type_fusee,1)=" ",1))))</f>
        <v>10</v>
      </c>
      <c r="H27" s="584">
        <f>Long_tot/D_ref</f>
        <v>16.40625</v>
      </c>
      <c r="I27" s="585"/>
      <c r="J27" s="104">
        <f>IF(RIGHT(Type_fusee,1)=".",35, IF(OR(LEFT(Type_fusee,1)="R",LEFT(Type_fusee,1)=",",LEFT(Type_fusee,4)="Mini"),20, IF(LEFT(Type_fusee,5)="Micro",30, IF(RIGHT(Type_fusee,1)=" ",100))))</f>
        <v>20</v>
      </c>
      <c r="K27" s="32"/>
      <c r="L27" s="38"/>
      <c r="M27" s="38"/>
      <c r="N27" s="38"/>
      <c r="Q27" s="29"/>
      <c r="R27" s="38"/>
      <c r="S27" s="388" t="str">
        <f>IF(Finesse&lt;CritFinessemin, IF(Lang="Français","Fusée trop courte !","Rocket too short!"), "" ) &amp; IF(Finesse&gt;CritFinessemax, IF(Lang="Français","Fusée trop longue !","Rocket too long!"), "" )</f>
        <v/>
      </c>
    </row>
    <row r="28" spans="1:20" ht="12.75" customHeight="1" x14ac:dyDescent="0.3">
      <c r="A28" s="25"/>
      <c r="B28" s="526" t="str">
        <f>IF(Lang="Français"," Saumon       'n'",IF(Lang="English"," Tip edge    'n'",""))</f>
        <v xml:space="preserve"> Saumon       'n'</v>
      </c>
      <c r="C28" s="35">
        <v>80</v>
      </c>
      <c r="D28" s="35">
        <v>10</v>
      </c>
      <c r="E28" s="146">
        <f>n_ail+(m_ail-n_ail)*(1-E_int/E_ail)</f>
        <v>129</v>
      </c>
      <c r="F28" s="105" t="str">
        <f>IF(Lang="Français","Portance","Lift")</f>
        <v>Portance</v>
      </c>
      <c r="G28" s="104">
        <f>IF(RIGHT(Type_fusee,1)=".",15,IF(OR(LEFT(Type_fusee,1)="R",LEFT(Type_fusee,1)=",",LEFT(Type_fusee,4)="Mini"),15, IF(LEFT(Type_fusee,5)="Micro",15, IF(RIGHT(Type_fusee,1)=" ",15))))</f>
        <v>15</v>
      </c>
      <c r="H28" s="510">
        <f>Cnai+Cnc+Cno+Cnj+Cnr</f>
        <v>20.80884866158426</v>
      </c>
      <c r="I28" s="510">
        <f>Cnail+Cnc+Cno+Cnj+Cnr</f>
        <v>20.80884866158426</v>
      </c>
      <c r="J28" s="104">
        <f>IF(RIGHT(Type_fusee,1)=".",40, IF(OR(LEFT(Type_fusee,1)="R",LEFT(Type_fusee,1)=",",LEFT(Type_fusee,4)="Mini"),30, IF(LEFT(Type_fusee,5)="Micro",30, IF(RIGHT(Type_fusee,1)=" ",30))))</f>
        <v>30</v>
      </c>
      <c r="K28" s="32"/>
      <c r="L28" s="38"/>
      <c r="M28" s="38"/>
      <c r="N28" s="38"/>
      <c r="Q28" s="29"/>
      <c r="R28" s="38"/>
      <c r="S28" s="388" t="str">
        <f>IF(Cn&lt;CritCnmin, IF(Lang="Français","Ailerons trop petits !","Fins too small!"), "" ) &amp; IF(Cn&gt;CritCnmax, IF(Lang="Français","Ailerons trop grands !","Fins too big!"), "" )</f>
        <v/>
      </c>
    </row>
    <row r="29" spans="1:20" ht="12.75" customHeight="1" x14ac:dyDescent="0.3">
      <c r="A29" s="25"/>
      <c r="B29" s="526" t="str">
        <f>IF(Lang="Français"," Flèche          'p'"," Offset         'p'")</f>
        <v xml:space="preserve"> Flèche          'p'</v>
      </c>
      <c r="C29" s="35">
        <v>140</v>
      </c>
      <c r="D29" s="35">
        <v>40</v>
      </c>
      <c r="E29" s="146">
        <f>p_ail*E_int/E_ail</f>
        <v>70</v>
      </c>
      <c r="F29" s="517" t="str">
        <f>IF(Lang="Français","MargeStat.","StatMargin")</f>
        <v>MargeStat.</v>
      </c>
      <c r="G29" s="512">
        <f>IF(RIGHT(Type_fusee,1)=".",2, IF(OR(LEFT(Type_fusee,1)="R",LEFT(Type_fusee,1)=",",LEFT(Type_fusee,4)="Mini"),1.5, IF(LEFT(Type_fusee,5)="Micro",1, IF(RIGHT(Type_fusee,1)=" ",1))))</f>
        <v>1.5</v>
      </c>
      <c r="H29" s="97">
        <f ca="1">(XCp-XcgPlein)/D_ref</f>
        <v>3.2411635171272852</v>
      </c>
      <c r="I29" s="98">
        <f ca="1">(XCp0-XcgVide)/D_ref</f>
        <v>3.4122420606610486</v>
      </c>
      <c r="J29" s="512">
        <f>IF(RIGHT(Type_fusee,1)=".",6, IF(OR(LEFT(Type_fusee,1)="R",LEFT(Type_fusee,1)=",",LEFT(Type_fusee,4)="Mini"),6, IF(LEFT(Type_fusee,5)="Micro",3, IF(RIGHT(Type_fusee,1)=" ",3))))</f>
        <v>6</v>
      </c>
      <c r="K29" s="32"/>
      <c r="Q29" s="29"/>
      <c r="R29" s="38"/>
      <c r="S29" s="388" t="str">
        <f ca="1">IF(MS_min&lt;CritMsmin, IF(Lang="Français","Abaisser les ailerons ou rehausser le CdM !","Lower the fins or move up the center of mass!"), "" ) &amp; IF(MS_max&gt;CritMsmax, IF(Lang="Français","Rehausser les ailerons ou abaisser le CdM !","Move up the fins or lower the center of mass!"), "" )</f>
        <v/>
      </c>
    </row>
    <row r="30" spans="1:20" ht="12.75" customHeight="1" x14ac:dyDescent="0.3">
      <c r="A30" s="25"/>
      <c r="B30" s="526" t="str">
        <f>IF(Lang="Français"," Envergure     'E'",IF(Lang="English"," Span          'E'",""))</f>
        <v xml:space="preserve"> Envergure     'E'</v>
      </c>
      <c r="C30" s="35">
        <v>100</v>
      </c>
      <c r="D30" s="35">
        <v>50</v>
      </c>
      <c r="E30" s="146">
        <f>IF(D_can/2+E_can&lt;=D_ail/2,0, IF(D_can/2+E_can&gt;=D_ail/2+E_ail,E_ail,  D_can/2+E_can - D_ail/2  ) )</f>
        <v>50</v>
      </c>
      <c r="F30" s="518" t="str">
        <f>IF(Lang="Français","Couple","Torque")</f>
        <v>Couple</v>
      </c>
      <c r="G30" s="513">
        <f>IF(RIGHT(Type_fusee,1)=".",40, IF(OR(LEFT(Type_fusee,1)="R",LEFT(Type_fusee,1)=",",LEFT(Type_fusee,4)="Mini"),30, IF(LEFT(Type_fusee,5)="Micro",15, IF(RIGHT(Type_fusee,1)=" ",15))))</f>
        <v>30</v>
      </c>
      <c r="H30" s="99">
        <f ca="1">MS_min*Cn</f>
        <v>67.444881115349844</v>
      </c>
      <c r="I30" s="96">
        <f ca="1">MS_max*Cn0</f>
        <v>71.004828636988179</v>
      </c>
      <c r="J30" s="513">
        <f>IF(RIGHT(Type_fusee,1)=".",100, IF(OR(LEFT(Type_fusee,1)="R",LEFT(Type_fusee,1)=",",LEFT(Type_fusee,4)="Mini"),100, IF(LEFT(Type_fusee,5)="Micro",100, IF(RIGHT(Type_fusee,1)=" ",90))))</f>
        <v>100</v>
      </c>
      <c r="K30" s="32"/>
      <c r="Q30" s="29"/>
      <c r="R30" s="38"/>
      <c r="S30" s="388" t="str">
        <f ca="1">IF(MS_Cn_min&lt;CritMsCnmin, IF(Lang="Français","Ailerons trop petits ou trop haut /CdM !","Fins too small or too high /CoM!"), "" ) &amp; IF(MS_Cn_max&gt;CritMsCnmax, IF(Lang="Français","Ailerons trop grands ou trop bas  /CdM !","Fins too big or too low / CoM!"), "" )</f>
        <v/>
      </c>
    </row>
    <row r="31" spans="1:20" ht="12.75" customHeight="1" x14ac:dyDescent="0.3">
      <c r="A31" s="25"/>
      <c r="B31" s="527" t="str">
        <f>IF(Lang="Français"," Epaisseur     'ep'",IF(Lang="English"," Thickness  'ep'",""))</f>
        <v xml:space="preserve"> Epaisseur     'ep'</v>
      </c>
      <c r="C31" s="35">
        <v>3</v>
      </c>
      <c r="D31" s="35">
        <v>2</v>
      </c>
      <c r="E31" s="146">
        <f>ep_ail</f>
        <v>3</v>
      </c>
      <c r="F31" s="106" t="s">
        <v>56</v>
      </c>
      <c r="G31" s="103"/>
      <c r="H31" s="511">
        <f>(Cnai*XCpai+Cnc*XCpc+Cnj*XCpj+Cnr*XCpr+Cno*XCpo)/(Cnai+Cnc+Cnr+Cnj+Cno)</f>
        <v>841.56863797452036</v>
      </c>
      <c r="I31" s="511">
        <f>(Cnail*XCpa+Cnc*XCpc+Cnj*XCpj+Cnr*XCpr+Cno*XCpo)/(Cnail+Cnc+Cnr+Cnj+Cno)</f>
        <v>841.56863797452036</v>
      </c>
      <c r="J31" s="102"/>
      <c r="K31" s="32"/>
      <c r="Q31" s="29"/>
      <c r="R31" s="38"/>
      <c r="S31" s="388"/>
    </row>
    <row r="32" spans="1:20" ht="12.75" customHeight="1" x14ac:dyDescent="0.3">
      <c r="A32" s="25"/>
      <c r="B32" s="526" t="str">
        <f>IF(Lang="Français"," Nombre            ",IF(Lang="English"," Number of fins",""))</f>
        <v xml:space="preserve"> Nombre            </v>
      </c>
      <c r="C32" s="36">
        <v>4</v>
      </c>
      <c r="D32" s="36">
        <v>4</v>
      </c>
      <c r="E32" s="146">
        <f>IF(Q_ail=Q_can,Q_ail,FALSE)</f>
        <v>4</v>
      </c>
      <c r="F32" s="106" t="s">
        <v>67</v>
      </c>
      <c r="G32" s="103"/>
      <c r="H32" s="100">
        <f ca="1">(XCp-XcgPlein)/Long_tot*100</f>
        <v>19.75566334249012</v>
      </c>
      <c r="I32" s="101">
        <f ca="1">(XCp-XcgVide)/Long_tot*100</f>
        <v>20.798427798314965</v>
      </c>
      <c r="J32" s="102"/>
      <c r="K32" s="32"/>
      <c r="Q32" s="29"/>
      <c r="R32" s="38"/>
    </row>
    <row r="33" spans="1:23" ht="12.75" customHeight="1" x14ac:dyDescent="0.3">
      <c r="A33" s="25"/>
      <c r="B33" s="526" t="str">
        <f>IF(Lang="Français"," Position du bas",IF(Lang="English"," Basement",""))</f>
        <v xml:space="preserve"> Position du bas</v>
      </c>
      <c r="C33" s="35">
        <v>1000</v>
      </c>
      <c r="D33" s="35">
        <v>700</v>
      </c>
      <c r="E33" s="146">
        <f>X_ail</f>
        <v>1000</v>
      </c>
      <c r="G33" s="24"/>
      <c r="H33" s="574" t="str">
        <f ca="1">IF(AND(CritCnmin&lt;Cn,Cn0&lt;CritCnmax,CritMsmin&lt;MS_min,MS_max&lt;CritMsmax,CritMsCnmin&lt;MS_Cn_min,MS_Cn_max&lt;CritMsCnmax),"STABLE",IF(OR(Cn&lt;CritCnmin,MS_min&lt;CritMsmin,MS_Cn_min&lt;CritMsCnmin),"INSTABLE",IF(Lang="Français","SURSTABLE","OVERSTABLE")))</f>
        <v>STABLE</v>
      </c>
      <c r="I33" s="575"/>
      <c r="J33" s="31"/>
      <c r="K33" s="32"/>
      <c r="Q33" s="29"/>
      <c r="R33" s="38"/>
    </row>
    <row r="34" spans="1:23" ht="12.75" customHeight="1" x14ac:dyDescent="0.3">
      <c r="A34" s="25"/>
      <c r="B34" s="526" t="str">
        <f>IF(Lang="Français"," Diamètre         ",IF(Lang="English"," Diameter at Fins",""))</f>
        <v xml:space="preserve"> Diamètre         </v>
      </c>
      <c r="C34" s="35">
        <f>D_ref</f>
        <v>64</v>
      </c>
      <c r="D34" s="35">
        <f>D_ref</f>
        <v>64</v>
      </c>
      <c r="E34" s="146">
        <f>D_ail</f>
        <v>64</v>
      </c>
      <c r="G34" s="24"/>
      <c r="H34" s="576"/>
      <c r="I34" s="577"/>
      <c r="K34" s="32"/>
      <c r="Q34" s="29"/>
      <c r="R34" s="38"/>
    </row>
    <row r="35" spans="1:23" ht="12.75" customHeight="1" x14ac:dyDescent="0.3">
      <c r="A35" s="25"/>
      <c r="B35" s="526" t="str">
        <f>IF(Lang="Français"," Ligne mi-corde f",IF(Lang="English"," Mid-chord line f",""))</f>
        <v xml:space="preserve"> Ligne mi-corde f</v>
      </c>
      <c r="C35" s="145">
        <f>SQRT(POWER(p_ail+n_ail/2-m_ail/2,2)+POWER(E_ail,2))</f>
        <v>135.20724832641184</v>
      </c>
      <c r="D35" s="145">
        <f>SQRT(POWER(p_can+n_can/2-m_can/2,2)+POWER(E_can,2))</f>
        <v>50.990195135927848</v>
      </c>
      <c r="E35" s="146">
        <f>SQRT(POWER(p_int+n_int/2-m_int/2,2)+POWER(E_int,2))</f>
        <v>67.603624163205922</v>
      </c>
      <c r="K35" s="32"/>
      <c r="Q35" s="29"/>
      <c r="R35" s="38"/>
      <c r="W35" s="24" t="str">
        <f>RIGHT(Type_fusee,1="R")</f>
        <v/>
      </c>
    </row>
    <row r="36" spans="1:23" ht="12.75" customHeight="1" thickBot="1" x14ac:dyDescent="0.35">
      <c r="A36" s="40"/>
      <c r="B36" s="182" t="str">
        <f>IF(Lang="Français","Commentaire libre :",IF(Lang="English","Free comment:",""))</f>
        <v>Commentaire libre :</v>
      </c>
      <c r="C36" s="41"/>
      <c r="D36" s="42"/>
      <c r="E36" s="91"/>
      <c r="F36" s="67"/>
      <c r="G36" s="67"/>
      <c r="H36" s="67"/>
      <c r="I36" s="67"/>
      <c r="J36" s="42"/>
      <c r="K36" s="42"/>
      <c r="L36" s="389" t="s">
        <v>269</v>
      </c>
      <c r="M36" s="392" t="str">
        <f>IF(ROUND(SUM(Propu!5:1228),0)=395253,"propu OK","propu NOK")</f>
        <v>propu OK</v>
      </c>
      <c r="N36" s="391" t="str">
        <f>IF(Lang="Français","fichier initial","Initial file")</f>
        <v>fichier initial</v>
      </c>
      <c r="O36" s="392"/>
      <c r="P36" s="390"/>
      <c r="Q36" s="291" t="s">
        <v>544</v>
      </c>
      <c r="R36" s="38"/>
    </row>
    <row r="37" spans="1:23" ht="12.75" customHeight="1" x14ac:dyDescent="0.3">
      <c r="R37" s="43"/>
    </row>
    <row r="38" spans="1:23" x14ac:dyDescent="0.3">
      <c r="L38" s="226" t="str">
        <f>IF(Lang="Français","Maintenant que votre fusée est stable, vérifiez sa trajectoire via la feuille","Now your rocket is stable, check its trajectory on sheet")</f>
        <v>Maintenant que votre fusée est stable, vérifiez sa trajectoire via la feuille</v>
      </c>
      <c r="M38" s="483" t="s">
        <v>181</v>
      </c>
    </row>
    <row r="39" spans="1:23" x14ac:dyDescent="0.3">
      <c r="H39" s="87"/>
      <c r="O39" s="26"/>
      <c r="P39" s="26"/>
    </row>
    <row r="40" spans="1:23" x14ac:dyDescent="0.3">
      <c r="F40" s="24"/>
      <c r="H40" s="43"/>
      <c r="I40" s="44"/>
      <c r="J40" s="43"/>
      <c r="N40" s="43"/>
      <c r="Q40" s="43"/>
      <c r="S40" s="508"/>
    </row>
    <row r="41" spans="1:23" x14ac:dyDescent="0.3">
      <c r="F41" s="24"/>
      <c r="G41" s="505"/>
      <c r="H41" s="506"/>
      <c r="I41" s="44"/>
      <c r="J41" s="43"/>
      <c r="N41" s="43"/>
      <c r="Q41" s="43"/>
      <c r="R41" s="43"/>
    </row>
    <row r="42" spans="1:23" x14ac:dyDescent="0.3">
      <c r="F42" s="24"/>
      <c r="H42" s="43"/>
      <c r="I42" s="44"/>
      <c r="J42" s="43"/>
      <c r="N42" s="43"/>
      <c r="Q42" s="43"/>
      <c r="R42" s="43"/>
    </row>
    <row r="43" spans="1:23" x14ac:dyDescent="0.3">
      <c r="F43" s="24"/>
      <c r="H43" s="43"/>
      <c r="I43" s="44"/>
      <c r="J43" s="43"/>
      <c r="N43" s="43"/>
      <c r="Q43" s="43"/>
      <c r="R43" s="43"/>
    </row>
    <row r="44" spans="1:23" x14ac:dyDescent="0.3">
      <c r="F44" s="24"/>
      <c r="H44" s="43"/>
      <c r="I44" s="44"/>
      <c r="J44" s="43"/>
      <c r="N44" s="43"/>
      <c r="Q44" s="43"/>
      <c r="R44" s="43"/>
    </row>
    <row r="45" spans="1:23" x14ac:dyDescent="0.3">
      <c r="F45" s="24"/>
      <c r="H45" s="43"/>
      <c r="I45" s="44"/>
      <c r="J45" s="43"/>
      <c r="N45" s="43"/>
      <c r="Q45" s="43"/>
      <c r="R45" s="43"/>
    </row>
    <row r="46" spans="1:23" x14ac:dyDescent="0.3">
      <c r="F46" s="24"/>
      <c r="H46" s="43"/>
      <c r="I46" s="44"/>
      <c r="J46" s="43"/>
      <c r="L46" s="43"/>
      <c r="M46" s="43"/>
      <c r="N46" s="43"/>
      <c r="Q46" s="43"/>
      <c r="R46" s="43"/>
    </row>
    <row r="47" spans="1:23" x14ac:dyDescent="0.3">
      <c r="F47" s="24"/>
      <c r="H47" s="43"/>
      <c r="I47" s="44"/>
      <c r="J47" s="43"/>
      <c r="L47" s="43"/>
      <c r="M47" s="43"/>
      <c r="N47" s="43"/>
      <c r="Q47" s="43"/>
      <c r="R47" s="43"/>
    </row>
    <row r="48" spans="1:23" x14ac:dyDescent="0.3">
      <c r="F48" s="24"/>
      <c r="H48" s="43"/>
      <c r="I48" s="44"/>
      <c r="J48" s="43"/>
      <c r="L48" s="43"/>
      <c r="M48" s="43"/>
      <c r="N48" s="43"/>
      <c r="Q48" s="43"/>
      <c r="R48" s="43"/>
    </row>
    <row r="49" spans="2:18" x14ac:dyDescent="0.3">
      <c r="F49" s="24"/>
      <c r="H49" s="43"/>
      <c r="I49" s="44"/>
      <c r="J49" s="43"/>
      <c r="L49" s="43"/>
      <c r="M49" s="43"/>
      <c r="N49" s="43"/>
      <c r="Q49" s="43"/>
      <c r="R49" s="43"/>
    </row>
    <row r="50" spans="2:18" x14ac:dyDescent="0.3">
      <c r="F50" s="24"/>
      <c r="H50" s="43"/>
      <c r="I50" s="44"/>
      <c r="J50" s="43"/>
      <c r="L50" s="43"/>
      <c r="M50" s="43"/>
      <c r="N50" s="43"/>
      <c r="Q50" s="43"/>
      <c r="R50" s="43"/>
    </row>
    <row r="51" spans="2:18" x14ac:dyDescent="0.3">
      <c r="F51" s="24"/>
      <c r="H51" s="43"/>
      <c r="I51" s="44"/>
      <c r="J51" s="43"/>
      <c r="L51" s="43"/>
      <c r="M51" s="43"/>
      <c r="N51" s="43"/>
      <c r="Q51" s="43"/>
      <c r="R51" s="43"/>
    </row>
    <row r="52" spans="2:18" x14ac:dyDescent="0.3">
      <c r="H52" s="43"/>
      <c r="I52" s="44"/>
      <c r="J52" s="43"/>
      <c r="L52" s="43"/>
      <c r="M52" s="43"/>
      <c r="N52" s="43"/>
      <c r="Q52" s="43"/>
      <c r="R52" s="43"/>
    </row>
    <row r="53" spans="2:18" x14ac:dyDescent="0.3">
      <c r="H53" s="43"/>
      <c r="I53" s="44"/>
      <c r="J53" s="43"/>
      <c r="L53" s="43"/>
      <c r="M53" s="43"/>
      <c r="N53" s="43"/>
      <c r="Q53" s="43"/>
      <c r="R53" s="43"/>
    </row>
    <row r="54" spans="2:18" x14ac:dyDescent="0.3">
      <c r="H54" s="43"/>
      <c r="I54" s="44"/>
      <c r="J54" s="43"/>
      <c r="L54" s="43"/>
      <c r="M54" s="43"/>
      <c r="N54" s="43"/>
      <c r="Q54" s="43"/>
      <c r="R54" s="43"/>
    </row>
    <row r="55" spans="2:18" x14ac:dyDescent="0.3">
      <c r="H55" s="43"/>
      <c r="I55" s="44"/>
      <c r="J55" s="43"/>
      <c r="L55" s="43"/>
      <c r="M55" s="43"/>
      <c r="N55" s="43"/>
      <c r="Q55" s="43"/>
      <c r="R55" s="43"/>
    </row>
    <row r="56" spans="2:18" x14ac:dyDescent="0.3">
      <c r="C56" s="24"/>
      <c r="H56" s="43"/>
      <c r="I56" s="44"/>
      <c r="J56" s="43"/>
      <c r="L56" s="43"/>
      <c r="M56" s="43"/>
      <c r="N56" s="43"/>
      <c r="Q56" s="43"/>
      <c r="R56" s="43"/>
    </row>
    <row r="57" spans="2:18" x14ac:dyDescent="0.3">
      <c r="H57" s="43"/>
      <c r="I57" s="44"/>
      <c r="J57" s="43"/>
      <c r="L57" s="43"/>
      <c r="M57" s="43"/>
      <c r="N57" s="43"/>
      <c r="Q57" s="43"/>
      <c r="R57" s="43"/>
    </row>
    <row r="58" spans="2:18" x14ac:dyDescent="0.3">
      <c r="B58" s="31"/>
      <c r="H58" s="43"/>
      <c r="I58" s="44"/>
      <c r="J58" s="43"/>
      <c r="L58" s="43"/>
      <c r="M58" s="43"/>
      <c r="N58" s="43"/>
      <c r="Q58" s="43"/>
      <c r="R58" s="43"/>
    </row>
    <row r="59" spans="2:18" x14ac:dyDescent="0.3">
      <c r="B59" s="31"/>
      <c r="H59" s="43"/>
      <c r="I59" s="44"/>
      <c r="J59" s="43"/>
      <c r="L59" s="43"/>
      <c r="M59" s="43"/>
      <c r="N59" s="43"/>
      <c r="Q59" s="43"/>
      <c r="R59" s="43"/>
    </row>
    <row r="60" spans="2:18" x14ac:dyDescent="0.3">
      <c r="B60" s="31"/>
      <c r="H60" s="43"/>
      <c r="I60" s="44"/>
      <c r="J60" s="43"/>
      <c r="L60" s="43"/>
      <c r="M60" s="43"/>
      <c r="N60" s="43"/>
      <c r="Q60" s="43"/>
      <c r="R60" s="43"/>
    </row>
    <row r="61" spans="2:18" x14ac:dyDescent="0.3">
      <c r="B61" s="31"/>
      <c r="H61" s="43"/>
      <c r="I61" s="44"/>
      <c r="J61" s="43"/>
      <c r="L61" s="43"/>
      <c r="M61" s="43"/>
      <c r="N61" s="43"/>
      <c r="Q61" s="43"/>
      <c r="R61" s="43"/>
    </row>
    <row r="62" spans="2:18" x14ac:dyDescent="0.3">
      <c r="B62" s="31"/>
      <c r="H62" s="43"/>
      <c r="I62" s="44"/>
      <c r="J62" s="43"/>
      <c r="L62" s="43"/>
      <c r="M62" s="43"/>
      <c r="N62" s="43"/>
      <c r="Q62" s="43"/>
      <c r="R62" s="43"/>
    </row>
    <row r="63" spans="2:18" x14ac:dyDescent="0.3">
      <c r="B63" s="31"/>
      <c r="H63" s="43"/>
      <c r="I63" s="44"/>
      <c r="J63" s="43"/>
      <c r="L63" s="43"/>
      <c r="M63" s="43"/>
      <c r="N63" s="43"/>
      <c r="Q63" s="43"/>
      <c r="R63" s="43"/>
    </row>
    <row r="64" spans="2:18" x14ac:dyDescent="0.3">
      <c r="B64" s="31"/>
      <c r="H64" s="43"/>
      <c r="I64" s="44"/>
      <c r="J64" s="43"/>
      <c r="L64" s="43"/>
      <c r="M64" s="43"/>
      <c r="N64" s="43"/>
      <c r="Q64" s="43"/>
      <c r="R64" s="43"/>
    </row>
    <row r="65" spans="2:18" x14ac:dyDescent="0.3">
      <c r="B65" s="31"/>
      <c r="H65" s="43"/>
      <c r="I65" s="44"/>
      <c r="J65" s="43"/>
      <c r="L65" s="43"/>
      <c r="M65" s="43"/>
      <c r="N65" s="43"/>
      <c r="Q65" s="43"/>
      <c r="R65" s="43"/>
    </row>
    <row r="66" spans="2:18" x14ac:dyDescent="0.3">
      <c r="B66" s="31"/>
      <c r="H66" s="43"/>
      <c r="I66" s="44"/>
      <c r="J66" s="43"/>
      <c r="L66" s="43"/>
      <c r="M66" s="43"/>
      <c r="N66" s="43"/>
      <c r="Q66" s="43"/>
      <c r="R66" s="43"/>
    </row>
    <row r="67" spans="2:18" x14ac:dyDescent="0.3">
      <c r="C67" s="24"/>
      <c r="H67" s="43"/>
      <c r="I67" s="44"/>
      <c r="J67" s="43"/>
      <c r="L67" s="43"/>
      <c r="M67" s="43"/>
      <c r="N67" s="43"/>
      <c r="Q67" s="43"/>
      <c r="R67" s="43"/>
    </row>
    <row r="68" spans="2:18" x14ac:dyDescent="0.3">
      <c r="C68" s="24"/>
      <c r="H68" s="43"/>
      <c r="I68" s="44"/>
      <c r="J68" s="43"/>
      <c r="L68" s="43"/>
      <c r="M68" s="43"/>
      <c r="N68" s="43"/>
      <c r="Q68" s="43"/>
      <c r="R68" s="43"/>
    </row>
    <row r="69" spans="2:18" x14ac:dyDescent="0.3">
      <c r="C69" s="24"/>
      <c r="H69" s="43"/>
      <c r="I69" s="44"/>
      <c r="J69" s="43"/>
      <c r="L69" s="43"/>
      <c r="M69" s="43"/>
      <c r="N69" s="43"/>
      <c r="Q69" s="43"/>
      <c r="R69" s="43"/>
    </row>
    <row r="70" spans="2:18" x14ac:dyDescent="0.3">
      <c r="C70" s="24"/>
      <c r="H70" s="43"/>
      <c r="I70" s="44"/>
      <c r="J70" s="43"/>
      <c r="L70" s="43"/>
      <c r="M70" s="43"/>
      <c r="N70" s="43"/>
      <c r="Q70" s="43"/>
      <c r="R70" s="43"/>
    </row>
    <row r="71" spans="2:18" x14ac:dyDescent="0.3">
      <c r="C71" s="24"/>
      <c r="H71" s="43"/>
      <c r="I71" s="44"/>
      <c r="J71" s="43"/>
      <c r="L71" s="43"/>
      <c r="M71" s="43"/>
      <c r="N71" s="43"/>
      <c r="Q71" s="43"/>
      <c r="R71" s="43"/>
    </row>
    <row r="72" spans="2:18" x14ac:dyDescent="0.3">
      <c r="C72" s="24"/>
      <c r="H72" s="43"/>
      <c r="I72" s="44"/>
      <c r="J72" s="43"/>
      <c r="L72" s="43"/>
      <c r="M72" s="43"/>
      <c r="N72" s="43"/>
      <c r="Q72" s="43"/>
      <c r="R72" s="43"/>
    </row>
    <row r="73" spans="2:18" x14ac:dyDescent="0.3">
      <c r="C73" s="24"/>
      <c r="H73" s="43"/>
      <c r="I73" s="44"/>
      <c r="J73" s="43"/>
      <c r="L73" s="43"/>
      <c r="M73" s="43"/>
      <c r="N73" s="43"/>
      <c r="Q73" s="43"/>
      <c r="R73" s="43"/>
    </row>
    <row r="74" spans="2:18" x14ac:dyDescent="0.3">
      <c r="C74" s="24"/>
      <c r="H74" s="43"/>
      <c r="I74" s="44"/>
      <c r="J74" s="43"/>
      <c r="L74" s="43"/>
      <c r="M74" s="43"/>
      <c r="N74" s="43"/>
      <c r="Q74" s="43"/>
      <c r="R74" s="43"/>
    </row>
    <row r="75" spans="2:18" x14ac:dyDescent="0.3">
      <c r="C75" s="24"/>
      <c r="H75" s="43"/>
      <c r="I75" s="44"/>
      <c r="J75" s="43"/>
      <c r="L75" s="43"/>
      <c r="M75" s="43"/>
      <c r="N75" s="43"/>
      <c r="Q75" s="43"/>
      <c r="R75" s="43"/>
    </row>
    <row r="76" spans="2:18" x14ac:dyDescent="0.3">
      <c r="C76" s="24"/>
      <c r="H76" s="43"/>
      <c r="I76" s="44"/>
      <c r="J76" s="43"/>
      <c r="L76" s="43"/>
      <c r="M76" s="43"/>
      <c r="N76" s="43"/>
      <c r="Q76" s="43"/>
      <c r="R76" s="43"/>
    </row>
    <row r="77" spans="2:18" x14ac:dyDescent="0.3">
      <c r="C77" s="24"/>
      <c r="H77" s="43"/>
      <c r="I77" s="44"/>
      <c r="J77" s="43"/>
      <c r="L77" s="43"/>
      <c r="M77" s="43"/>
      <c r="N77" s="43"/>
      <c r="Q77" s="43"/>
      <c r="R77" s="43"/>
    </row>
    <row r="78" spans="2:18" x14ac:dyDescent="0.3">
      <c r="C78" s="24"/>
      <c r="H78" s="43"/>
      <c r="I78" s="44"/>
      <c r="J78" s="43"/>
      <c r="L78" s="43"/>
      <c r="M78" s="43"/>
      <c r="N78" s="43"/>
      <c r="Q78" s="43"/>
      <c r="R78" s="43"/>
    </row>
    <row r="79" spans="2:18" x14ac:dyDescent="0.3">
      <c r="C79" s="24"/>
      <c r="H79" s="43"/>
      <c r="I79" s="44"/>
      <c r="J79" s="43"/>
      <c r="L79" s="43"/>
      <c r="M79" s="43"/>
      <c r="N79" s="43"/>
      <c r="Q79" s="43"/>
      <c r="R79" s="43"/>
    </row>
    <row r="80" spans="2:18" x14ac:dyDescent="0.3">
      <c r="C80" s="24"/>
      <c r="H80" s="43"/>
      <c r="I80" s="44"/>
      <c r="J80" s="43"/>
      <c r="L80" s="43"/>
      <c r="M80" s="43"/>
      <c r="N80" s="43"/>
      <c r="Q80" s="43"/>
      <c r="R80" s="43"/>
    </row>
    <row r="81" spans="2:18" x14ac:dyDescent="0.3">
      <c r="C81" s="24"/>
      <c r="H81" s="43"/>
      <c r="I81" s="44"/>
      <c r="J81" s="43"/>
      <c r="L81" s="43"/>
      <c r="M81" s="43"/>
      <c r="N81" s="43"/>
      <c r="Q81" s="43"/>
      <c r="R81" s="43"/>
    </row>
    <row r="82" spans="2:18" x14ac:dyDescent="0.3">
      <c r="C82" s="24"/>
      <c r="H82" s="43"/>
      <c r="I82" s="44"/>
      <c r="J82" s="43"/>
      <c r="L82" s="43"/>
      <c r="M82" s="43"/>
      <c r="N82" s="43"/>
      <c r="Q82" s="43"/>
      <c r="R82" s="43"/>
    </row>
    <row r="83" spans="2:18" x14ac:dyDescent="0.3">
      <c r="C83" s="24"/>
      <c r="H83" s="43"/>
      <c r="I83" s="44"/>
      <c r="J83" s="43"/>
      <c r="L83" s="43"/>
      <c r="M83" s="43"/>
      <c r="N83" s="43"/>
      <c r="Q83" s="43"/>
      <c r="R83" s="43"/>
    </row>
    <row r="84" spans="2:18" x14ac:dyDescent="0.3">
      <c r="C84" s="24"/>
      <c r="H84" s="43"/>
      <c r="I84" s="44"/>
      <c r="J84" s="43"/>
      <c r="L84" s="43"/>
      <c r="M84" s="43"/>
      <c r="N84" s="43"/>
      <c r="Q84" s="43"/>
      <c r="R84" s="43"/>
    </row>
    <row r="85" spans="2:18" x14ac:dyDescent="0.3">
      <c r="C85" s="24"/>
      <c r="H85" s="43"/>
      <c r="I85" s="44"/>
      <c r="J85" s="43"/>
      <c r="L85" s="43"/>
      <c r="M85" s="43"/>
      <c r="N85" s="43"/>
      <c r="Q85" s="43"/>
      <c r="R85" s="43"/>
    </row>
    <row r="86" spans="2:18" x14ac:dyDescent="0.3">
      <c r="C86" s="24"/>
      <c r="H86" s="43"/>
      <c r="I86" s="44"/>
      <c r="J86" s="43"/>
      <c r="L86" s="43"/>
      <c r="M86" s="43"/>
      <c r="N86" s="43"/>
      <c r="Q86" s="43"/>
      <c r="R86" s="43"/>
    </row>
    <row r="87" spans="2:18" x14ac:dyDescent="0.3">
      <c r="C87" s="24"/>
      <c r="H87" s="43"/>
      <c r="I87" s="44"/>
      <c r="J87" s="43"/>
      <c r="L87" s="43"/>
      <c r="M87" s="43"/>
      <c r="N87" s="43"/>
      <c r="Q87" s="43"/>
      <c r="R87" s="43"/>
    </row>
    <row r="88" spans="2:18" x14ac:dyDescent="0.3">
      <c r="C88" s="24"/>
      <c r="H88" s="43"/>
      <c r="I88" s="44"/>
      <c r="J88" s="43"/>
      <c r="L88" s="43"/>
      <c r="M88" s="43"/>
      <c r="N88" s="43"/>
      <c r="Q88" s="43"/>
      <c r="R88" s="43"/>
    </row>
    <row r="89" spans="2:18" x14ac:dyDescent="0.3">
      <c r="C89" s="24"/>
      <c r="H89" s="43"/>
      <c r="I89" s="44"/>
      <c r="J89" s="43"/>
      <c r="L89" s="43"/>
      <c r="M89" s="43"/>
      <c r="N89" s="43"/>
      <c r="Q89" s="43"/>
      <c r="R89" s="43"/>
    </row>
    <row r="90" spans="2:18" x14ac:dyDescent="0.3">
      <c r="C90" s="24"/>
      <c r="H90" s="43"/>
      <c r="I90" s="44"/>
      <c r="J90" s="43"/>
      <c r="L90" s="43"/>
      <c r="M90" s="43"/>
      <c r="N90" s="43"/>
      <c r="Q90" s="43"/>
      <c r="R90" s="43"/>
    </row>
    <row r="91" spans="2:18" x14ac:dyDescent="0.3">
      <c r="B91" s="24" t="str">
        <f>IF(Lang="Français","Textes pour les listes déroulantes et graphiques :",IF(Lang="English","Texts for drop-down lists &amp; graphics :",""))</f>
        <v>Textes pour les listes déroulantes et graphiques :</v>
      </c>
      <c r="H91" s="43"/>
      <c r="I91" s="44"/>
      <c r="J91" s="43"/>
      <c r="L91" s="43"/>
      <c r="M91" s="43"/>
      <c r="N91" s="43"/>
      <c r="Q91" s="43"/>
      <c r="R91" s="43"/>
    </row>
    <row r="92" spans="2:18" x14ac:dyDescent="0.3">
      <c r="H92" s="43"/>
      <c r="I92" s="44"/>
      <c r="J92" s="43"/>
      <c r="L92" s="43"/>
      <c r="M92" s="43"/>
      <c r="N92" s="43"/>
      <c r="Q92" s="43"/>
      <c r="R92" s="43"/>
    </row>
    <row r="93" spans="2:18" x14ac:dyDescent="0.3">
      <c r="B93" s="26" t="s">
        <v>1</v>
      </c>
      <c r="H93" s="43"/>
      <c r="I93" s="44"/>
      <c r="J93" s="43"/>
      <c r="L93" s="43"/>
      <c r="M93" s="43"/>
      <c r="N93" s="43"/>
      <c r="Q93" s="43"/>
      <c r="R93" s="43"/>
    </row>
    <row r="94" spans="2:18" x14ac:dyDescent="0.3">
      <c r="B94" s="26" t="s">
        <v>68</v>
      </c>
      <c r="H94" s="43"/>
      <c r="I94" s="44"/>
      <c r="J94" s="43"/>
      <c r="L94" s="43"/>
      <c r="M94" s="43"/>
      <c r="N94" s="43"/>
      <c r="Q94" s="43"/>
      <c r="R94" s="43"/>
    </row>
    <row r="95" spans="2:18" x14ac:dyDescent="0.3">
      <c r="B95" s="26"/>
      <c r="H95" s="43"/>
      <c r="I95" s="44"/>
      <c r="J95" s="43"/>
      <c r="L95" s="43"/>
      <c r="M95" s="43"/>
      <c r="N95" s="43"/>
      <c r="Q95" s="43"/>
      <c r="R95" s="43"/>
    </row>
    <row r="96" spans="2:18" x14ac:dyDescent="0.3">
      <c r="B96" s="26" t="str">
        <f>IF(Lang="Français","Fusée à eau  ",IF(Lang="English","Water-rocket  ",""))</f>
        <v xml:space="preserve">Fusée à eau  </v>
      </c>
      <c r="H96" s="43"/>
      <c r="I96" s="44"/>
      <c r="J96" s="43"/>
      <c r="L96" s="43"/>
      <c r="M96" s="43"/>
      <c r="N96" s="43"/>
      <c r="Q96" s="43"/>
      <c r="R96" s="43"/>
    </row>
    <row r="97" spans="2:18" x14ac:dyDescent="0.3">
      <c r="B97" s="26" t="str">
        <f>IF(Lang="Français","Microfusée",IF(Lang="English","Micro-rocket",""))</f>
        <v>Microfusée</v>
      </c>
      <c r="H97" s="43"/>
      <c r="I97" s="44"/>
      <c r="J97" s="43"/>
      <c r="L97" s="43"/>
      <c r="M97" s="43"/>
      <c r="N97" s="43"/>
      <c r="Q97" s="43"/>
      <c r="R97" s="43"/>
    </row>
    <row r="98" spans="2:18" x14ac:dyDescent="0.3">
      <c r="B98" s="26" t="str">
        <f>IF(Lang="Français","Minifusée",IF(Lang="English","Mini-rocket",""))</f>
        <v>Minifusée</v>
      </c>
      <c r="H98" s="43"/>
      <c r="I98" s="44"/>
      <c r="J98" s="43"/>
      <c r="L98" s="43"/>
      <c r="M98" s="43"/>
      <c r="N98" s="43"/>
      <c r="Q98" s="43"/>
      <c r="R98" s="43"/>
    </row>
    <row r="99" spans="2:18" x14ac:dyDescent="0.3">
      <c r="B99" s="26" t="s">
        <v>397</v>
      </c>
      <c r="H99" s="43"/>
      <c r="I99" s="44"/>
      <c r="J99" s="43"/>
      <c r="L99" s="43"/>
      <c r="M99" s="43"/>
      <c r="N99" s="43"/>
      <c r="Q99" s="43"/>
      <c r="R99" s="43"/>
    </row>
    <row r="100" spans="2:18" x14ac:dyDescent="0.3">
      <c r="B100" s="26" t="str">
        <f>IF(Lang="Français","Fusée expérimentale.",IF(Lang="English","Experimental Rocket.",""))</f>
        <v>Fusée expérimentale.</v>
      </c>
      <c r="H100" s="43"/>
      <c r="I100" s="44"/>
      <c r="J100" s="43"/>
      <c r="L100" s="43"/>
      <c r="M100" s="43"/>
      <c r="N100" s="43"/>
      <c r="Q100" s="43"/>
      <c r="R100" s="43"/>
    </row>
    <row r="101" spans="2:18" x14ac:dyDescent="0.3">
      <c r="B101" s="26" t="s">
        <v>398</v>
      </c>
      <c r="H101" s="43"/>
      <c r="I101" s="44"/>
      <c r="J101" s="43"/>
      <c r="L101" s="43"/>
      <c r="M101" s="43"/>
      <c r="N101" s="43"/>
      <c r="Q101" s="43"/>
      <c r="R101" s="43"/>
    </row>
    <row r="102" spans="2:18" x14ac:dyDescent="0.3">
      <c r="B102" s="26"/>
      <c r="H102" s="43"/>
      <c r="I102" s="44"/>
      <c r="J102" s="43"/>
      <c r="L102" s="43"/>
      <c r="M102" s="43"/>
      <c r="N102" s="43"/>
      <c r="Q102" s="43"/>
      <c r="R102" s="43"/>
    </row>
    <row r="103" spans="2:18" x14ac:dyDescent="0.3">
      <c r="B103" s="26" t="str">
        <f>IF(Lang="Français","sans propu",IF(Lang="English","without motor",""))</f>
        <v>sans propu</v>
      </c>
      <c r="H103" s="43"/>
      <c r="I103" s="44"/>
      <c r="J103" s="43"/>
      <c r="L103" s="43"/>
      <c r="M103" s="43"/>
      <c r="N103" s="43"/>
      <c r="Q103" s="43"/>
      <c r="R103" s="43"/>
    </row>
    <row r="104" spans="2:18" x14ac:dyDescent="0.3">
      <c r="B104" s="26" t="str">
        <f>IF(Lang="Français","avec propu vide",IF(Lang="English","with empty motor",""))</f>
        <v>avec propu vide</v>
      </c>
      <c r="H104" s="43"/>
      <c r="I104" s="44"/>
      <c r="J104" s="43"/>
      <c r="L104" s="43"/>
      <c r="M104" s="43"/>
      <c r="N104" s="43"/>
      <c r="Q104" s="43"/>
      <c r="R104" s="43"/>
    </row>
    <row r="105" spans="2:18" x14ac:dyDescent="0.3">
      <c r="B105" s="26" t="str">
        <f>IF(Lang="Français","avec propu plein",IF(Lang="English","with loaded motor",""))</f>
        <v>avec propu plein</v>
      </c>
      <c r="H105" s="43"/>
      <c r="I105" s="44"/>
      <c r="J105" s="43"/>
      <c r="L105" s="43"/>
      <c r="M105" s="43"/>
      <c r="N105" s="43"/>
      <c r="Q105" s="43"/>
      <c r="R105" s="43"/>
    </row>
    <row r="106" spans="2:18" x14ac:dyDescent="0.3">
      <c r="B106" s="26"/>
      <c r="H106" s="43"/>
      <c r="I106" s="44"/>
      <c r="J106" s="43"/>
      <c r="L106" s="43"/>
      <c r="M106" s="43"/>
      <c r="N106" s="43"/>
      <c r="Q106" s="43"/>
      <c r="R106" s="43"/>
    </row>
    <row r="107" spans="2:18" x14ac:dyDescent="0.3">
      <c r="B107" s="26" t="str">
        <f>IF(Lang="Français","Parabolique (arrondie)",IF(Lang="English","Parabola (rounded)",""))</f>
        <v>Parabolique (arrondie)</v>
      </c>
      <c r="H107" s="43"/>
      <c r="I107" s="44"/>
      <c r="J107" s="43"/>
      <c r="L107" s="43"/>
      <c r="M107" s="43"/>
      <c r="N107" s="43"/>
      <c r="Q107" s="43"/>
      <c r="R107" s="43"/>
    </row>
    <row r="108" spans="2:18" x14ac:dyDescent="0.3">
      <c r="B108" s="26" t="str">
        <f>IF(Lang="Français","Ogivale (pointue)",IF(Lang="English","Ogive (sharp)",""))</f>
        <v>Ogivale (pointue)</v>
      </c>
      <c r="H108" s="43"/>
      <c r="I108" s="44"/>
      <c r="J108" s="43"/>
      <c r="L108" s="43"/>
      <c r="M108" s="43"/>
      <c r="N108" s="43"/>
      <c r="Q108" s="43"/>
      <c r="R108" s="43"/>
    </row>
    <row r="109" spans="2:18" x14ac:dyDescent="0.3">
      <c r="B109" s="26" t="str">
        <f>IF(Lang="Français","Conique (droite)",IF(Lang="English","Cone (straight)",""))</f>
        <v>Conique (droite)</v>
      </c>
      <c r="H109" s="43"/>
      <c r="I109" s="44"/>
      <c r="J109" s="43"/>
      <c r="L109" s="43"/>
      <c r="M109" s="43"/>
      <c r="N109" s="43"/>
      <c r="Q109" s="43"/>
      <c r="R109" s="43"/>
    </row>
    <row r="110" spans="2:18" x14ac:dyDescent="0.3">
      <c r="B110" s="38"/>
      <c r="H110" s="43"/>
      <c r="I110" s="44"/>
      <c r="J110" s="43"/>
      <c r="L110" s="43"/>
      <c r="M110" s="43"/>
      <c r="N110" s="43"/>
      <c r="Q110" s="43"/>
      <c r="R110" s="43"/>
    </row>
    <row r="111" spans="2:18" x14ac:dyDescent="0.3">
      <c r="B111" s="38" t="s">
        <v>424</v>
      </c>
      <c r="H111" s="43"/>
      <c r="I111" s="44"/>
      <c r="J111" s="43"/>
      <c r="L111" s="43"/>
      <c r="M111" s="43"/>
      <c r="N111" s="43"/>
      <c r="Q111" s="43"/>
      <c r="R111" s="43"/>
    </row>
    <row r="112" spans="2:18" x14ac:dyDescent="0.3">
      <c r="B112" s="38" t="s">
        <v>425</v>
      </c>
      <c r="H112" s="43"/>
      <c r="I112" s="44"/>
      <c r="J112" s="43"/>
      <c r="L112" s="43"/>
      <c r="M112" s="43"/>
      <c r="N112" s="43"/>
      <c r="Q112" s="43"/>
      <c r="R112" s="43"/>
    </row>
    <row r="113" spans="2:18" x14ac:dyDescent="0.3">
      <c r="B113" s="38"/>
      <c r="H113" s="43"/>
      <c r="I113" s="44"/>
      <c r="J113" s="43"/>
      <c r="L113" s="43"/>
      <c r="M113" s="43"/>
      <c r="N113" s="43"/>
      <c r="Q113" s="43"/>
      <c r="R113" s="43"/>
    </row>
    <row r="114" spans="2:18" x14ac:dyDescent="0.3">
      <c r="B114" s="38" t="str">
        <f>IF(Lang="Français","Fusée mono-diamètre,",IF(Lang="English","Mono-diameter rocket,",""))</f>
        <v>Fusée mono-diamètre,</v>
      </c>
      <c r="H114" s="43"/>
      <c r="I114" s="44"/>
      <c r="J114" s="43"/>
      <c r="L114" s="43"/>
      <c r="M114" s="43"/>
      <c r="N114" s="43"/>
      <c r="Q114" s="43"/>
      <c r="R114" s="43"/>
    </row>
    <row r="115" spans="2:18" x14ac:dyDescent="0.3">
      <c r="B115" s="38" t="str">
        <f>IF(Lang="Français","Plusieurs diamètres.",IF(Lang="English","Many diameters rocket.",""))</f>
        <v>Plusieurs diamètres.</v>
      </c>
      <c r="H115" s="43"/>
      <c r="I115" s="44"/>
      <c r="J115" s="43"/>
      <c r="L115" s="43"/>
      <c r="M115" s="43"/>
      <c r="N115" s="43"/>
      <c r="Q115" s="43"/>
      <c r="R115" s="43"/>
    </row>
    <row r="116" spans="2:18" x14ac:dyDescent="0.3">
      <c r="B116" s="38"/>
      <c r="H116" s="43"/>
      <c r="I116" s="44"/>
      <c r="J116" s="43"/>
      <c r="L116" s="43"/>
      <c r="M116" s="43"/>
      <c r="N116" s="43"/>
      <c r="Q116" s="43"/>
      <c r="R116" s="43"/>
    </row>
    <row r="117" spans="2:18" x14ac:dyDescent="0.3">
      <c r="B117" s="223" t="str">
        <f>IF(Lang="Français","Diagramme des critères de stabilité","Stability criterions diagram")</f>
        <v>Diagramme des critères de stabilité</v>
      </c>
      <c r="H117" s="43"/>
      <c r="I117" s="44"/>
      <c r="J117" s="43"/>
      <c r="L117" s="43"/>
      <c r="M117" s="43"/>
      <c r="N117" s="43"/>
      <c r="Q117" s="43"/>
      <c r="R117" s="43"/>
    </row>
    <row r="118" spans="2:18" x14ac:dyDescent="0.3">
      <c r="B118" s="223" t="str">
        <f>IF(Lang="Français","Marge Statique (MS)","Static Margin")</f>
        <v>Marge Statique (MS)</v>
      </c>
      <c r="H118" s="43"/>
      <c r="I118" s="44"/>
      <c r="J118" s="43"/>
      <c r="L118" s="43"/>
      <c r="M118" s="43"/>
      <c r="N118" s="43"/>
      <c r="Q118" s="43"/>
      <c r="R118" s="43"/>
    </row>
    <row r="119" spans="2:18" x14ac:dyDescent="0.3">
      <c r="B119" s="223" t="str">
        <f>IF(Lang="Français","Portance Cnα","Lift Cnα")</f>
        <v>Portance Cnα</v>
      </c>
      <c r="H119" s="43"/>
      <c r="I119" s="44"/>
      <c r="J119" s="43"/>
      <c r="L119" s="43"/>
      <c r="M119" s="43"/>
      <c r="N119" s="43"/>
      <c r="Q119" s="43"/>
      <c r="R119" s="43"/>
    </row>
    <row r="120" spans="2:18" x14ac:dyDescent="0.3">
      <c r="B120" s="38"/>
      <c r="H120" s="43"/>
      <c r="I120" s="44"/>
      <c r="J120" s="43"/>
      <c r="L120" s="43"/>
      <c r="M120" s="43"/>
      <c r="N120" s="43"/>
      <c r="Q120" s="43"/>
      <c r="R120" s="43"/>
    </row>
    <row r="121" spans="2:18" x14ac:dyDescent="0.3">
      <c r="B121" s="24" t="str">
        <f>IF(Lang="Français","Données pour les graphiques :",IF(Lang="English","Data for plots:",""))</f>
        <v>Données pour les graphiques :</v>
      </c>
      <c r="H121" s="43"/>
      <c r="I121" s="44"/>
      <c r="J121" s="43"/>
      <c r="L121" s="43"/>
      <c r="M121" s="43"/>
      <c r="N121" s="43"/>
      <c r="Q121" s="43"/>
      <c r="R121" s="43"/>
    </row>
    <row r="122" spans="2:18" x14ac:dyDescent="0.3">
      <c r="H122" s="43"/>
      <c r="I122" s="44"/>
      <c r="J122" s="43"/>
      <c r="L122" s="43"/>
      <c r="M122" s="43"/>
      <c r="N122" s="43"/>
      <c r="Q122" s="43"/>
      <c r="R122" s="43"/>
    </row>
    <row r="123" spans="2:18" x14ac:dyDescent="0.3">
      <c r="B123" s="45"/>
      <c r="C123" s="45" t="s">
        <v>69</v>
      </c>
      <c r="D123" s="45" t="s">
        <v>70</v>
      </c>
      <c r="E123" s="92" t="s">
        <v>71</v>
      </c>
      <c r="K123" s="45"/>
      <c r="R123" s="43"/>
    </row>
    <row r="124" spans="2:18" x14ac:dyDescent="0.3">
      <c r="B124" s="45" t="s">
        <v>73</v>
      </c>
      <c r="C124" s="46">
        <f>-Long_ogive</f>
        <v>-280</v>
      </c>
      <c r="D124" s="46">
        <v>0</v>
      </c>
      <c r="E124" s="93">
        <f t="shared" ref="E124:E136" si="0">-D124</f>
        <v>0</v>
      </c>
      <c r="K124" s="46"/>
    </row>
    <row r="125" spans="2:18" x14ac:dyDescent="0.3">
      <c r="B125" s="45" t="s">
        <v>73</v>
      </c>
      <c r="C125" s="46">
        <f>-Long_ogive</f>
        <v>-280</v>
      </c>
      <c r="D125" s="46">
        <f>D_og/2</f>
        <v>32</v>
      </c>
      <c r="E125" s="93">
        <f t="shared" si="0"/>
        <v>-32</v>
      </c>
      <c r="K125" s="46"/>
    </row>
    <row r="126" spans="2:18" x14ac:dyDescent="0.3">
      <c r="B126" s="45" t="s">
        <v>74</v>
      </c>
      <c r="C126" s="46">
        <f>IF(AND(RIGHT(Nb_diam,1)=".",X_j), -X_j, C125 )</f>
        <v>-500</v>
      </c>
      <c r="D126" s="46">
        <f>IF(AND(RIGHT(Nb_diam,1)=".",X_j), D1j/2, D125 )</f>
        <v>32</v>
      </c>
      <c r="E126" s="93">
        <f t="shared" si="0"/>
        <v>-32</v>
      </c>
      <c r="K126" s="46"/>
    </row>
    <row r="127" spans="2:18" x14ac:dyDescent="0.3">
      <c r="B127" s="45" t="s">
        <v>75</v>
      </c>
      <c r="C127" s="46">
        <f>IF(AND(RIGHT(Nb_diam,1)=".",X_j), -X_j-l_j, C126 )</f>
        <v>-550</v>
      </c>
      <c r="D127" s="46">
        <f>IF(AND(RIGHT(Nb_diam,1)=".",X_j), D2j/2, D126 )</f>
        <v>32</v>
      </c>
      <c r="E127" s="93">
        <f t="shared" si="0"/>
        <v>-32</v>
      </c>
      <c r="K127" s="46"/>
    </row>
    <row r="128" spans="2:18" x14ac:dyDescent="0.3">
      <c r="B128" s="45" t="s">
        <v>76</v>
      </c>
      <c r="C128" s="46">
        <f>IF(AND(RIGHT(Nb_diam,1)=".",X_r), -X_r, C127 )</f>
        <v>-1000</v>
      </c>
      <c r="D128" s="46">
        <f>IF(AND(RIGHT(Nb_diam,1)=".",X_r), D1r/2, D127 )</f>
        <v>32</v>
      </c>
      <c r="E128" s="93">
        <f t="shared" si="0"/>
        <v>-32</v>
      </c>
      <c r="K128" s="46"/>
    </row>
    <row r="129" spans="2:11" x14ac:dyDescent="0.3">
      <c r="B129" s="45" t="s">
        <v>77</v>
      </c>
      <c r="C129" s="46">
        <f>IF(AND(RIGHT(Nb_diam,1)=".",X_r), -X_r-l_r, C128 )</f>
        <v>-1050</v>
      </c>
      <c r="D129" s="46">
        <f>IF(AND(RIGHT(Nb_diam,1)=".",X_r), D2r/2, D128 )</f>
        <v>22.5</v>
      </c>
      <c r="E129" s="93">
        <f t="shared" si="0"/>
        <v>-22.5</v>
      </c>
      <c r="K129" s="46"/>
    </row>
    <row r="130" spans="2:11" x14ac:dyDescent="0.3">
      <c r="B130" s="45" t="s">
        <v>78</v>
      </c>
      <c r="C130" s="46">
        <f>-Long_tot</f>
        <v>-1050</v>
      </c>
      <c r="D130" s="46">
        <f>D129</f>
        <v>22.5</v>
      </c>
      <c r="E130" s="93">
        <f t="shared" si="0"/>
        <v>-22.5</v>
      </c>
      <c r="K130" s="46"/>
    </row>
    <row r="131" spans="2:11" x14ac:dyDescent="0.3">
      <c r="B131" s="45" t="s">
        <v>78</v>
      </c>
      <c r="C131" s="46">
        <f>-Long_tot</f>
        <v>-1050</v>
      </c>
      <c r="D131" s="46">
        <v>0</v>
      </c>
      <c r="E131" s="93">
        <f t="shared" si="0"/>
        <v>0</v>
      </c>
      <c r="K131" s="46"/>
    </row>
    <row r="132" spans="2:11" x14ac:dyDescent="0.3">
      <c r="B132" s="183" t="s">
        <v>79</v>
      </c>
      <c r="C132" s="197">
        <f>-X_ail+m_ail</f>
        <v>-822</v>
      </c>
      <c r="D132" s="197">
        <f>D_ail/2</f>
        <v>32</v>
      </c>
      <c r="E132" s="198">
        <f t="shared" si="0"/>
        <v>-32</v>
      </c>
      <c r="K132" s="46"/>
    </row>
    <row r="133" spans="2:11" x14ac:dyDescent="0.3">
      <c r="B133" s="185" t="s">
        <v>80</v>
      </c>
      <c r="C133" s="46">
        <f>-X_ail+m_ail-p_ail</f>
        <v>-962</v>
      </c>
      <c r="D133" s="46">
        <f>D_ail/2+E_ail</f>
        <v>132</v>
      </c>
      <c r="E133" s="199">
        <f t="shared" si="0"/>
        <v>-132</v>
      </c>
      <c r="K133" s="46"/>
    </row>
    <row r="134" spans="2:11" x14ac:dyDescent="0.3">
      <c r="B134" s="185" t="s">
        <v>81</v>
      </c>
      <c r="C134" s="46">
        <f>-X_ail+m_ail-p_ail-n_ail</f>
        <v>-1042</v>
      </c>
      <c r="D134" s="46">
        <f>D_ail/2+E_ail</f>
        <v>132</v>
      </c>
      <c r="E134" s="199">
        <f t="shared" si="0"/>
        <v>-132</v>
      </c>
      <c r="K134" s="46"/>
    </row>
    <row r="135" spans="2:11" x14ac:dyDescent="0.3">
      <c r="B135" s="185" t="s">
        <v>82</v>
      </c>
      <c r="C135" s="46">
        <f>-X_ail</f>
        <v>-1000</v>
      </c>
      <c r="D135" s="46">
        <f>D_ail/2</f>
        <v>32</v>
      </c>
      <c r="E135" s="199">
        <f t="shared" si="0"/>
        <v>-32</v>
      </c>
      <c r="K135" s="46"/>
    </row>
    <row r="136" spans="2:11" x14ac:dyDescent="0.3">
      <c r="B136" s="187" t="s">
        <v>79</v>
      </c>
      <c r="C136" s="200">
        <f>-X_ail+m_ail</f>
        <v>-822</v>
      </c>
      <c r="D136" s="200">
        <f>D_ail/2</f>
        <v>32</v>
      </c>
      <c r="E136" s="201">
        <f t="shared" si="0"/>
        <v>-32</v>
      </c>
      <c r="K136" s="46"/>
    </row>
    <row r="137" spans="2:11" x14ac:dyDescent="0.3">
      <c r="B137" s="192" t="str">
        <f>IF(E_ail&gt;0,IF(Lang="Français","Envergure","Span"),"")</f>
        <v>Envergure</v>
      </c>
      <c r="C137" s="197">
        <f>MIN(-X_ail,-X_ail+m_ail-p_ail-n_ail)-Long_tot/30</f>
        <v>-1077</v>
      </c>
      <c r="D137" s="207">
        <f>-D_ail/2-E_ail</f>
        <v>-132</v>
      </c>
      <c r="E137" s="93"/>
      <c r="K137" s="46"/>
    </row>
    <row r="138" spans="2:11" x14ac:dyDescent="0.3">
      <c r="B138" s="195" t="s">
        <v>167</v>
      </c>
      <c r="C138" s="46">
        <f>MIN(-X_ail,-X_ail+m_ail-p_ail-n_ail)-Long_tot/30</f>
        <v>-1077</v>
      </c>
      <c r="D138" s="208">
        <f>-D_ail/2-E_ail/2</f>
        <v>-82</v>
      </c>
      <c r="E138" s="93"/>
      <c r="K138" s="46"/>
    </row>
    <row r="139" spans="2:11" x14ac:dyDescent="0.3">
      <c r="B139" s="212" t="s">
        <v>163</v>
      </c>
      <c r="C139" s="200">
        <f>MIN(-X_ail,-X_ail+m_ail-p_ail-n_ail)-Long_tot/30</f>
        <v>-1077</v>
      </c>
      <c r="D139" s="209">
        <f>-D_ail/2</f>
        <v>-32</v>
      </c>
      <c r="E139" s="93"/>
      <c r="K139" s="46"/>
    </row>
    <row r="140" spans="2:11" x14ac:dyDescent="0.3">
      <c r="B140" s="192" t="str">
        <f>IF(Lang="Français","Emplanture","Root edge")</f>
        <v>Emplanture</v>
      </c>
      <c r="C140" s="197">
        <f>-X_ail+m_ail</f>
        <v>-822</v>
      </c>
      <c r="D140" s="207">
        <f>D_ail/2+E_ail+Long_tot/20</f>
        <v>184.5</v>
      </c>
      <c r="E140" s="93"/>
      <c r="K140" s="46"/>
    </row>
    <row r="141" spans="2:11" x14ac:dyDescent="0.3">
      <c r="B141" s="195" t="s">
        <v>169</v>
      </c>
      <c r="C141" s="46">
        <f>-X_ail+m_ail/2</f>
        <v>-911</v>
      </c>
      <c r="D141" s="208">
        <f>D_ail/2+E_ail+Long_tot/20</f>
        <v>184.5</v>
      </c>
      <c r="E141" s="93"/>
      <c r="K141" s="46"/>
    </row>
    <row r="142" spans="2:11" x14ac:dyDescent="0.3">
      <c r="B142" s="212" t="s">
        <v>170</v>
      </c>
      <c r="C142" s="200">
        <f>-X_ail</f>
        <v>-1000</v>
      </c>
      <c r="D142" s="209">
        <f>D_ail/2+E_ail+Long_tot/20</f>
        <v>184.5</v>
      </c>
      <c r="E142" s="93"/>
      <c r="K142" s="46"/>
    </row>
    <row r="143" spans="2:11" x14ac:dyDescent="0.3">
      <c r="B143" s="192" t="str">
        <f>IF(p_ail&lt;&gt;0,IF(Lang="Français","Flèche","Offset"),"")</f>
        <v>Flèche</v>
      </c>
      <c r="C143" s="197">
        <f>-X_ail+m_ail</f>
        <v>-822</v>
      </c>
      <c r="D143" s="207">
        <f>-D_ail/2-E_ail-Long_tot/30</f>
        <v>-167</v>
      </c>
      <c r="E143" s="93"/>
      <c r="K143" s="46"/>
    </row>
    <row r="144" spans="2:11" x14ac:dyDescent="0.3">
      <c r="B144" s="195" t="s">
        <v>166</v>
      </c>
      <c r="C144" s="46">
        <f>-X_ail+m_ail-p_ail/2</f>
        <v>-892</v>
      </c>
      <c r="D144" s="208">
        <f>-D_ail/2-E_ail-Long_tot/30</f>
        <v>-167</v>
      </c>
      <c r="E144" s="93"/>
      <c r="K144" s="46"/>
    </row>
    <row r="145" spans="2:11" x14ac:dyDescent="0.3">
      <c r="B145" s="212" t="s">
        <v>164</v>
      </c>
      <c r="C145" s="200">
        <f>-X_ail+m_ail-p_ail</f>
        <v>-962</v>
      </c>
      <c r="D145" s="209">
        <f>-D_ail/2-E_ail-Long_tot/30</f>
        <v>-167</v>
      </c>
      <c r="E145" s="93"/>
      <c r="K145" s="46"/>
    </row>
    <row r="146" spans="2:11" x14ac:dyDescent="0.3">
      <c r="B146" s="192" t="str">
        <f>IF(n_ail&gt;0,IF(Lang="Français","Saumon","Tip edge"),"")</f>
        <v>Saumon</v>
      </c>
      <c r="C146" s="197">
        <f>-X_ail+m_ail-p_ail</f>
        <v>-962</v>
      </c>
      <c r="D146" s="207">
        <f>-D_ail/2-E_ail-Long_tot/20</f>
        <v>-184.5</v>
      </c>
      <c r="E146" s="93"/>
      <c r="K146" s="46"/>
    </row>
    <row r="147" spans="2:11" x14ac:dyDescent="0.3">
      <c r="B147" s="195" t="s">
        <v>168</v>
      </c>
      <c r="C147" s="46">
        <f>-X_ail+m_ail-p_ail-n_ail/2</f>
        <v>-1002</v>
      </c>
      <c r="D147" s="208">
        <f>-D_ail/2-E_ail-Long_tot/20</f>
        <v>-184.5</v>
      </c>
      <c r="E147" s="93"/>
      <c r="K147" s="46"/>
    </row>
    <row r="148" spans="2:11" x14ac:dyDescent="0.3">
      <c r="B148" s="212" t="s">
        <v>165</v>
      </c>
      <c r="C148" s="200">
        <f>-X_ail+m_ail-p_ail-n_ail</f>
        <v>-1042</v>
      </c>
      <c r="D148" s="209">
        <f>-D_ail/2-E_ail-Long_tot/20</f>
        <v>-184.5</v>
      </c>
      <c r="E148" s="93"/>
      <c r="K148" s="46"/>
    </row>
    <row r="149" spans="2:11" x14ac:dyDescent="0.3">
      <c r="B149" s="183" t="s">
        <v>83</v>
      </c>
      <c r="C149" s="197">
        <f ca="1">-XcgPlein</f>
        <v>-634.1341728783741</v>
      </c>
      <c r="D149" s="207">
        <v>0</v>
      </c>
      <c r="E149" s="93"/>
      <c r="K149" s="46"/>
    </row>
    <row r="150" spans="2:11" x14ac:dyDescent="0.3">
      <c r="B150" s="187" t="s">
        <v>84</v>
      </c>
      <c r="C150" s="200">
        <f ca="1">-XcgVide</f>
        <v>-623.18514609221324</v>
      </c>
      <c r="D150" s="209">
        <v>0</v>
      </c>
      <c r="E150" s="93"/>
      <c r="K150" s="46"/>
    </row>
    <row r="151" spans="2:11" x14ac:dyDescent="0.3">
      <c r="B151" s="183" t="s">
        <v>85</v>
      </c>
      <c r="C151" s="197">
        <f>-XCp</f>
        <v>-841.56863797452036</v>
      </c>
      <c r="D151" s="207">
        <v>0</v>
      </c>
      <c r="E151" s="93"/>
      <c r="K151" s="46"/>
    </row>
    <row r="152" spans="2:11" x14ac:dyDescent="0.3">
      <c r="B152" s="187" t="s">
        <v>85</v>
      </c>
      <c r="C152" s="200">
        <f>-XCp</f>
        <v>-841.56863797452036</v>
      </c>
      <c r="D152" s="209">
        <f>Cn*D_ref/CritCnmin</f>
        <v>88.784420956092845</v>
      </c>
      <c r="E152" s="93"/>
      <c r="K152" s="46"/>
    </row>
    <row r="153" spans="2:11" x14ac:dyDescent="0.3">
      <c r="B153" s="185" t="s">
        <v>422</v>
      </c>
      <c r="C153" s="46">
        <f>-XCp0</f>
        <v>-841.56863797452036</v>
      </c>
      <c r="D153" s="208">
        <f>Cn0*D_ref/CritCnmin</f>
        <v>88.784420956092845</v>
      </c>
      <c r="E153" s="93"/>
      <c r="K153" s="46"/>
    </row>
    <row r="154" spans="2:11" x14ac:dyDescent="0.3">
      <c r="B154" s="185" t="s">
        <v>422</v>
      </c>
      <c r="C154" s="46">
        <f>-XCp0</f>
        <v>-841.56863797452036</v>
      </c>
      <c r="D154" s="208">
        <v>0</v>
      </c>
      <c r="E154" s="93"/>
      <c r="K154" s="46"/>
    </row>
    <row r="155" spans="2:11" x14ac:dyDescent="0.3">
      <c r="B155" s="192" t="str">
        <f>IF(n_ail&gt;0,IF(Lang="Français","Marge Statique","Static Margin"),"")</f>
        <v>Marge Statique</v>
      </c>
      <c r="C155" s="197">
        <f ca="1">(-XcgPlein-XcgVide)/2</f>
        <v>-628.65965948529367</v>
      </c>
      <c r="D155" s="207">
        <f>-D_ail/2-E_ail-Long_tot/20</f>
        <v>-184.5</v>
      </c>
      <c r="E155" s="93"/>
      <c r="K155" s="46"/>
    </row>
    <row r="156" spans="2:11" x14ac:dyDescent="0.3">
      <c r="B156" s="195" t="s">
        <v>171</v>
      </c>
      <c r="C156" s="46">
        <f ca="1">(C155+C157)/2</f>
        <v>-735.11414872990701</v>
      </c>
      <c r="D156" s="208">
        <f>-D_ail/2-E_ail-Long_tot/20</f>
        <v>-184.5</v>
      </c>
      <c r="E156" s="93"/>
      <c r="K156" s="46"/>
    </row>
    <row r="157" spans="2:11" x14ac:dyDescent="0.3">
      <c r="B157" s="212" t="s">
        <v>172</v>
      </c>
      <c r="C157" s="200">
        <f>-XCp</f>
        <v>-841.56863797452036</v>
      </c>
      <c r="D157" s="209">
        <f>-D_ail/2-E_ail-Long_tot/20</f>
        <v>-184.5</v>
      </c>
      <c r="E157" s="93"/>
      <c r="K157" s="46"/>
    </row>
    <row r="158" spans="2:11" x14ac:dyDescent="0.3">
      <c r="B158" s="183" t="s">
        <v>86</v>
      </c>
      <c r="C158" s="197">
        <f>IF(LEFT(Type_masquage,1)="M",0,-X_can+m_can)</f>
        <v>0</v>
      </c>
      <c r="D158" s="197">
        <f>IF(LEFT(Type_masquage,1)="M",0,D_ail/2)</f>
        <v>0</v>
      </c>
      <c r="E158" s="198">
        <f t="shared" ref="E158:E167" si="1">-D158</f>
        <v>0</v>
      </c>
      <c r="K158" s="46"/>
    </row>
    <row r="159" spans="2:11" x14ac:dyDescent="0.3">
      <c r="B159" s="185" t="s">
        <v>87</v>
      </c>
      <c r="C159" s="46">
        <f>IF(LEFT(Type_masquage,1)="M",0,-X_can+m_can-p_can)</f>
        <v>0</v>
      </c>
      <c r="D159" s="46">
        <f>IF(LEFT(Type_masquage,1)="M",0,D_ail/2+E_can)</f>
        <v>0</v>
      </c>
      <c r="E159" s="199">
        <f t="shared" si="1"/>
        <v>0</v>
      </c>
      <c r="K159" s="46"/>
    </row>
    <row r="160" spans="2:11" x14ac:dyDescent="0.3">
      <c r="B160" s="185" t="s">
        <v>88</v>
      </c>
      <c r="C160" s="46">
        <f>IF(LEFT(Type_masquage,1)="M",0,-X_can+m_can-p_can-n_can)</f>
        <v>0</v>
      </c>
      <c r="D160" s="46">
        <f>IF(LEFT(Type_masquage,1)="M",0,D_ail/2+E_can)</f>
        <v>0</v>
      </c>
      <c r="E160" s="199">
        <f t="shared" si="1"/>
        <v>0</v>
      </c>
      <c r="K160" s="46"/>
    </row>
    <row r="161" spans="2:11" x14ac:dyDescent="0.3">
      <c r="B161" s="185" t="s">
        <v>89</v>
      </c>
      <c r="C161" s="46">
        <f>IF(LEFT(Type_masquage,1)="M",0,-X_can)</f>
        <v>0</v>
      </c>
      <c r="D161" s="46">
        <f>IF(LEFT(Type_masquage,1)="M",0,D_ail/2)</f>
        <v>0</v>
      </c>
      <c r="E161" s="199">
        <f t="shared" si="1"/>
        <v>0</v>
      </c>
      <c r="K161" s="46"/>
    </row>
    <row r="162" spans="2:11" x14ac:dyDescent="0.3">
      <c r="B162" s="187" t="s">
        <v>86</v>
      </c>
      <c r="C162" s="200">
        <f>IF(LEFT(Type_masquage,1)="M",0,-X_can+m_can)</f>
        <v>0</v>
      </c>
      <c r="D162" s="200">
        <f>IF(LEFT(Type_masquage,1)="M",0,D_ail/2)</f>
        <v>0</v>
      </c>
      <c r="E162" s="201">
        <f t="shared" si="1"/>
        <v>0</v>
      </c>
      <c r="K162" s="46"/>
    </row>
    <row r="163" spans="2:11" x14ac:dyDescent="0.3">
      <c r="B163" s="183" t="s">
        <v>90</v>
      </c>
      <c r="C163" s="197">
        <f>IF(LEFT(Type_masquage,1)="B",-X_int+m_int,0)</f>
        <v>0</v>
      </c>
      <c r="D163" s="197">
        <f>IF(LEFT(Type_masquage,1)="B",D_int/2,0)</f>
        <v>0</v>
      </c>
      <c r="E163" s="198">
        <f t="shared" si="1"/>
        <v>0</v>
      </c>
      <c r="K163" s="46"/>
    </row>
    <row r="164" spans="2:11" x14ac:dyDescent="0.3">
      <c r="B164" s="185" t="s">
        <v>91</v>
      </c>
      <c r="C164" s="46">
        <f>IF(LEFT(Type_masquage,1)="B",-X_int+m_int-p_int,0)</f>
        <v>0</v>
      </c>
      <c r="D164" s="46">
        <f>IF(LEFT(Type_masquage,1)="B",D_int/2+E_int,0)</f>
        <v>0</v>
      </c>
      <c r="E164" s="199">
        <f t="shared" si="1"/>
        <v>0</v>
      </c>
      <c r="K164" s="46"/>
    </row>
    <row r="165" spans="2:11" x14ac:dyDescent="0.3">
      <c r="B165" s="185" t="s">
        <v>92</v>
      </c>
      <c r="C165" s="46">
        <f>IF(LEFT(Type_masquage,1)="B",-X_int+m_int-p_int-n_int,0)</f>
        <v>0</v>
      </c>
      <c r="D165" s="46">
        <f>IF(LEFT(Type_masquage,1)="B",D_int/2+E_int,0)</f>
        <v>0</v>
      </c>
      <c r="E165" s="199">
        <f t="shared" si="1"/>
        <v>0</v>
      </c>
      <c r="K165" s="46"/>
    </row>
    <row r="166" spans="2:11" x14ac:dyDescent="0.3">
      <c r="B166" s="185" t="s">
        <v>93</v>
      </c>
      <c r="C166" s="46">
        <f>IF(LEFT(Type_masquage,1)="B",-X_int,0)</f>
        <v>0</v>
      </c>
      <c r="D166" s="46">
        <f>IF(LEFT(Type_masquage,1)="B",D_int/2,0)</f>
        <v>0</v>
      </c>
      <c r="E166" s="199">
        <f t="shared" si="1"/>
        <v>0</v>
      </c>
      <c r="K166" s="46"/>
    </row>
    <row r="167" spans="2:11" x14ac:dyDescent="0.3">
      <c r="B167" s="187" t="s">
        <v>90</v>
      </c>
      <c r="C167" s="200">
        <f>IF(LEFT(Type_masquage,1)="B",-X_int+m_int,0)</f>
        <v>0</v>
      </c>
      <c r="D167" s="200">
        <f>IF(LEFT(Type_masquage,1)="B",D_int/2,0)</f>
        <v>0</v>
      </c>
      <c r="E167" s="201">
        <f t="shared" si="1"/>
        <v>0</v>
      </c>
      <c r="K167" s="46"/>
    </row>
    <row r="168" spans="2:11" x14ac:dyDescent="0.3">
      <c r="B168" s="45" t="s">
        <v>94</v>
      </c>
      <c r="C168" s="46">
        <f>-MAX(Long_tot, X_ail-m_ail+p_ail+n_ail, (E_ail+D_ail/2)*3.2)*1.01</f>
        <v>-1060.5</v>
      </c>
      <c r="D168" s="46">
        <f>MAX(E_ail+D_ail/2, Long_tot/3)</f>
        <v>350</v>
      </c>
      <c r="E168" s="93"/>
      <c r="K168" s="46"/>
    </row>
    <row r="169" spans="2:11" x14ac:dyDescent="0.3">
      <c r="B169" s="45" t="s">
        <v>94</v>
      </c>
      <c r="C169" s="46">
        <f>C168</f>
        <v>-1060.5</v>
      </c>
      <c r="D169" s="46">
        <f>-D168</f>
        <v>-350</v>
      </c>
      <c r="E169" s="93"/>
      <c r="K169" s="46"/>
    </row>
    <row r="170" spans="2:11" x14ac:dyDescent="0.3">
      <c r="B170" s="183" t="s">
        <v>95</v>
      </c>
      <c r="C170" s="197">
        <f ca="1">-XpropuRef+Long_propu</f>
        <v>-822</v>
      </c>
      <c r="D170" s="207">
        <f ca="1">-Diam_propu/2</f>
        <v>-12</v>
      </c>
      <c r="E170" s="93"/>
      <c r="K170" s="46"/>
    </row>
    <row r="171" spans="2:11" x14ac:dyDescent="0.3">
      <c r="B171" s="185" t="s">
        <v>96</v>
      </c>
      <c r="C171" s="46">
        <f ca="1">-XpropuRef+Long_propu</f>
        <v>-822</v>
      </c>
      <c r="D171" s="208">
        <f ca="1">Diam_propu/2</f>
        <v>12</v>
      </c>
      <c r="E171" s="93"/>
      <c r="K171" s="46"/>
    </row>
    <row r="172" spans="2:11" x14ac:dyDescent="0.3">
      <c r="B172" s="185" t="s">
        <v>97</v>
      </c>
      <c r="C172" s="46">
        <f>-XpropuRef</f>
        <v>-1050</v>
      </c>
      <c r="D172" s="208">
        <f ca="1">Diam_propu/2</f>
        <v>12</v>
      </c>
      <c r="E172" s="93"/>
      <c r="K172" s="46"/>
    </row>
    <row r="173" spans="2:11" x14ac:dyDescent="0.3">
      <c r="B173" s="185" t="s">
        <v>98</v>
      </c>
      <c r="C173" s="46">
        <f>-XpropuRef</f>
        <v>-1050</v>
      </c>
      <c r="D173" s="208">
        <f ca="1">-Diam_propu/2</f>
        <v>-12</v>
      </c>
      <c r="E173" s="93"/>
      <c r="K173" s="46"/>
    </row>
    <row r="174" spans="2:11" x14ac:dyDescent="0.3">
      <c r="B174" s="187" t="s">
        <v>99</v>
      </c>
      <c r="C174" s="200">
        <f ca="1">-XpropuRef+Long_propu</f>
        <v>-822</v>
      </c>
      <c r="D174" s="209">
        <f ca="1">-Diam_propu/2</f>
        <v>-12</v>
      </c>
      <c r="E174" s="93"/>
      <c r="F174" s="192" t="s">
        <v>160</v>
      </c>
      <c r="G174" s="193" t="s">
        <v>161</v>
      </c>
      <c r="H174" s="194" t="s">
        <v>162</v>
      </c>
      <c r="K174" s="46"/>
    </row>
    <row r="175" spans="2:11" x14ac:dyDescent="0.3">
      <c r="B175" s="183" t="s">
        <v>72</v>
      </c>
      <c r="C175" s="197">
        <v>0</v>
      </c>
      <c r="D175" s="197">
        <v>0</v>
      </c>
      <c r="E175" s="198">
        <f t="shared" ref="E175:E180" si="2">-D175</f>
        <v>0</v>
      </c>
      <c r="F175" s="195">
        <v>0</v>
      </c>
      <c r="G175" s="45">
        <v>0</v>
      </c>
      <c r="H175" s="189">
        <v>0</v>
      </c>
      <c r="K175" s="46"/>
    </row>
    <row r="176" spans="2:11" x14ac:dyDescent="0.3">
      <c r="B176" s="185" t="s">
        <v>73</v>
      </c>
      <c r="C176" s="46">
        <f>-Long_ogive*0.1</f>
        <v>-28</v>
      </c>
      <c r="D176" s="46">
        <f>IF(LEFT(Forme_ogive,5)="Parab",H176,IF(LEFT(Forme_ogive,4)="Ogiv",G176,IF(LEFT(Forme_ogive,3)="Con",F176)))</f>
        <v>3.2</v>
      </c>
      <c r="E176" s="199">
        <f t="shared" si="2"/>
        <v>-3.2</v>
      </c>
      <c r="F176" s="185">
        <f>D_og/2*0.1</f>
        <v>3.2</v>
      </c>
      <c r="G176" s="45">
        <f>D_og/2*0.2</f>
        <v>6.4</v>
      </c>
      <c r="H176" s="189">
        <f>D_og/2*0.5</f>
        <v>16</v>
      </c>
      <c r="K176" s="46"/>
    </row>
    <row r="177" spans="2:11" x14ac:dyDescent="0.3">
      <c r="B177" s="185" t="s">
        <v>73</v>
      </c>
      <c r="C177" s="46">
        <f>-Long_ogive/4</f>
        <v>-70</v>
      </c>
      <c r="D177" s="46">
        <f>IF(LEFT(Forme_ogive,5)="Parab",H177,IF(LEFT(Forme_ogive,4)="Ogiv",G177,IF(LEFT(Forme_ogive,3)="Con",F177)))</f>
        <v>8</v>
      </c>
      <c r="E177" s="199">
        <f t="shared" si="2"/>
        <v>-8</v>
      </c>
      <c r="F177" s="185">
        <f>D_og/2*1/4</f>
        <v>8</v>
      </c>
      <c r="G177" s="45">
        <f>D_og/2/2</f>
        <v>16</v>
      </c>
      <c r="H177" s="189">
        <f>D_og/2*0.7</f>
        <v>22.4</v>
      </c>
      <c r="K177" s="46"/>
    </row>
    <row r="178" spans="2:11" x14ac:dyDescent="0.3">
      <c r="B178" s="185" t="s">
        <v>73</v>
      </c>
      <c r="C178" s="46">
        <f>-Long_ogive/2</f>
        <v>-140</v>
      </c>
      <c r="D178" s="46">
        <f>IF(LEFT(Forme_ogive,5)="Parab",H178,IF(LEFT(Forme_ogive,4)="Ogiv",G178,IF(LEFT(Forme_ogive,3)="Con",F178)))</f>
        <v>16</v>
      </c>
      <c r="E178" s="199">
        <f t="shared" si="2"/>
        <v>-16</v>
      </c>
      <c r="F178" s="185">
        <f>D_og/2/2</f>
        <v>16</v>
      </c>
      <c r="G178" s="45">
        <f>D_og/2*3/4</f>
        <v>24</v>
      </c>
      <c r="H178" s="189">
        <f>D_og/2*0.88</f>
        <v>28.16</v>
      </c>
      <c r="K178" s="46"/>
    </row>
    <row r="179" spans="2:11" x14ac:dyDescent="0.3">
      <c r="B179" s="185" t="s">
        <v>73</v>
      </c>
      <c r="C179" s="46">
        <f>-Long_ogive*3/4</f>
        <v>-210</v>
      </c>
      <c r="D179" s="46">
        <f>IF(LEFT(Forme_ogive,5)="Parab",H179,IF(LEFT(Forme_ogive,4)="Ogiv",G179,IF(LEFT(Forme_ogive,3)="Con",F179)))</f>
        <v>24</v>
      </c>
      <c r="E179" s="199">
        <f t="shared" si="2"/>
        <v>-24</v>
      </c>
      <c r="F179" s="185">
        <f>D_og/2*3/4</f>
        <v>24</v>
      </c>
      <c r="G179" s="45">
        <f>D_og/2*0.9</f>
        <v>28.8</v>
      </c>
      <c r="H179" s="189">
        <f>D_og/2*0.95</f>
        <v>30.4</v>
      </c>
      <c r="K179" s="46"/>
    </row>
    <row r="180" spans="2:11" x14ac:dyDescent="0.3">
      <c r="B180" s="187" t="s">
        <v>73</v>
      </c>
      <c r="C180" s="200">
        <f>-Long_ogive</f>
        <v>-280</v>
      </c>
      <c r="D180" s="200">
        <f>D_og/2</f>
        <v>32</v>
      </c>
      <c r="E180" s="201">
        <f t="shared" si="2"/>
        <v>-32</v>
      </c>
      <c r="F180" s="187">
        <f>D_og/2</f>
        <v>32</v>
      </c>
      <c r="G180" s="196">
        <f>D_og/2</f>
        <v>32</v>
      </c>
      <c r="H180" s="190">
        <f>D_og/2</f>
        <v>32</v>
      </c>
      <c r="K180" s="26"/>
    </row>
    <row r="181" spans="2:11" x14ac:dyDescent="0.3">
      <c r="B181" s="45" t="s">
        <v>100</v>
      </c>
      <c r="C181" s="45" t="s">
        <v>101</v>
      </c>
      <c r="D181" s="183" t="s">
        <v>100</v>
      </c>
      <c r="E181" s="204" t="s">
        <v>101</v>
      </c>
      <c r="K181" s="45"/>
    </row>
    <row r="182" spans="2:11" x14ac:dyDescent="0.3">
      <c r="B182" s="183">
        <v>0</v>
      </c>
      <c r="C182" s="202">
        <f>CritCnmin</f>
        <v>15</v>
      </c>
      <c r="D182" s="185">
        <v>0.5</v>
      </c>
      <c r="E182" s="205">
        <f t="shared" ref="E182:E187" si="3">CritMsCnmin/D182</f>
        <v>60</v>
      </c>
      <c r="K182" s="45"/>
    </row>
    <row r="183" spans="2:11" x14ac:dyDescent="0.3">
      <c r="B183" s="187">
        <v>7</v>
      </c>
      <c r="C183" s="196">
        <f>CritCnmin</f>
        <v>15</v>
      </c>
      <c r="D183" s="185">
        <v>1</v>
      </c>
      <c r="E183" s="205">
        <f t="shared" si="3"/>
        <v>30</v>
      </c>
      <c r="K183" s="45"/>
    </row>
    <row r="184" spans="2:11" x14ac:dyDescent="0.3">
      <c r="B184" s="183">
        <v>0</v>
      </c>
      <c r="C184" s="202">
        <f>CritCnmax</f>
        <v>30</v>
      </c>
      <c r="D184" s="185">
        <v>2</v>
      </c>
      <c r="E184" s="205">
        <f t="shared" si="3"/>
        <v>15</v>
      </c>
      <c r="K184" s="45"/>
    </row>
    <row r="185" spans="2:11" x14ac:dyDescent="0.3">
      <c r="B185" s="187">
        <v>7</v>
      </c>
      <c r="C185" s="196">
        <f>CritCnmax</f>
        <v>30</v>
      </c>
      <c r="D185" s="185">
        <v>3</v>
      </c>
      <c r="E185" s="205">
        <f t="shared" si="3"/>
        <v>10</v>
      </c>
      <c r="K185" s="45"/>
    </row>
    <row r="186" spans="2:11" x14ac:dyDescent="0.3">
      <c r="B186" s="183">
        <f>CritMsmin</f>
        <v>1.5</v>
      </c>
      <c r="C186" s="202">
        <v>0</v>
      </c>
      <c r="D186" s="185">
        <v>5</v>
      </c>
      <c r="E186" s="205">
        <f t="shared" si="3"/>
        <v>6</v>
      </c>
      <c r="K186" s="45"/>
    </row>
    <row r="187" spans="2:11" x14ac:dyDescent="0.3">
      <c r="B187" s="187">
        <f>CritMsmin</f>
        <v>1.5</v>
      </c>
      <c r="C187" s="196">
        <v>55</v>
      </c>
      <c r="D187" s="185">
        <v>7</v>
      </c>
      <c r="E187" s="205">
        <f t="shared" si="3"/>
        <v>4.2857142857142856</v>
      </c>
      <c r="K187" s="45"/>
    </row>
    <row r="188" spans="2:11" x14ac:dyDescent="0.3">
      <c r="B188" s="183">
        <f>CritMsmax</f>
        <v>6</v>
      </c>
      <c r="C188" s="202">
        <v>0</v>
      </c>
      <c r="D188" s="185">
        <v>1</v>
      </c>
      <c r="E188" s="205">
        <f t="shared" ref="E188:E193" si="4">CritMsCnmax/D188</f>
        <v>100</v>
      </c>
      <c r="K188" s="45"/>
    </row>
    <row r="189" spans="2:11" x14ac:dyDescent="0.3">
      <c r="B189" s="187">
        <f>CritMsmax</f>
        <v>6</v>
      </c>
      <c r="C189" s="196">
        <v>55</v>
      </c>
      <c r="D189" s="185">
        <v>2</v>
      </c>
      <c r="E189" s="205">
        <f t="shared" si="4"/>
        <v>50</v>
      </c>
      <c r="K189" s="45"/>
    </row>
    <row r="190" spans="2:11" x14ac:dyDescent="0.3">
      <c r="B190" s="191">
        <f ca="1">MS_min</f>
        <v>3.2411635171272852</v>
      </c>
      <c r="C190" s="203">
        <f>Cn</f>
        <v>20.80884866158426</v>
      </c>
      <c r="D190" s="185">
        <v>3</v>
      </c>
      <c r="E190" s="205">
        <f t="shared" si="4"/>
        <v>33.333333333333336</v>
      </c>
      <c r="K190" s="45"/>
    </row>
    <row r="191" spans="2:11" x14ac:dyDescent="0.3">
      <c r="B191" s="514">
        <f ca="1">(XCp0-XcgPlein)/D_ref</f>
        <v>3.2411635171272852</v>
      </c>
      <c r="C191" s="515">
        <f>Cn0</f>
        <v>20.80884866158426</v>
      </c>
      <c r="D191" s="185">
        <v>4</v>
      </c>
      <c r="E191" s="205">
        <f t="shared" si="4"/>
        <v>25</v>
      </c>
      <c r="K191" s="45"/>
    </row>
    <row r="192" spans="2:11" x14ac:dyDescent="0.3">
      <c r="B192" s="514">
        <f ca="1">(XCp0-XcgVide)/D_ref</f>
        <v>3.4122420606610486</v>
      </c>
      <c r="C192" s="515">
        <f>Cn0</f>
        <v>20.80884866158426</v>
      </c>
      <c r="D192" s="185">
        <v>6</v>
      </c>
      <c r="E192" s="205">
        <f t="shared" si="4"/>
        <v>16.666666666666668</v>
      </c>
      <c r="K192" s="45"/>
    </row>
    <row r="193" spans="2:11" x14ac:dyDescent="0.3">
      <c r="B193" s="514">
        <f ca="1">(XCp-XcgVide)/D_ref</f>
        <v>3.4122420606610486</v>
      </c>
      <c r="C193" s="515">
        <f>Cn</f>
        <v>20.80884866158426</v>
      </c>
      <c r="D193" s="187">
        <v>7</v>
      </c>
      <c r="E193" s="206">
        <f t="shared" si="4"/>
        <v>14.285714285714286</v>
      </c>
      <c r="K193" s="45"/>
    </row>
    <row r="194" spans="2:11" x14ac:dyDescent="0.3">
      <c r="B194" s="514">
        <f ca="1">MS_min</f>
        <v>3.2411635171272852</v>
      </c>
      <c r="C194" s="516">
        <f>Cn</f>
        <v>20.80884866158426</v>
      </c>
      <c r="D194" s="45"/>
      <c r="E194" s="92"/>
      <c r="K194" s="45"/>
    </row>
    <row r="195" spans="2:11" x14ac:dyDescent="0.3">
      <c r="B195" s="183">
        <v>0</v>
      </c>
      <c r="C195" s="202">
        <f>(CritCnmin+CritCnmax)/2</f>
        <v>22.5</v>
      </c>
      <c r="D195" s="26"/>
      <c r="E195" s="90"/>
      <c r="K195" s="26"/>
    </row>
    <row r="196" spans="2:11" x14ac:dyDescent="0.3">
      <c r="B196" s="185">
        <f>MAX(CritMsmin,CritMsCnmin/C196)</f>
        <v>1.5</v>
      </c>
      <c r="C196" s="45">
        <f>(CritCnmin+CritCnmax)/2</f>
        <v>22.5</v>
      </c>
      <c r="D196" s="26"/>
      <c r="E196" s="90"/>
      <c r="K196" s="26"/>
    </row>
    <row r="197" spans="2:11" x14ac:dyDescent="0.3">
      <c r="B197" s="185">
        <f>MIN(CritMsmax,CritMsCnmax/C197)</f>
        <v>4.4444444444444446</v>
      </c>
      <c r="C197" s="189">
        <f>(CritCnmin+CritCnmax)/2</f>
        <v>22.5</v>
      </c>
    </row>
    <row r="198" spans="2:11" x14ac:dyDescent="0.3">
      <c r="B198" s="187">
        <v>7</v>
      </c>
      <c r="C198" s="190">
        <f>(CritCnmin+CritCnmax)/2</f>
        <v>22.5</v>
      </c>
    </row>
    <row r="199" spans="2:11" x14ac:dyDescent="0.3">
      <c r="B199" s="183">
        <f>(CritMsmin+CritMsmax)/2</f>
        <v>3.75</v>
      </c>
      <c r="C199" s="184">
        <v>0</v>
      </c>
    </row>
    <row r="200" spans="2:11" x14ac:dyDescent="0.3">
      <c r="B200" s="185">
        <f>(CritMsmin+CritMsmax)/2</f>
        <v>3.75</v>
      </c>
      <c r="C200" s="186">
        <f>MAX(CritCnmin,CritMsCnmin/B200)</f>
        <v>15</v>
      </c>
    </row>
    <row r="201" spans="2:11" x14ac:dyDescent="0.3">
      <c r="B201" s="185">
        <f>(CritMsmin+CritMsmax)/2</f>
        <v>3.75</v>
      </c>
      <c r="C201" s="186">
        <f>MIN(CritCnmax,CritMsCnmax/B201)</f>
        <v>26.666666666666668</v>
      </c>
    </row>
    <row r="202" spans="2:11" x14ac:dyDescent="0.3">
      <c r="B202" s="187">
        <f>(CritMsmin+CritMsmax)/2</f>
        <v>3.75</v>
      </c>
      <c r="C202" s="188">
        <v>55</v>
      </c>
    </row>
    <row r="203" spans="2:11" x14ac:dyDescent="0.3">
      <c r="D203" s="475"/>
    </row>
    <row r="204" spans="2:11" x14ac:dyDescent="0.3">
      <c r="B204" s="477" t="s">
        <v>405</v>
      </c>
      <c r="C204" s="31" t="b">
        <f ca="1">(OR(C205:C210))</f>
        <v>1</v>
      </c>
      <c r="D204" s="475"/>
    </row>
    <row r="205" spans="2:11" x14ac:dyDescent="0.3">
      <c r="B205" s="476" t="s">
        <v>402</v>
      </c>
      <c r="C205" s="475" t="b">
        <f ca="1">AND(Type_propu="H2O",RIGHT(Type_fusee,1)=" ")</f>
        <v>0</v>
      </c>
      <c r="D205" s="475"/>
    </row>
    <row r="206" spans="2:11" x14ac:dyDescent="0.3">
      <c r="B206" s="476" t="s">
        <v>119</v>
      </c>
      <c r="C206" s="475" t="b">
        <f ca="1">AND(Type_propu="Fusex",RIGHT(Type_fusee,1)=".")</f>
        <v>0</v>
      </c>
      <c r="D206" s="475"/>
    </row>
    <row r="207" spans="2:11" x14ac:dyDescent="0.3">
      <c r="B207" s="476" t="s">
        <v>403</v>
      </c>
      <c r="C207" s="475" t="b">
        <f ca="1">LEFT(Type_propu,5)=LEFT(Type_fusee,5)</f>
        <v>0</v>
      </c>
      <c r="D207" s="475"/>
    </row>
    <row r="208" spans="2:11" x14ac:dyDescent="0.3">
      <c r="B208" s="476" t="s">
        <v>404</v>
      </c>
      <c r="C208" s="475" t="b">
        <f ca="1">AND(RIGHT(Type_propu,1)="N",LEFT(Type_fusee,4)="Mini")</f>
        <v>1</v>
      </c>
      <c r="D208" s="475"/>
    </row>
    <row r="209" spans="1:3" x14ac:dyDescent="0.3">
      <c r="B209" s="476" t="s">
        <v>406</v>
      </c>
      <c r="C209" s="475" t="b">
        <f ca="1">AND(LEFT(Type_propu,5)="MiniR",LEFT(Type_fusee,1)="R")</f>
        <v>0</v>
      </c>
    </row>
    <row r="210" spans="1:3" x14ac:dyDescent="0.3">
      <c r="B210" s="476" t="s">
        <v>396</v>
      </c>
      <c r="C210" s="475" t="b">
        <f ca="1">AND(LEFT(Type_propu,4)="Mini",LEFT(Type_fusee,1)=",")</f>
        <v>0</v>
      </c>
    </row>
    <row r="223" spans="1:3" x14ac:dyDescent="0.3">
      <c r="A223" s="24" t="s">
        <v>463</v>
      </c>
    </row>
    <row r="226" spans="1:1" x14ac:dyDescent="0.3">
      <c r="A226" s="24" t="s">
        <v>476</v>
      </c>
    </row>
    <row r="228" spans="1:1" x14ac:dyDescent="0.3">
      <c r="A228" s="24" t="s">
        <v>477</v>
      </c>
    </row>
    <row r="230" spans="1:1" x14ac:dyDescent="0.3">
      <c r="A230" s="24" t="s">
        <v>478</v>
      </c>
    </row>
    <row r="232" spans="1:1" x14ac:dyDescent="0.3">
      <c r="A232" s="24" t="s">
        <v>479</v>
      </c>
    </row>
    <row r="233" spans="1:1" x14ac:dyDescent="0.3">
      <c r="A233" s="24" t="s">
        <v>480</v>
      </c>
    </row>
    <row r="234" spans="1:1" x14ac:dyDescent="0.3">
      <c r="A234" s="24" t="s">
        <v>481</v>
      </c>
    </row>
    <row r="235" spans="1:1" x14ac:dyDescent="0.3">
      <c r="A235" s="24" t="s">
        <v>482</v>
      </c>
    </row>
    <row r="236" spans="1:1" x14ac:dyDescent="0.3">
      <c r="A236" s="24" t="s">
        <v>483</v>
      </c>
    </row>
    <row r="237" spans="1:1" x14ac:dyDescent="0.3">
      <c r="A237" s="24" t="s">
        <v>484</v>
      </c>
    </row>
    <row r="238" spans="1:1" x14ac:dyDescent="0.3">
      <c r="A238" s="24" t="s">
        <v>184</v>
      </c>
    </row>
    <row r="239" spans="1:1" x14ac:dyDescent="0.3">
      <c r="A239" s="24" t="s">
        <v>485</v>
      </c>
    </row>
    <row r="240" spans="1:1" x14ac:dyDescent="0.3">
      <c r="A240" s="24" t="s">
        <v>486</v>
      </c>
    </row>
    <row r="241" spans="1:1" x14ac:dyDescent="0.3">
      <c r="A241" s="24" t="s">
        <v>184</v>
      </c>
    </row>
    <row r="242" spans="1:1" x14ac:dyDescent="0.3">
      <c r="A242" s="24" t="s">
        <v>487</v>
      </c>
    </row>
    <row r="244" spans="1:1" x14ac:dyDescent="0.3">
      <c r="A244" s="24" t="s">
        <v>488</v>
      </c>
    </row>
    <row r="246" spans="1:1" x14ac:dyDescent="0.3">
      <c r="A246" s="24" t="s">
        <v>489</v>
      </c>
    </row>
    <row r="248" spans="1:1" x14ac:dyDescent="0.3">
      <c r="A248" s="24" t="s">
        <v>490</v>
      </c>
    </row>
    <row r="249" spans="1:1" x14ac:dyDescent="0.3">
      <c r="A249" s="24" t="s">
        <v>491</v>
      </c>
    </row>
    <row r="250" spans="1:1" x14ac:dyDescent="0.3">
      <c r="A250" s="24" t="s">
        <v>492</v>
      </c>
    </row>
    <row r="251" spans="1:1" x14ac:dyDescent="0.3">
      <c r="A251" s="24" t="s">
        <v>493</v>
      </c>
    </row>
    <row r="252" spans="1:1" x14ac:dyDescent="0.3">
      <c r="A252" s="24" t="s">
        <v>494</v>
      </c>
    </row>
    <row r="254" spans="1:1" x14ac:dyDescent="0.3">
      <c r="A254" s="24" t="s">
        <v>495</v>
      </c>
    </row>
    <row r="255" spans="1:1" x14ac:dyDescent="0.3">
      <c r="A255" s="24" t="s">
        <v>496</v>
      </c>
    </row>
    <row r="256" spans="1:1" x14ac:dyDescent="0.3">
      <c r="A256" s="24" t="s">
        <v>497</v>
      </c>
    </row>
    <row r="257" spans="1:1" x14ac:dyDescent="0.3">
      <c r="A257" s="24" t="s">
        <v>498</v>
      </c>
    </row>
    <row r="258" spans="1:1" x14ac:dyDescent="0.3">
      <c r="A258" s="24" t="s">
        <v>499</v>
      </c>
    </row>
    <row r="261" spans="1:1" x14ac:dyDescent="0.3">
      <c r="A261" s="24" t="s">
        <v>500</v>
      </c>
    </row>
    <row r="262" spans="1:1" x14ac:dyDescent="0.3">
      <c r="A262" s="24" t="s">
        <v>501</v>
      </c>
    </row>
    <row r="263" spans="1:1" x14ac:dyDescent="0.3">
      <c r="A263" s="24" t="s">
        <v>502</v>
      </c>
    </row>
    <row r="264" spans="1:1" x14ac:dyDescent="0.3">
      <c r="A264" s="24" t="s">
        <v>503</v>
      </c>
    </row>
    <row r="265" spans="1:1" x14ac:dyDescent="0.3">
      <c r="A265" s="24" t="s">
        <v>504</v>
      </c>
    </row>
    <row r="267" spans="1:1" x14ac:dyDescent="0.3">
      <c r="A267" s="24" t="s">
        <v>497</v>
      </c>
    </row>
    <row r="268" spans="1:1" x14ac:dyDescent="0.3">
      <c r="A268" s="24" t="s">
        <v>498</v>
      </c>
    </row>
    <row r="269" spans="1:1" x14ac:dyDescent="0.3">
      <c r="A269" s="24" t="s">
        <v>505</v>
      </c>
    </row>
    <row r="272" spans="1:1" x14ac:dyDescent="0.3">
      <c r="A272" s="24" t="s">
        <v>465</v>
      </c>
    </row>
    <row r="273" spans="1:1" x14ac:dyDescent="0.3">
      <c r="A273" s="24" t="s">
        <v>466</v>
      </c>
    </row>
    <row r="275" spans="1:1" x14ac:dyDescent="0.3">
      <c r="A275" s="24" t="s">
        <v>506</v>
      </c>
    </row>
    <row r="277" spans="1:1" x14ac:dyDescent="0.3">
      <c r="A277" s="24" t="s">
        <v>505</v>
      </c>
    </row>
    <row r="280" spans="1:1" x14ac:dyDescent="0.3">
      <c r="A280" s="24" t="s">
        <v>467</v>
      </c>
    </row>
    <row r="281" spans="1:1" x14ac:dyDescent="0.3">
      <c r="A281" s="24" t="s">
        <v>468</v>
      </c>
    </row>
    <row r="282" spans="1:1" x14ac:dyDescent="0.3">
      <c r="A282" s="24" t="s">
        <v>507</v>
      </c>
    </row>
    <row r="283" spans="1:1" x14ac:dyDescent="0.3">
      <c r="A283" s="24" t="s">
        <v>508</v>
      </c>
    </row>
    <row r="284" spans="1:1" x14ac:dyDescent="0.3">
      <c r="A284" s="24" t="s">
        <v>505</v>
      </c>
    </row>
    <row r="285" spans="1:1" x14ac:dyDescent="0.3">
      <c r="A285" s="24" t="s">
        <v>469</v>
      </c>
    </row>
    <row r="287" spans="1:1" x14ac:dyDescent="0.3">
      <c r="A287" s="24" t="s">
        <v>509</v>
      </c>
    </row>
    <row r="288" spans="1:1" x14ac:dyDescent="0.3">
      <c r="A288" s="24" t="s">
        <v>507</v>
      </c>
    </row>
    <row r="289" spans="1:1" x14ac:dyDescent="0.3">
      <c r="A289" s="24" t="s">
        <v>510</v>
      </c>
    </row>
    <row r="291" spans="1:1" x14ac:dyDescent="0.3">
      <c r="A291" s="24" t="s">
        <v>505</v>
      </c>
    </row>
    <row r="294" spans="1:1" x14ac:dyDescent="0.3">
      <c r="A294" s="24" t="s">
        <v>511</v>
      </c>
    </row>
    <row r="295" spans="1:1" x14ac:dyDescent="0.3">
      <c r="A295" s="24" t="s">
        <v>512</v>
      </c>
    </row>
    <row r="296" spans="1:1" x14ac:dyDescent="0.3">
      <c r="A296" s="24" t="s">
        <v>513</v>
      </c>
    </row>
    <row r="298" spans="1:1" x14ac:dyDescent="0.3">
      <c r="A298" s="24" t="s">
        <v>505</v>
      </c>
    </row>
    <row r="301" spans="1:1" x14ac:dyDescent="0.3">
      <c r="A301" s="24" t="s">
        <v>514</v>
      </c>
    </row>
    <row r="302" spans="1:1" x14ac:dyDescent="0.3">
      <c r="A302" s="24" t="s">
        <v>515</v>
      </c>
    </row>
    <row r="304" spans="1:1" x14ac:dyDescent="0.3">
      <c r="A304" s="24" t="s">
        <v>516</v>
      </c>
    </row>
    <row r="305" spans="1:1" x14ac:dyDescent="0.3">
      <c r="A305" s="24" t="s">
        <v>517</v>
      </c>
    </row>
    <row r="306" spans="1:1" x14ac:dyDescent="0.3">
      <c r="A306" s="24" t="s">
        <v>505</v>
      </c>
    </row>
    <row r="309" spans="1:1" x14ac:dyDescent="0.3">
      <c r="A309" s="24" t="s">
        <v>514</v>
      </c>
    </row>
    <row r="310" spans="1:1" x14ac:dyDescent="0.3">
      <c r="A310" s="24" t="s">
        <v>518</v>
      </c>
    </row>
    <row r="311" spans="1:1" x14ac:dyDescent="0.3">
      <c r="A311" s="24" t="s">
        <v>514</v>
      </c>
    </row>
    <row r="312" spans="1:1" x14ac:dyDescent="0.3">
      <c r="A312" s="24" t="s">
        <v>519</v>
      </c>
    </row>
    <row r="314" spans="1:1" x14ac:dyDescent="0.3">
      <c r="A314" s="24" t="s">
        <v>520</v>
      </c>
    </row>
    <row r="316" spans="1:1" x14ac:dyDescent="0.3">
      <c r="A316" s="24" t="s">
        <v>505</v>
      </c>
    </row>
    <row r="319" spans="1:1" x14ac:dyDescent="0.3">
      <c r="A319" s="24" t="s">
        <v>514</v>
      </c>
    </row>
    <row r="320" spans="1:1" x14ac:dyDescent="0.3">
      <c r="A320" s="24" t="s">
        <v>521</v>
      </c>
    </row>
    <row r="321" spans="1:1" x14ac:dyDescent="0.3">
      <c r="A321" s="24" t="s">
        <v>522</v>
      </c>
    </row>
    <row r="322" spans="1:1" x14ac:dyDescent="0.3">
      <c r="A322" s="24" t="s">
        <v>523</v>
      </c>
    </row>
    <row r="324" spans="1:1" x14ac:dyDescent="0.3">
      <c r="A324" s="24" t="s">
        <v>505</v>
      </c>
    </row>
    <row r="326" spans="1:1" x14ac:dyDescent="0.3">
      <c r="A326" s="24" t="s">
        <v>464</v>
      </c>
    </row>
    <row r="329" spans="1:1" x14ac:dyDescent="0.3">
      <c r="A329" s="24" t="s">
        <v>470</v>
      </c>
    </row>
    <row r="330" spans="1:1" x14ac:dyDescent="0.3">
      <c r="A330" s="24" t="s">
        <v>471</v>
      </c>
    </row>
    <row r="331" spans="1:1" x14ac:dyDescent="0.3">
      <c r="A331" s="24" t="s">
        <v>524</v>
      </c>
    </row>
    <row r="332" spans="1:1" x14ac:dyDescent="0.3">
      <c r="A332" s="24" t="s">
        <v>525</v>
      </c>
    </row>
    <row r="333" spans="1:1" x14ac:dyDescent="0.3">
      <c r="A333" s="24" t="s">
        <v>526</v>
      </c>
    </row>
    <row r="334" spans="1:1" x14ac:dyDescent="0.3">
      <c r="A334" s="24" t="s">
        <v>527</v>
      </c>
    </row>
    <row r="335" spans="1:1" x14ac:dyDescent="0.3">
      <c r="A335" s="24" t="s">
        <v>528</v>
      </c>
    </row>
    <row r="336" spans="1:1" x14ac:dyDescent="0.3">
      <c r="A336" s="24" t="s">
        <v>481</v>
      </c>
    </row>
    <row r="337" spans="1:1" x14ac:dyDescent="0.3">
      <c r="A337" s="24" t="s">
        <v>472</v>
      </c>
    </row>
    <row r="340" spans="1:1" x14ac:dyDescent="0.3">
      <c r="A340" s="24" t="s">
        <v>473</v>
      </c>
    </row>
    <row r="342" spans="1:1" x14ac:dyDescent="0.3">
      <c r="A342" s="24" t="s">
        <v>529</v>
      </c>
    </row>
    <row r="343" spans="1:1" x14ac:dyDescent="0.3">
      <c r="A343" s="24" t="s">
        <v>530</v>
      </c>
    </row>
    <row r="344" spans="1:1" x14ac:dyDescent="0.3">
      <c r="A344" s="24" t="s">
        <v>531</v>
      </c>
    </row>
    <row r="345" spans="1:1" x14ac:dyDescent="0.3">
      <c r="A345" s="24" t="s">
        <v>532</v>
      </c>
    </row>
    <row r="346" spans="1:1" x14ac:dyDescent="0.3">
      <c r="A346" s="24" t="s">
        <v>533</v>
      </c>
    </row>
    <row r="347" spans="1:1" x14ac:dyDescent="0.3">
      <c r="A347" s="24" t="s">
        <v>481</v>
      </c>
    </row>
    <row r="348" spans="1:1" x14ac:dyDescent="0.3">
      <c r="A348" s="24" t="s">
        <v>474</v>
      </c>
    </row>
    <row r="349" spans="1:1" x14ac:dyDescent="0.3">
      <c r="A349" s="24" t="s">
        <v>534</v>
      </c>
    </row>
    <row r="350" spans="1:1" x14ac:dyDescent="0.3">
      <c r="A350" s="24" t="s">
        <v>535</v>
      </c>
    </row>
    <row r="352" spans="1:1" x14ac:dyDescent="0.3">
      <c r="A352" s="24" t="s">
        <v>505</v>
      </c>
    </row>
    <row r="355" spans="1:1" x14ac:dyDescent="0.3">
      <c r="A355" s="24" t="s">
        <v>464</v>
      </c>
    </row>
    <row r="361" spans="1:1" x14ac:dyDescent="0.3">
      <c r="A361" s="24" t="s">
        <v>475</v>
      </c>
    </row>
  </sheetData>
  <sheetProtection password="C6AC" sheet="1"/>
  <dataConsolidate/>
  <mergeCells count="56">
    <mergeCell ref="H33:I34"/>
    <mergeCell ref="M4:P4"/>
    <mergeCell ref="M2:P2"/>
    <mergeCell ref="N13:O13"/>
    <mergeCell ref="N12:O12"/>
    <mergeCell ref="O9:P9"/>
    <mergeCell ref="O8:P8"/>
    <mergeCell ref="O7:P7"/>
    <mergeCell ref="H27:I27"/>
    <mergeCell ref="M18:N18"/>
    <mergeCell ref="L3:M3"/>
    <mergeCell ref="N11:O11"/>
    <mergeCell ref="O6:P6"/>
    <mergeCell ref="O5:P5"/>
    <mergeCell ref="O17:P17"/>
    <mergeCell ref="O18:P18"/>
    <mergeCell ref="C26:D26"/>
    <mergeCell ref="C18:D18"/>
    <mergeCell ref="C19:D19"/>
    <mergeCell ref="O23:P23"/>
    <mergeCell ref="O24:P24"/>
    <mergeCell ref="C22:D22"/>
    <mergeCell ref="C21:D21"/>
    <mergeCell ref="C23:D23"/>
    <mergeCell ref="C2:D3"/>
    <mergeCell ref="C4:D4"/>
    <mergeCell ref="M22:N22"/>
    <mergeCell ref="M19:N19"/>
    <mergeCell ref="M9:N9"/>
    <mergeCell ref="M7:N7"/>
    <mergeCell ref="M8:N8"/>
    <mergeCell ref="C7:D7"/>
    <mergeCell ref="C10:D10"/>
    <mergeCell ref="M5:N5"/>
    <mergeCell ref="M6:N6"/>
    <mergeCell ref="M20:N20"/>
    <mergeCell ref="N14:O14"/>
    <mergeCell ref="N15:O15"/>
    <mergeCell ref="M17:N17"/>
    <mergeCell ref="C14:D14"/>
    <mergeCell ref="C5:D5"/>
    <mergeCell ref="H26:I26"/>
    <mergeCell ref="C16:D16"/>
    <mergeCell ref="C17:D17"/>
    <mergeCell ref="O21:P21"/>
    <mergeCell ref="M21:N21"/>
    <mergeCell ref="O19:P19"/>
    <mergeCell ref="O22:P22"/>
    <mergeCell ref="C20:D20"/>
    <mergeCell ref="C6:D6"/>
    <mergeCell ref="C13:D13"/>
    <mergeCell ref="C8:D8"/>
    <mergeCell ref="C9:D9"/>
    <mergeCell ref="O20:P20"/>
    <mergeCell ref="M23:N23"/>
    <mergeCell ref="M24:N24"/>
  </mergeCells>
  <phoneticPr fontId="8" type="noConversion"/>
  <conditionalFormatting sqref="B14:D14 B34:C34">
    <cfRule type="expression" dxfId="53" priority="36" stopIfTrue="1">
      <formula>AND(IF(RIGHT(Nb_diam,1)=",",1),IF(LEFT(Type_masquage,1)="M",1))</formula>
    </cfRule>
  </conditionalFormatting>
  <conditionalFormatting sqref="C11">
    <cfRule type="cellIs" dxfId="52" priority="24" stopIfTrue="1" operator="equal">
      <formula>359</formula>
    </cfRule>
    <cfRule type="expression" dxfId="51" priority="27" stopIfTrue="1">
      <formula>OR(MasseSans&lt;MpropuVide, MasseSans&gt;20*MpropuPlein)</formula>
    </cfRule>
  </conditionalFormatting>
  <conditionalFormatting sqref="C12">
    <cfRule type="cellIs" dxfId="50" priority="23" stopIfTrue="1" operator="equal">
      <formula>639</formula>
    </cfRule>
  </conditionalFormatting>
  <conditionalFormatting sqref="C14 C23:D23 C34">
    <cfRule type="cellIs" dxfId="49" priority="20" stopIfTrue="1" operator="equal">
      <formula>59</formula>
    </cfRule>
  </conditionalFormatting>
  <conditionalFormatting sqref="C17">
    <cfRule type="expression" dxfId="48" priority="150" stopIfTrue="1">
      <formula>C204</formula>
    </cfRule>
  </conditionalFormatting>
  <conditionalFormatting sqref="C27 C29">
    <cfRule type="cellIs" dxfId="47" priority="17" stopIfTrue="1" operator="equal">
      <formula>109</formula>
    </cfRule>
  </conditionalFormatting>
  <conditionalFormatting sqref="C28">
    <cfRule type="cellIs" dxfId="46" priority="18" stopIfTrue="1" operator="equal">
      <formula>59</formula>
    </cfRule>
  </conditionalFormatting>
  <conditionalFormatting sqref="C30">
    <cfRule type="cellIs" dxfId="45" priority="19" stopIfTrue="1" operator="equal">
      <formula>99</formula>
    </cfRule>
  </conditionalFormatting>
  <conditionalFormatting sqref="C13:D13 C18 C33">
    <cfRule type="cellIs" dxfId="44" priority="22" stopIfTrue="1" operator="equal">
      <formula>1001</formula>
    </cfRule>
  </conditionalFormatting>
  <conditionalFormatting sqref="C22:D22">
    <cfRule type="cellIs" dxfId="43" priority="21" stopIfTrue="1" operator="equal">
      <formula>199</formula>
    </cfRule>
  </conditionalFormatting>
  <conditionalFormatting sqref="D17">
    <cfRule type="expression" dxfId="42" priority="10" stopIfTrue="1">
      <formula>D202</formula>
    </cfRule>
  </conditionalFormatting>
  <conditionalFormatting sqref="H28">
    <cfRule type="expression" dxfId="41" priority="46" stopIfTrue="1">
      <formula>OR(Cn&lt;CritCnmin,Cn&gt;CritCnmax)</formula>
    </cfRule>
  </conditionalFormatting>
  <conditionalFormatting sqref="H29">
    <cfRule type="expression" dxfId="40" priority="45" stopIfTrue="1">
      <formula>OR(MS_min&lt;CritMsmin,MS_min&gt;CritMsmax)</formula>
    </cfRule>
  </conditionalFormatting>
  <conditionalFormatting sqref="H30">
    <cfRule type="expression" dxfId="39" priority="43" stopIfTrue="1">
      <formula>OR(MS_Cn_min&lt;CritMsCnmin,MS_Cn_min&gt;CritMsCnmax)</formula>
    </cfRule>
  </conditionalFormatting>
  <conditionalFormatting sqref="H27:I27">
    <cfRule type="expression" dxfId="38" priority="47" stopIfTrue="1">
      <formula>OR(Finesse&lt;CritFinessemin,Finesse&gt;CritFinessemax)</formula>
    </cfRule>
  </conditionalFormatting>
  <conditionalFormatting sqref="H33:I34">
    <cfRule type="expression" dxfId="37" priority="50" stopIfTrue="1">
      <formula>$H$33="STABLE"</formula>
    </cfRule>
  </conditionalFormatting>
  <conditionalFormatting sqref="I28">
    <cfRule type="expression" dxfId="36" priority="5" stopIfTrue="1">
      <formula>OR(Cn0&lt;CritCnmin,Cn0&gt;CritCnmax)</formula>
    </cfRule>
  </conditionalFormatting>
  <conditionalFormatting sqref="I29">
    <cfRule type="expression" dxfId="35" priority="44" stopIfTrue="1">
      <formula>OR(MS_max&lt;CritMsmin,MS_max&gt;CritMsmax)</formula>
    </cfRule>
  </conditionalFormatting>
  <conditionalFormatting sqref="I30">
    <cfRule type="expression" dxfId="34" priority="42" stopIfTrue="1">
      <formula>OR(MS_Cn_max&lt;CritMsCnmin,MS_Cn_max&gt;CritMsCnmax)</formula>
    </cfRule>
  </conditionalFormatting>
  <conditionalFormatting sqref="L38:M38">
    <cfRule type="expression" dxfId="33" priority="232" stopIfTrue="1">
      <formula>OR(SUM($C$27:$C$32)=273, $H$33&lt;&gt;"STABLE")</formula>
    </cfRule>
  </conditionalFormatting>
  <conditionalFormatting sqref="L6:P9">
    <cfRule type="expression" dxfId="32" priority="48" stopIfTrue="1">
      <formula>IF(RIGHT(Nb_diam,1)=",",1)</formula>
    </cfRule>
  </conditionalFormatting>
  <conditionalFormatting sqref="L20:P22 D25:E25 D27:E34 B35:E35">
    <cfRule type="expression" dxfId="31" priority="83" stopIfTrue="1">
      <formula>IF(LEFT(Type_masquage,1)="M",1)</formula>
    </cfRule>
  </conditionalFormatting>
  <conditionalFormatting sqref="L23:P24">
    <cfRule type="expression" dxfId="30" priority="64" stopIfTrue="1">
      <formula>IF(RIGHT(Nb_diam,1)=",",1)</formula>
    </cfRule>
  </conditionalFormatting>
  <conditionalFormatting sqref="M36 O36">
    <cfRule type="expression" dxfId="29" priority="141" stopIfTrue="1">
      <formula>$M$36="propu NOK"</formula>
    </cfRule>
  </conditionalFormatting>
  <conditionalFormatting sqref="M5:P5">
    <cfRule type="expression" dxfId="28" priority="38" stopIfTrue="1">
      <formula>IF(RIGHT(Nb_diam,1)=",",1)</formula>
    </cfRule>
  </conditionalFormatting>
  <conditionalFormatting sqref="N36">
    <cfRule type="expression" dxfId="27" priority="26" stopIfTrue="1">
      <formula>ROUND(SUM(C2:P25)+SUM(C27:P35),0)=8637</formula>
    </cfRule>
  </conditionalFormatting>
  <dataValidations count="13">
    <dataValidation type="whole" allowBlank="1" showInputMessage="1" showErrorMessage="1" error="Tapez un entier entre 3 et 6." sqref="C32:D32" xr:uid="{00000000-0002-0000-0000-000000000000}">
      <formula1>3</formula1>
      <formula2>6</formula2>
    </dataValidation>
    <dataValidation type="decimal" operator="notEqual" allowBlank="1" showInputMessage="1" showErrorMessage="1" error="Tapez uniquement la longueur, sans l'unité." sqref="C29:D29" xr:uid="{00000000-0002-0000-0000-000001000000}">
      <formula1>1E+100</formula1>
    </dataValidation>
    <dataValidation type="decimal" operator="greaterThanOrEqual" allowBlank="1" showInputMessage="1" showErrorMessage="1" error="Tapez uniquement la longueur, sans l'unité." sqref="C27:D28 C33:D34 C30:D31 M6:O9" xr:uid="{00000000-0002-0000-0000-000002000000}">
      <formula1>0</formula1>
    </dataValidation>
    <dataValidation type="list" showInputMessage="1" showErrorMessage="1" sqref="C26:D26" xr:uid="{00000000-0002-0000-0000-000003000000}">
      <formula1>Menu_Empennage</formula1>
    </dataValidation>
    <dataValidation type="list" showInputMessage="1" showErrorMessage="1" sqref="C17:D17" xr:uid="{00000000-0002-0000-0000-000004000000}">
      <formula1>Liste_propu</formula1>
    </dataValidation>
    <dataValidation type="list" showInputMessage="1" showErrorMessage="1" sqref="M2" xr:uid="{00000000-0002-0000-0000-000005000000}">
      <formula1>Menu_Lang</formula1>
    </dataValidation>
    <dataValidation type="decimal" showInputMessage="1" showErrorMessage="1" errorTitle="Masse de la Fusée" error="Tapez uniquement la masse, sans l'unité." sqref="C11" xr:uid="{00000000-0002-0000-0000-000006000000}">
      <formula1>0</formula1>
      <formula2>50000</formula2>
    </dataValidation>
    <dataValidation type="decimal" operator="greaterThan" showInputMessage="1" showErrorMessage="1" error="Tapez uniquement la longueur, sans l'unité." sqref="C12 C13:D13 C22:D23" xr:uid="{00000000-0002-0000-0000-000007000000}">
      <formula1>0</formula1>
    </dataValidation>
    <dataValidation type="list" showInputMessage="1" showErrorMessage="1" sqref="D11:D12" xr:uid="{00000000-0002-0000-0000-000008000000}">
      <formula1>Menu_with_motor</formula1>
    </dataValidation>
    <dataValidation type="list" showInputMessage="1" showErrorMessage="1" sqref="C10:D10" xr:uid="{00000000-0002-0000-0000-000009000000}">
      <formula1>Menu_Type</formula1>
    </dataValidation>
    <dataValidation type="decimal" operator="greaterThan" allowBlank="1" showInputMessage="1" showErrorMessage="1" error="Tapez uniquement la longueur, sans l'unité." sqref="C18" xr:uid="{00000000-0002-0000-0000-00000A000000}">
      <formula1>0</formula1>
    </dataValidation>
    <dataValidation type="list" showInputMessage="1" showErrorMessage="1" sqref="C21:D21" xr:uid="{00000000-0002-0000-0000-00000B000000}">
      <formula1>Menu_Ogive</formula1>
    </dataValidation>
    <dataValidation type="list" showInputMessage="1" showErrorMessage="1" sqref="M4" xr:uid="{00000000-0002-0000-0000-00000C000000}">
      <formula1>Menu_Transitions</formula1>
    </dataValidation>
  </dataValidations>
  <hyperlinks>
    <hyperlink ref="M38" location="Trajecto!C25" display="Trajecto" xr:uid="{00000000-0004-0000-0000-000000000000}"/>
  </hyperlinks>
  <printOptions horizontalCentered="1" verticalCentered="1"/>
  <pageMargins left="7.874015748031496E-2" right="7.874015748031496E-2" top="7.874015748031496E-2" bottom="7.874015748031496E-2" header="0" footer="0"/>
  <pageSetup paperSize="9" orientation="landscape" horizontalDpi="200" verticalDpi="200" r:id="rId1"/>
  <headerFooter alignWithMargins="0"/>
  <ignoredErrors>
    <ignoredError sqref="C34:D34" unlockedFormula="1"/>
    <ignoredError sqref="E18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775" r:id="rId4" name="Spinner 935">
              <controlPr defaultSize="0" print="0" autoPict="0">
                <anchor moveWithCells="1" sizeWithCells="1">
                  <from>
                    <xdr:col>3</xdr:col>
                    <xdr:colOff>749300</xdr:colOff>
                    <xdr:row>21</xdr:row>
                    <xdr:rowOff>12700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1" r:id="rId5" name="Spinner 941">
              <controlPr defaultSize="0" print="0" autoPict="0">
                <anchor moveWithCells="1" sizeWithCells="1">
                  <from>
                    <xdr:col>2</xdr:col>
                    <xdr:colOff>749300</xdr:colOff>
                    <xdr:row>10</xdr:row>
                    <xdr:rowOff>12700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2" r:id="rId6" name="Spinner 942">
              <controlPr defaultSize="0" print="0" autoPict="0">
                <anchor moveWithCells="1" sizeWithCells="1">
                  <from>
                    <xdr:col>2</xdr:col>
                    <xdr:colOff>749300</xdr:colOff>
                    <xdr:row>11</xdr:row>
                    <xdr:rowOff>12700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3" r:id="rId7" name="Spinner 943">
              <controlPr defaultSize="0" print="0" autoPict="0">
                <anchor moveWithCells="1" sizeWithCells="1">
                  <from>
                    <xdr:col>3</xdr:col>
                    <xdr:colOff>749300</xdr:colOff>
                    <xdr:row>22</xdr:row>
                    <xdr:rowOff>12700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9" r:id="rId8" name="Spinner 949">
              <controlPr defaultSize="0" print="0" autoPict="0">
                <anchor moveWithCells="1" sizeWithCells="1">
                  <from>
                    <xdr:col>2</xdr:col>
                    <xdr:colOff>749300</xdr:colOff>
                    <xdr:row>26</xdr:row>
                    <xdr:rowOff>12700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5" r:id="rId9" name="Spinner 955">
              <controlPr defaultSize="0" print="0" autoPict="0">
                <anchor moveWithCells="1" sizeWithCells="1">
                  <from>
                    <xdr:col>2</xdr:col>
                    <xdr:colOff>749300</xdr:colOff>
                    <xdr:row>27</xdr:row>
                    <xdr:rowOff>12700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6" r:id="rId10" name="Spinner 956">
              <controlPr defaultSize="0" print="0" autoPict="0">
                <anchor moveWithCells="1" sizeWithCells="1">
                  <from>
                    <xdr:col>2</xdr:col>
                    <xdr:colOff>749300</xdr:colOff>
                    <xdr:row>28</xdr:row>
                    <xdr:rowOff>12700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7" r:id="rId11" name="Spinner 957">
              <controlPr defaultSize="0" print="0" autoPict="0">
                <anchor moveWithCells="1" sizeWithCells="1">
                  <from>
                    <xdr:col>2</xdr:col>
                    <xdr:colOff>749300</xdr:colOff>
                    <xdr:row>29</xdr:row>
                    <xdr:rowOff>12700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8" r:id="rId12" name="Spinner 958">
              <controlPr defaultSize="0" print="0" autoPict="0">
                <anchor moveWithCells="1" sizeWithCells="1">
                  <from>
                    <xdr:col>2</xdr:col>
                    <xdr:colOff>749300</xdr:colOff>
                    <xdr:row>30</xdr:row>
                    <xdr:rowOff>12700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9" r:id="rId13" name="Spinner 959">
              <controlPr defaultSize="0" print="0" autoPict="0">
                <anchor moveWithCells="1" sizeWithCells="1">
                  <from>
                    <xdr:col>2</xdr:col>
                    <xdr:colOff>749300</xdr:colOff>
                    <xdr:row>31</xdr:row>
                    <xdr:rowOff>12700</xdr:rowOff>
                  </from>
                  <to>
                    <xdr:col>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01" r:id="rId14" name="Spinner 961">
              <controlPr defaultSize="0" print="0" autoPict="0">
                <anchor moveWithCells="1" sizeWithCells="1">
                  <from>
                    <xdr:col>3</xdr:col>
                    <xdr:colOff>749300</xdr:colOff>
                    <xdr:row>12</xdr:row>
                    <xdr:rowOff>12700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1" r:id="rId15" name="Spinner 3315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12700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2" r:id="rId16" name="Spinner 3316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12700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R199"/>
  <sheetViews>
    <sheetView showGridLines="0" tabSelected="1" zoomScale="109" zoomScaleNormal="175" workbookViewId="0">
      <selection activeCell="C20" sqref="C20:D20"/>
    </sheetView>
  </sheetViews>
  <sheetFormatPr baseColWidth="10" defaultColWidth="11.453125" defaultRowHeight="12.5" x14ac:dyDescent="0.25"/>
  <cols>
    <col min="1" max="1" width="2.1796875" style="1" customWidth="1"/>
    <col min="2" max="2" width="16.36328125" style="1" customWidth="1"/>
    <col min="3" max="4" width="11.453125" style="1"/>
    <col min="5" max="5" width="2.6328125" style="1" customWidth="1"/>
    <col min="6" max="7" width="12.81640625" style="1" customWidth="1"/>
    <col min="8" max="13" width="10.6328125" style="1" customWidth="1"/>
    <col min="14" max="15" width="2.1796875" style="1" customWidth="1"/>
    <col min="16" max="17" width="14.36328125" style="1" customWidth="1"/>
    <col min="18" max="16384" width="11.453125" style="1"/>
  </cols>
  <sheetData>
    <row r="1" spans="1:14" ht="13" x14ac:dyDescent="0.3">
      <c r="A1" s="51"/>
      <c r="B1" s="52"/>
      <c r="C1" s="53"/>
      <c r="D1" s="52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4" ht="12.75" customHeight="1" x14ac:dyDescent="0.3">
      <c r="A2" s="56"/>
      <c r="B2" s="2"/>
      <c r="C2" s="625" t="s">
        <v>0</v>
      </c>
      <c r="D2" s="625"/>
      <c r="F2" s="3"/>
      <c r="J2" s="4"/>
      <c r="N2" s="57"/>
    </row>
    <row r="3" spans="1:14" ht="12.75" customHeight="1" x14ac:dyDescent="0.3">
      <c r="A3" s="56"/>
      <c r="B3" s="2"/>
      <c r="C3" s="625"/>
      <c r="D3" s="625"/>
      <c r="H3" s="5"/>
      <c r="J3" s="4"/>
      <c r="N3" s="57"/>
    </row>
    <row r="4" spans="1:14" ht="12.75" customHeight="1" x14ac:dyDescent="0.3">
      <c r="A4" s="56"/>
      <c r="B4" s="2"/>
      <c r="C4" s="628" t="str">
        <f>IF(Lang="Français","Trajectographie de fusée",IF(Lang="English","Rocket Trajectography",""))</f>
        <v>Trajectographie de fusée</v>
      </c>
      <c r="D4" s="628"/>
      <c r="H4" s="5"/>
      <c r="J4" s="4"/>
      <c r="N4" s="57"/>
    </row>
    <row r="5" spans="1:14" ht="12.75" customHeight="1" x14ac:dyDescent="0.3">
      <c r="A5" s="56"/>
      <c r="B5" s="2"/>
      <c r="J5" s="4"/>
      <c r="N5" s="57"/>
    </row>
    <row r="6" spans="1:14" ht="13" customHeight="1" x14ac:dyDescent="0.3">
      <c r="A6" s="56"/>
      <c r="B6" s="87"/>
      <c r="C6" s="627" t="str">
        <f>IF(Lang="Français","Remplir les cases jaunes",IF(Lang="English","Fill-in yellow cells only",""))</f>
        <v>Remplir les cases jaunes</v>
      </c>
      <c r="D6" s="627"/>
      <c r="J6" s="4"/>
      <c r="N6" s="57"/>
    </row>
    <row r="7" spans="1:14" ht="13" x14ac:dyDescent="0.3">
      <c r="A7" s="56"/>
      <c r="B7" s="6"/>
      <c r="C7" s="607" t="str">
        <f>IF(Lang="Français","Fusée",IF(Lang="English","Rocket",""))</f>
        <v>Fusée</v>
      </c>
      <c r="D7" s="607"/>
      <c r="N7" s="58"/>
    </row>
    <row r="8" spans="1:14" ht="12.75" customHeight="1" x14ac:dyDescent="0.35">
      <c r="A8" s="56"/>
      <c r="B8" s="140" t="str">
        <f>IF(Lang="Français","Nom",IF(Lang="English","Name",""))</f>
        <v>Nom</v>
      </c>
      <c r="C8" s="626" t="str">
        <f>Nom</f>
        <v>SP-02-beta</v>
      </c>
      <c r="D8" s="626"/>
      <c r="E8" s="5"/>
      <c r="F8" s="5"/>
      <c r="J8" s="4"/>
      <c r="N8" s="57"/>
    </row>
    <row r="9" spans="1:14" ht="12.75" customHeight="1" x14ac:dyDescent="0.35">
      <c r="A9" s="59"/>
      <c r="B9" s="140" t="s">
        <v>4</v>
      </c>
      <c r="C9" s="626" t="str">
        <f>Club</f>
        <v>l'AeroIPSA</v>
      </c>
      <c r="D9" s="626"/>
      <c r="F9" s="5"/>
      <c r="N9" s="58"/>
    </row>
    <row r="10" spans="1:14" ht="12.75" customHeight="1" x14ac:dyDescent="0.25">
      <c r="A10" s="59"/>
      <c r="B10" s="140" t="str">
        <f>IF(Lang="Français","Masse totale",IF(Lang="English","Total Mass",""))</f>
        <v>Masse totale</v>
      </c>
      <c r="C10" s="602">
        <f ca="1">MassePlein</f>
        <v>2.1598999999999999</v>
      </c>
      <c r="D10" s="602"/>
      <c r="F10" s="5"/>
      <c r="N10" s="58"/>
    </row>
    <row r="11" spans="1:14" ht="12.75" customHeight="1" x14ac:dyDescent="0.3">
      <c r="A11" s="59"/>
      <c r="B11" s="227" t="str">
        <f>IF(Lang="Français","Propulseur",IF(Lang="English","Motor",""))</f>
        <v>Propulseur</v>
      </c>
      <c r="C11" s="605" t="str">
        <f>Propu</f>
        <v>Pandora (Pro24-6G BS)</v>
      </c>
      <c r="D11" s="606"/>
      <c r="F11" s="5"/>
      <c r="N11" s="58"/>
    </row>
    <row r="12" spans="1:14" ht="12.75" customHeight="1" x14ac:dyDescent="0.25">
      <c r="A12" s="59"/>
      <c r="F12" s="5"/>
      <c r="N12" s="58"/>
    </row>
    <row r="13" spans="1:14" ht="12.75" customHeight="1" x14ac:dyDescent="0.3">
      <c r="A13" s="59"/>
      <c r="B13"/>
      <c r="C13" s="607" t="str">
        <f>IF(Lang="Français","Traînée Aérdynamique",IF(Lang="English","Drag",""))</f>
        <v>Traînée Aérdynamique</v>
      </c>
      <c r="D13" s="607"/>
      <c r="N13" s="58"/>
    </row>
    <row r="14" spans="1:14" ht="12.75" customHeight="1" x14ac:dyDescent="0.25">
      <c r="A14" s="59"/>
      <c r="B14" s="140" t="s">
        <v>41</v>
      </c>
      <c r="C14" s="608">
        <f>(PI()*D_ref^2/4+E_ail*ep_ail*Q_ail)/10^6</f>
        <v>4.416990877275948E-3</v>
      </c>
      <c r="D14" s="608"/>
      <c r="N14" s="58"/>
    </row>
    <row r="15" spans="1:14" ht="12.75" customHeight="1" x14ac:dyDescent="0.25">
      <c r="A15" s="59"/>
      <c r="B15" s="141" t="s">
        <v>5</v>
      </c>
      <c r="C15" s="600">
        <v>0.5</v>
      </c>
      <c r="D15" s="601"/>
      <c r="N15" s="58"/>
    </row>
    <row r="16" spans="1:14" ht="12.75" customHeight="1" x14ac:dyDescent="0.25">
      <c r="A16" s="59"/>
      <c r="N16" s="58"/>
    </row>
    <row r="17" spans="1:18" ht="12.75" customHeight="1" x14ac:dyDescent="0.3">
      <c r="A17" s="59"/>
      <c r="B17"/>
      <c r="C17" s="607" t="str">
        <f>IF(Lang="Français","Rampe de Lancement",IF(Lang="English","Launch Pad",""))</f>
        <v>Rampe de Lancement</v>
      </c>
      <c r="D17" s="607"/>
      <c r="N17" s="58"/>
    </row>
    <row r="18" spans="1:18" ht="12.75" customHeight="1" x14ac:dyDescent="0.25">
      <c r="A18" s="59"/>
      <c r="B18" s="140" t="str">
        <f>IF(Lang="Français","Longueur",IF(Lang="English","Length",""))</f>
        <v>Longueur</v>
      </c>
      <c r="C18" s="604">
        <f>IF(RIGHT(Type_fusee,1)=".",4, IF(LEFT(Type_fusee,4)="Mini",4, IF(LEFT(Type_fusee,5)="Micro",1, IF(RIGHT(Type_fusee,1)=" ",0.1,IF(LEFT(Type_fusee,1)="R",3, 2.5)))))</f>
        <v>4</v>
      </c>
      <c r="D18" s="604"/>
      <c r="N18" s="58"/>
    </row>
    <row r="19" spans="1:18" ht="12.75" customHeight="1" x14ac:dyDescent="0.25">
      <c r="A19" s="59"/>
      <c r="B19" s="140" t="str">
        <f>IF(Lang="Français","Élévation",IF(Lang="English","Angle /horizon",""))</f>
        <v>Élévation</v>
      </c>
      <c r="C19" s="603">
        <v>82.43</v>
      </c>
      <c r="D19" s="603"/>
      <c r="N19" s="58"/>
    </row>
    <row r="20" spans="1:18" ht="12.75" customHeight="1" x14ac:dyDescent="0.25">
      <c r="A20" s="59"/>
      <c r="B20" s="140" t="s">
        <v>6</v>
      </c>
      <c r="C20" s="604">
        <v>0</v>
      </c>
      <c r="D20" s="604"/>
      <c r="N20" s="58"/>
    </row>
    <row r="21" spans="1:18" ht="12.75" customHeight="1" x14ac:dyDescent="0.25">
      <c r="A21" s="59"/>
      <c r="F21" s="384" t="e">
        <f ca="1">IF( OR( AND(Vsortie_de_rampe&lt;18, RIGHT(Type_fusee,1)=";"), AND(Vsortie_de_rampe&lt;20, RIGHT(Type_fusee,1)=".")), IF(Lang="Français","Vitesse en Sortie de Rampe trop faible, alléger la fusée ou choisir un propu plus puissant.","Speed at Launch Pad Exit too low, lighten the rocket or choose a bigger motor."), "")</f>
        <v>#N/A</v>
      </c>
      <c r="N21" s="58"/>
    </row>
    <row r="22" spans="1:18" ht="13" x14ac:dyDescent="0.3">
      <c r="A22" s="59"/>
      <c r="C22" s="609" t="str">
        <f>IF(Lang="Français","DescenteSousParachute",IF(Lang="English","Over Parachute",""))</f>
        <v>DescenteSousParachute</v>
      </c>
      <c r="D22" s="610"/>
      <c r="F22" s="4"/>
      <c r="G22" s="50">
        <f ca="1">TODAY()</f>
        <v>45708</v>
      </c>
      <c r="H22" s="491" t="str">
        <f>IF(Lang="Français","Temps",IF(Lang="English","Time",""))</f>
        <v>Temps</v>
      </c>
      <c r="I22" s="491" t="s">
        <v>12</v>
      </c>
      <c r="J22" s="491" t="str">
        <f>IF(Lang="Français","Portée x",IF(Lang="English","Range x",""))</f>
        <v>Portée x</v>
      </c>
      <c r="K22" s="491" t="str">
        <f>IF(Lang="Français","Vitesse",IF(Lang="English","Velocity",""))</f>
        <v>Vitesse</v>
      </c>
      <c r="L22" s="492" t="s">
        <v>13</v>
      </c>
      <c r="M22" s="501" t="s">
        <v>421</v>
      </c>
      <c r="N22" s="58"/>
    </row>
    <row r="23" spans="1:18" ht="13" x14ac:dyDescent="0.3">
      <c r="A23" s="59"/>
      <c r="B23"/>
      <c r="C23" s="142" t="str">
        <f>C7</f>
        <v>Fusée</v>
      </c>
      <c r="D23" s="220" t="s">
        <v>121</v>
      </c>
      <c r="F23" s="611" t="str">
        <f>IF(Lang="Français","Sortie de Rampe",IF(Lang="English","Launch-Pad Exit",""))</f>
        <v>Sortie de Rampe</v>
      </c>
      <c r="G23" s="612"/>
      <c r="H23" s="493"/>
      <c r="I23" s="493"/>
      <c r="J23" s="493"/>
      <c r="K23" s="494" t="e">
        <f ca="1">INDEX(vit_xz,MATCH("Sortie de rampe",Event,0))</f>
        <v>#N/A</v>
      </c>
      <c r="L23" s="495"/>
      <c r="M23" s="502"/>
      <c r="N23" s="58"/>
    </row>
    <row r="24" spans="1:18" ht="13" x14ac:dyDescent="0.25">
      <c r="A24" s="59"/>
      <c r="B24" s="466" t="str">
        <f>IF(Lang="Français","Masse",IF(Lang="English","Mass",""))</f>
        <v>Masse</v>
      </c>
      <c r="C24" s="467">
        <f ca="1">IF(Nb_sat="0 satellite",MasseVide,MasseVide-m_satellite)</f>
        <v>2.0842999999999998</v>
      </c>
      <c r="D24" s="482">
        <f>IF(RIGHT(Type_fusee,1)=".",1,0.15)</f>
        <v>0.15</v>
      </c>
      <c r="E24" s="18" t="str">
        <f>IF(ABS(T_satellite-0.11-T_para)&lt;0.1,"Pb!","")</f>
        <v/>
      </c>
      <c r="F24" s="614" t="str">
        <f>IF(Lang="Français","Vit max &amp; Acc max",IF(Lang="English","Max Velocity &amp; Acc",""))</f>
        <v>Vit max &amp; Acc max</v>
      </c>
      <c r="G24" s="594"/>
      <c r="H24" s="115"/>
      <c r="I24" s="115"/>
      <c r="J24" s="115"/>
      <c r="K24" s="158">
        <f ca="1">MAX(vit_xz)</f>
        <v>229.2579658968146</v>
      </c>
      <c r="L24" s="496">
        <f ca="1">MAX(acc_xz)</f>
        <v>79.727305088659435</v>
      </c>
      <c r="M24" s="502"/>
      <c r="N24" s="58"/>
    </row>
    <row r="25" spans="1:18" ht="13" x14ac:dyDescent="0.25">
      <c r="A25" s="59"/>
      <c r="B25" s="470" t="str">
        <f>IF(Lang="Français","Dépotage",IF(Lang="English","Delay",""))</f>
        <v>Dépotage</v>
      </c>
      <c r="C25" s="507" t="s">
        <v>407</v>
      </c>
      <c r="D25" s="481"/>
      <c r="F25" s="615" t="str">
        <f>IF(Lang="Français","Largage du satellite",IF(Lang="English","Satellite separation",""))</f>
        <v>Largage du satellite</v>
      </c>
      <c r="G25" s="596"/>
      <c r="H25" s="152">
        <f>IF(T_satellite&lt;&gt;0,T_satellite,"")</f>
        <v>3.5</v>
      </c>
      <c r="I25" s="156" t="e">
        <f ca="1">IF(T_satellite&lt;&gt;0,INDEX(pos_z,MATCH("Satellite",Event_sat,0)),"")</f>
        <v>#N/A</v>
      </c>
      <c r="J25" s="154" t="e">
        <f ca="1">IF(T_satellite&lt;&gt;0,INDEX(pos_x,MATCH("Satellite",Event_sat,0)),"")</f>
        <v>#N/A</v>
      </c>
      <c r="K25" s="159" t="e">
        <f ca="1">IF(T_satellite&lt;&gt;0,INDEX(vit_xz,MATCH("Satellite",Event_sat,0)),"")</f>
        <v>#N/A</v>
      </c>
      <c r="L25" s="497"/>
      <c r="M25" s="487" t="e">
        <f ca="1">1/2*Rho_moyen*1*V_ouv_sat^2*S_satellite</f>
        <v>#N/A</v>
      </c>
      <c r="N25" s="58"/>
    </row>
    <row r="26" spans="1:18" ht="13" x14ac:dyDescent="0.25">
      <c r="A26" s="59"/>
      <c r="B26" s="468" t="str">
        <f>IF(Lang="Français","Ouverture para",IF(Lang="English","Opening time",""))</f>
        <v>Ouverture para</v>
      </c>
      <c r="C26" s="509">
        <v>21</v>
      </c>
      <c r="D26" s="469">
        <v>3.5</v>
      </c>
      <c r="F26" s="614" t="s">
        <v>15</v>
      </c>
      <c r="G26" s="594"/>
      <c r="H26" s="153">
        <f ca="1">INDEX(t,MATCH("Apogée",Event,0))</f>
        <v>20.499999999999993</v>
      </c>
      <c r="I26" s="157">
        <f ca="1">INDEX(pos_z,MATCH("Apogée",Event,0))</f>
        <v>2283.3016154512825</v>
      </c>
      <c r="J26" s="155">
        <f ca="1">INDEX(pos_x,MATCH("Apogée",Event,0))</f>
        <v>406.56437728656948</v>
      </c>
      <c r="K26" s="160">
        <f ca="1">INDEX(vit_xz,MATCH("Apogée",Event,0))</f>
        <v>15.654423708316017</v>
      </c>
      <c r="L26" s="498"/>
      <c r="M26" s="502"/>
      <c r="N26" s="58"/>
    </row>
    <row r="27" spans="1:18" ht="13" x14ac:dyDescent="0.25">
      <c r="A27" s="59"/>
      <c r="B27" s="141" t="s">
        <v>9</v>
      </c>
      <c r="C27" s="225">
        <f>S_para_croix</f>
        <v>0.24</v>
      </c>
      <c r="D27" s="17">
        <f>IF(RIGHT(Type_fusee,1)=".",0.1,0.02)</f>
        <v>0.02</v>
      </c>
      <c r="F27" s="613" t="str">
        <f>IF(Lang="Français","Ouverture parachute fusée",IF(Lang="English","Rocket parachute opening",""))</f>
        <v>Ouverture parachute fusée</v>
      </c>
      <c r="G27" s="599"/>
      <c r="H27" s="152">
        <f>T_para</f>
        <v>21</v>
      </c>
      <c r="I27" s="156">
        <f ca="1">INDEX(pos_z,MATCH("Para",Event_para,0))</f>
        <v>2282.4153823114448</v>
      </c>
      <c r="J27" s="488">
        <f ca="1">INDEX(pos_x,MATCH("Para",Event_para,0))</f>
        <v>414.3684264493138</v>
      </c>
      <c r="K27" s="159">
        <f ca="1">INDEX(vit_xz,MATCH("Para",Event_para,0))</f>
        <v>16.138052307554052</v>
      </c>
      <c r="L27" s="497"/>
      <c r="M27" s="487">
        <f ca="1">1/2*Rho_moyen*1*V_ouverture^2*S_para</f>
        <v>38.284199645358548</v>
      </c>
      <c r="N27" s="58"/>
      <c r="P27" s="384" t="str">
        <f ca="1">IF(V_para&lt;5, IF(Lang="Français","Parachute fusée trop grand !","Parachute too big!"), IF( V_para&gt;15, IF(Lang="Français","Parachute fusée trop petit !","Parachute too small!"), ""))</f>
        <v/>
      </c>
      <c r="R27" s="384" t="str">
        <f>IF(AND(Nb_sat="1 satellite", OR(V_satellite&lt;5)), IF(Lang="Français","Parachute satéllite trop grand !","Parachute too big"), IF(AND(Nb_sat="1 satellite",OR(V_satellite&gt;15)), IF(Lang="Français","Parachute satéllite trop petit !","Parachute too small!"), ""))</f>
        <v/>
      </c>
    </row>
    <row r="28" spans="1:18" ht="13" x14ac:dyDescent="0.25">
      <c r="A28" s="59"/>
      <c r="B28" s="141" t="s">
        <v>10</v>
      </c>
      <c r="C28" s="143">
        <v>1</v>
      </c>
      <c r="D28" s="143">
        <v>1</v>
      </c>
      <c r="F28" s="618" t="str">
        <f>IF(Lang="Français","Impact balistique",IF(Lang="English","Balistic Impact",""))</f>
        <v>Impact balistique</v>
      </c>
      <c r="G28" s="619"/>
      <c r="H28" s="499">
        <f ca="1">INDEX(t,MATCH("Impact balistique",Event,0))</f>
        <v>47.100000000000371</v>
      </c>
      <c r="I28" s="519" t="s">
        <v>428</v>
      </c>
      <c r="J28" s="489">
        <f ca="1">INDEX(pos_x,MATCH("Impact balistique",Event,0))</f>
        <v>677.64536374242232</v>
      </c>
      <c r="K28" s="503">
        <f ca="1">K45</f>
        <v>122.6011881165782</v>
      </c>
      <c r="L28" s="500"/>
      <c r="M28" s="504">
        <f ca="1">0.5*m_vide*K28^2</f>
        <v>15664.610141054791</v>
      </c>
      <c r="N28" s="58"/>
      <c r="P28" s="384" t="str">
        <f ca="1">IF( OR( V_para&lt;5, V_para&gt;15, AND(Nb_sat="1 satellite", OR(V_satellite&lt;5, V_satellite&gt;15))), IF(Lang="Français","La Vitesse de descente sous parachute doit être comprise entre 5 &amp; 15 m/s.","Fall Velocity with parachute must be between 5 &amp; 15 m/s."), "")</f>
        <v/>
      </c>
    </row>
    <row r="29" spans="1:18" ht="13" x14ac:dyDescent="0.25">
      <c r="A29" s="59"/>
      <c r="B29" s="141" t="str">
        <f>IF(Lang="Français","Vitesse du vent",IF(Lang="English","Wind speed",""))</f>
        <v>Vitesse du vent</v>
      </c>
      <c r="C29" s="144">
        <v>5</v>
      </c>
      <c r="D29" s="144">
        <f>V_vent</f>
        <v>5</v>
      </c>
      <c r="E29" s="18" t="str">
        <f>IF(AND(T_satellite=0,m_satellite&lt;&gt;0),"Erreur !","")</f>
        <v/>
      </c>
      <c r="G29" s="485"/>
      <c r="H29" s="486"/>
      <c r="I29" s="490"/>
      <c r="N29" s="58"/>
      <c r="P29" s="384" t="str">
        <f ca="1">IF(AND(Portee_balistique&gt;200,LEFT(Type_propu,4)="Mini"),IF(Lang="Français","Fusée trop lègère !","Rocket too light"),"")</f>
        <v>Fusée trop lègère !</v>
      </c>
    </row>
    <row r="30" spans="1:18" ht="13" x14ac:dyDescent="0.3">
      <c r="A30" s="59"/>
      <c r="B30" s="133" t="str">
        <f>IF(Lang="Français","Vitesse descente",IF(Lang="English","Fall velocity",""))</f>
        <v>Vitesse descente</v>
      </c>
      <c r="C30" s="424">
        <f ca="1">SQRT(2*m_vide*g/Rho_moyen/S_para/Cx_para)</f>
        <v>11.793859523030601</v>
      </c>
      <c r="D30" s="424">
        <f>SQRT(2*m_satellite*g/Rho_moyen/S_satellite/Cx_satellite)</f>
        <v>10.960038730752361</v>
      </c>
      <c r="F30" s="384"/>
      <c r="K30" s="388"/>
      <c r="N30" s="58"/>
      <c r="P30" s="384" t="e">
        <f ca="1">IF(OR(AND(Vsortie_de_rampe&lt;20,LEFT(Type_fusee,1)="F"),AND(Vsortie_de_rampe&lt;18, OR(LEFT(Type_fusee,1)=",",LEFT(Type_fusee,4)="Mini",LEFT(Type_fusee,1)="R"))),IF(Lang="Français","Fusée trop lourde ou rampe trop courte !","Rocket too heavy or launch pad too small!"),"")</f>
        <v>#N/A</v>
      </c>
    </row>
    <row r="31" spans="1:18" ht="13" x14ac:dyDescent="0.25">
      <c r="A31" s="59"/>
      <c r="B31" s="133" t="str">
        <f>IF(Lang="Français","Durée descente",IF(Lang="English","Fall duration",""))</f>
        <v>Durée descente</v>
      </c>
      <c r="C31" s="132">
        <f ca="1">Alt_para/V_para</f>
        <v>193.52573920813882</v>
      </c>
      <c r="D31" s="132" t="e">
        <f ca="1">IF(V_satellite&lt;&gt;0,Alt_sat/V_satellite,0)</f>
        <v>#N/A</v>
      </c>
      <c r="H31" s="620" t="str">
        <f>IF(Lang="Français","Pour localiser la fusée","To locate the rocket")</f>
        <v>Pour localiser la fusée</v>
      </c>
      <c r="I31" s="620"/>
      <c r="J31" s="484"/>
      <c r="N31" s="395"/>
      <c r="P31" s="384" t="str">
        <f ca="1">IF(Temps_culmi-T_para&gt;2,IF(Lang="Français","Ouverture parachute fusée précoce.","Early rocket parachute opening."),IF(Temps_culmi-T_para&lt;-2,IF(Lang="Français","Ouverture parachute fusée tardive.","Late rocket parachute opening."),""))</f>
        <v/>
      </c>
    </row>
    <row r="32" spans="1:18" ht="13" x14ac:dyDescent="0.25">
      <c r="A32" s="59"/>
      <c r="B32" s="133" t="str">
        <f>IF(Lang="Français","Durée du vol",IF(Lang="English","Fligth duration",""))</f>
        <v>Durée du vol</v>
      </c>
      <c r="C32" s="132">
        <f ca="1">T_para+Dt_para</f>
        <v>214.52573920813882</v>
      </c>
      <c r="D32" s="132" t="e">
        <f ca="1">T_satellite+Dt_satellite</f>
        <v>#N/A</v>
      </c>
      <c r="F32" s="620" t="str">
        <f>IF(Lang="Français","Couleur fuselage/coiffe","Body/Nose color")</f>
        <v>Couleur fuselage/coiffe</v>
      </c>
      <c r="G32" s="620"/>
      <c r="H32" s="616" t="s">
        <v>555</v>
      </c>
      <c r="I32" s="617"/>
      <c r="N32" s="394"/>
      <c r="P32" s="384" t="str">
        <f ca="1">IF(ABS(Temps_culmi-T_para)&gt;2,IF(Lang="Français","Attention, aux efforts sur le parachute lors de l'ouverture !","Becarefull to the opening chute efforts!"),"")</f>
        <v/>
      </c>
    </row>
    <row r="33" spans="1:16" customFormat="1" ht="13" x14ac:dyDescent="0.25">
      <c r="A33" s="74"/>
      <c r="B33" s="133" t="str">
        <f>IF(Lang="Français","Déport latéral",IF(Lang="English","Lateral shift",""))</f>
        <v>Déport latéral</v>
      </c>
      <c r="C33" s="151">
        <f ca="1">Alt_para*V_vent/V_para</f>
        <v>967.62869604069419</v>
      </c>
      <c r="D33" s="151" t="e">
        <f ca="1">IF(V_satellite&lt;&gt;0,Alt_sat*V_vent_sat/V_satellite,0)</f>
        <v>#N/A</v>
      </c>
      <c r="F33" s="620" t="str">
        <f>IF(Lang="Français","Couleur parachute fusée","Rocket parachute color")</f>
        <v>Couleur parachute fusée</v>
      </c>
      <c r="G33" s="620"/>
      <c r="H33" s="616" t="s">
        <v>554</v>
      </c>
      <c r="I33" s="617"/>
      <c r="N33" s="394" t="str">
        <f>IF(Lang="Français","fichier initial","Initial file")</f>
        <v>fichier initial</v>
      </c>
    </row>
    <row r="34" spans="1:16" ht="13" x14ac:dyDescent="0.25">
      <c r="A34" s="59"/>
      <c r="F34" s="620" t="str">
        <f>IF(Lang="Français","Couleur parachute satellite","Satellite parachute color")</f>
        <v>Couleur parachute satellite</v>
      </c>
      <c r="G34" s="620"/>
      <c r="H34" s="624" t="s">
        <v>159</v>
      </c>
      <c r="I34" s="624"/>
      <c r="N34" s="393" t="str">
        <f>IF(ROUND(SUM(Propu!5:1228),0)=395253,"propu OK","propu NOK")</f>
        <v>propu OK</v>
      </c>
      <c r="P34"/>
    </row>
    <row r="35" spans="1:16" ht="13" thickBot="1" x14ac:dyDescent="0.3">
      <c r="A35" s="60"/>
      <c r="B35" s="181" t="str">
        <f>IF(Lang="Français","Commentaire libre :",IF(Lang="English","Free comment:",""))</f>
        <v>Commentaire libre :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290" t="s">
        <v>544</v>
      </c>
      <c r="P35"/>
    </row>
    <row r="38" spans="1:16" ht="13" x14ac:dyDescent="0.25">
      <c r="A38" s="621" t="str">
        <f>IF(Lang="Français","Calcul de la surface d'un parachute","Parachute surface calculation")</f>
        <v>Calcul de la surface d'un parachute</v>
      </c>
      <c r="B38" s="622"/>
      <c r="C38" s="622"/>
      <c r="D38" s="623"/>
      <c r="F38" s="621" t="str">
        <f>IF(Lang="Français","Résultats détaillés","Detailled results")</f>
        <v>Résultats détaillés</v>
      </c>
      <c r="G38" s="623"/>
      <c r="H38" s="170" t="str">
        <f>IF(Lang="Français","Temps",IF(Lang="English","Time",""))</f>
        <v>Temps</v>
      </c>
      <c r="I38" s="134" t="s">
        <v>12</v>
      </c>
      <c r="J38" s="134" t="str">
        <f>IF(Lang="Français","Portée x",IF(Lang="English","Range x",""))</f>
        <v>Portée x</v>
      </c>
      <c r="K38" s="134" t="str">
        <f>IF(Lang="Français","Vitesse",IF(Lang="English","Velocity",""))</f>
        <v>Vitesse</v>
      </c>
      <c r="L38" s="135" t="s">
        <v>13</v>
      </c>
      <c r="M38" s="134" t="s">
        <v>42</v>
      </c>
    </row>
    <row r="39" spans="1:16" ht="13" x14ac:dyDescent="0.25">
      <c r="A39" s="161"/>
      <c r="D39" s="162"/>
      <c r="F39" s="172"/>
      <c r="G39" s="173"/>
      <c r="H39" s="171" t="s">
        <v>154</v>
      </c>
      <c r="I39" s="136" t="s">
        <v>39</v>
      </c>
      <c r="J39" s="136" t="s">
        <v>39</v>
      </c>
      <c r="K39" s="136" t="s">
        <v>155</v>
      </c>
      <c r="L39" s="136" t="s">
        <v>7</v>
      </c>
      <c r="M39" s="136" t="s">
        <v>156</v>
      </c>
    </row>
    <row r="40" spans="1:16" ht="13" x14ac:dyDescent="0.25">
      <c r="A40" s="161"/>
      <c r="D40" s="162"/>
      <c r="F40" s="593" t="str">
        <f>IF(Lang="Français","Décollage",IF(Lang="English","Lift-Off",""))</f>
        <v>Décollage</v>
      </c>
      <c r="G40" s="593"/>
      <c r="H40" s="150">
        <v>5.7</v>
      </c>
      <c r="I40" s="150">
        <v>883.12</v>
      </c>
      <c r="J40" s="150">
        <v>105.52</v>
      </c>
      <c r="K40" s="150">
        <v>194.43</v>
      </c>
      <c r="L40" s="148" t="s">
        <v>14</v>
      </c>
      <c r="M40" s="149">
        <f>Beta_rampe</f>
        <v>82.43</v>
      </c>
    </row>
    <row r="41" spans="1:16" ht="13" x14ac:dyDescent="0.25">
      <c r="A41" s="161"/>
      <c r="D41" s="162"/>
      <c r="F41" s="594" t="str">
        <f>IF(Lang="Français","Sortie de Rampe",IF(Lang="English","Launch-Pad Exit",""))</f>
        <v>Sortie de Rampe</v>
      </c>
      <c r="G41" s="594"/>
      <c r="H41" s="115" t="e">
        <f ca="1">INDEX(t,MATCH("Sortie de rampe",Event,0))</f>
        <v>#N/A</v>
      </c>
      <c r="I41" s="115" t="e">
        <f ca="1">INDEX(pos_z,MATCH("Sortie de rampe",Event,0))</f>
        <v>#N/A</v>
      </c>
      <c r="J41" s="115" t="e">
        <f ca="1">INDEX(pos_x,MATCH("Sortie de rampe",Event,0))</f>
        <v>#N/A</v>
      </c>
      <c r="K41" s="116" t="e">
        <f ca="1">INDEX(vit_xz,MATCH("Sortie de rampe",Event,0))</f>
        <v>#N/A</v>
      </c>
      <c r="L41" s="116" t="e">
        <f ca="1">INDEX(acc_xz,MATCH("Sortie de rampe",Event,0))</f>
        <v>#N/A</v>
      </c>
      <c r="M41" s="116" t="e">
        <f ca="1">INDEX(BetaD,MATCH("Sortie de rampe",Event,0))</f>
        <v>#N/A</v>
      </c>
    </row>
    <row r="42" spans="1:16" ht="13" x14ac:dyDescent="0.25">
      <c r="A42" s="161"/>
      <c r="B42" s="166" t="str">
        <f>IF(Lang="Français","Longeur du bord","Side length")</f>
        <v>Longeur du bord</v>
      </c>
      <c r="D42" s="162"/>
      <c r="F42" s="594" t="str">
        <f>IF(Lang="Français","Vit max &amp; Acc max",IF(Lang="English","Max Velocity &amp; Acc",""))</f>
        <v>Vit max &amp; Acc max</v>
      </c>
      <c r="G42" s="594"/>
      <c r="H42" s="115" t="s">
        <v>14</v>
      </c>
      <c r="I42" s="115" t="s">
        <v>14</v>
      </c>
      <c r="J42" s="115" t="s">
        <v>14</v>
      </c>
      <c r="K42" s="117">
        <f ca="1">MAX(vit_xz)</f>
        <v>229.2579658968146</v>
      </c>
      <c r="L42" s="118">
        <f ca="1">MAX(acc_xz)</f>
        <v>79.727305088659435</v>
      </c>
      <c r="M42" s="116" t="s">
        <v>14</v>
      </c>
    </row>
    <row r="43" spans="1:16" ht="13" x14ac:dyDescent="0.25">
      <c r="A43" s="161"/>
      <c r="B43" s="167">
        <v>200</v>
      </c>
      <c r="D43" s="162"/>
      <c r="F43" s="594" t="str">
        <f>IF(Lang="Français","Fin de Propulsion",IF(Lang="English","Motor Burn-Out",""))</f>
        <v>Fin de Propulsion</v>
      </c>
      <c r="G43" s="594"/>
      <c r="H43" s="116">
        <f ca="1">INDEX(t,MATCH("Fin de propulsion",Event,0))</f>
        <v>6.7899999999999769</v>
      </c>
      <c r="I43" s="119">
        <f ca="1">INDEX(pos_z,MATCH("Fin de propulsion",Event,0))</f>
        <v>1118.6256574154115</v>
      </c>
      <c r="J43" s="119">
        <f ca="1">INDEX(pos_x,MATCH("Fin de propulsion",Event,0))</f>
        <v>137.64450999270449</v>
      </c>
      <c r="K43" s="119">
        <f ca="1">INDEX(vit_xz,MATCH("Fin de propulsion",Event,0))</f>
        <v>220.86325741260839</v>
      </c>
      <c r="L43" s="116">
        <f ca="1">INDEX(acc_xz,MATCH("Fin de propulsion",Event,0))</f>
        <v>38.148573076372344</v>
      </c>
      <c r="M43" s="116">
        <f ca="1">INDEX(BetaD,MATCH("Fin de propulsion",Event,0))</f>
        <v>82.05013740198963</v>
      </c>
    </row>
    <row r="44" spans="1:16" ht="13" x14ac:dyDescent="0.25">
      <c r="A44" s="161"/>
      <c r="B44" s="166" t="str">
        <f>IF(Lang="Français","Largeur du coté","Side width")</f>
        <v>Largeur du coté</v>
      </c>
      <c r="D44" s="162"/>
      <c r="F44" s="594" t="s">
        <v>15</v>
      </c>
      <c r="G44" s="594"/>
      <c r="H44" s="118">
        <f ca="1">INDEX(t,MATCH("Apogée",Event,0))</f>
        <v>20.499999999999993</v>
      </c>
      <c r="I44" s="117">
        <f ca="1">INDEX(pos_z,MATCH("Apogée",Event,0))</f>
        <v>2283.3016154512825</v>
      </c>
      <c r="J44" s="120">
        <f ca="1">INDEX(pos_x,MATCH("Apogée",Event,0))</f>
        <v>406.56437728656948</v>
      </c>
      <c r="K44" s="120">
        <f ca="1">INDEX(vit_xz,MATCH("Apogée",Event,0))</f>
        <v>15.654423708316017</v>
      </c>
      <c r="L44" s="116">
        <f ca="1">INDEX(acc_xz,MATCH("Apogée",Event,0))</f>
        <v>9.824316259591896</v>
      </c>
      <c r="M44" s="121">
        <f ca="1">INDEX(BetaD,MATCH("Apogée",Event,0))</f>
        <v>2.4860153860425709</v>
      </c>
    </row>
    <row r="45" spans="1:16" ht="13" x14ac:dyDescent="0.25">
      <c r="A45" s="161"/>
      <c r="B45" s="168">
        <v>250</v>
      </c>
      <c r="D45" s="162"/>
      <c r="F45" s="597" t="str">
        <f>IF(Lang="Français","Impact balistique",IF(Lang="English","Balistic Impact",""))</f>
        <v>Impact balistique</v>
      </c>
      <c r="G45" s="597"/>
      <c r="H45" s="116">
        <f ca="1">INDEX(t,MATCH("Impact balistique",Event,0))</f>
        <v>47.100000000000371</v>
      </c>
      <c r="I45" s="148" t="s">
        <v>16</v>
      </c>
      <c r="J45" s="117">
        <f ca="1">INDEX(pos_x,MATCH("Impact balistique",Event,0))</f>
        <v>677.64536374242232</v>
      </c>
      <c r="K45" s="119">
        <f ca="1">INDEX(vit_xz,MATCH("Impact balistique",Event,0))</f>
        <v>122.6011881165782</v>
      </c>
      <c r="L45" s="116">
        <f ca="1">INDEX(acc_xz,MATCH("Impact balistique",Event,0))</f>
        <v>0.33020548534728972</v>
      </c>
      <c r="M45" s="116">
        <f ca="1">INDEX(BetaD,MATCH("Impact balistique",Event,0))</f>
        <v>-88.111135767990817</v>
      </c>
    </row>
    <row r="46" spans="1:16" ht="13" x14ac:dyDescent="0.25">
      <c r="A46" s="161"/>
      <c r="B46" s="169" t="s">
        <v>9</v>
      </c>
      <c r="D46" s="162"/>
      <c r="F46" s="599" t="str">
        <f>IF(Lang="Français","Ouverture parachute fusée",IF(Lang="English","Rocket parachute opening",""))</f>
        <v>Ouverture parachute fusée</v>
      </c>
      <c r="G46" s="599"/>
      <c r="H46" s="122">
        <f>T_para</f>
        <v>21</v>
      </c>
      <c r="I46" s="123">
        <f ca="1">INDEX(pos_z,MATCH("Para",Event_para,0))</f>
        <v>2282.4153823114448</v>
      </c>
      <c r="J46" s="123">
        <f ca="1">INDEX(pos_x,MATCH("Para",Event_para,0))</f>
        <v>414.3684264493138</v>
      </c>
      <c r="K46" s="123">
        <f ca="1">INDEX(vit_xz,MATCH("Para",Event_para,0))</f>
        <v>16.138052307554052</v>
      </c>
      <c r="L46" s="122">
        <f ca="1">INDEX(acc_xz,MATCH("Para",Event_para,0))</f>
        <v>9.7841972317561883</v>
      </c>
      <c r="M46" s="124">
        <f ca="1">INDEX(BetaD,MATCH("Para",Event_para,0))</f>
        <v>-15.161447090517722</v>
      </c>
    </row>
    <row r="47" spans="1:16" ht="13" x14ac:dyDescent="0.25">
      <c r="A47" s="161"/>
      <c r="B47" s="174">
        <f>(4*B43*B45+B43^2)/10^6</f>
        <v>0.24</v>
      </c>
      <c r="D47" s="162"/>
      <c r="F47" s="598" t="str">
        <f>IF(Lang="Français","Impact fusée sous para.",IF(Lang="English","Impact of rocket with para. ",""))</f>
        <v>Impact fusée sous para.</v>
      </c>
      <c r="G47" s="598"/>
      <c r="H47" s="125">
        <f ca="1">T_para+Dt_para</f>
        <v>214.52573920813882</v>
      </c>
      <c r="I47" s="127" t="s">
        <v>16</v>
      </c>
      <c r="J47" s="126" t="str">
        <f ca="1">CONCATENATE(TEXT(X_para-Dx_para,"0")," | ",TEXT(X_para+Dx_para,"0"))</f>
        <v>-553 | 1382</v>
      </c>
      <c r="K47" s="126">
        <f ca="1">V_para</f>
        <v>11.793859523030601</v>
      </c>
      <c r="L47" s="128">
        <f>g</f>
        <v>9.81</v>
      </c>
      <c r="M47" s="128" t="s">
        <v>14</v>
      </c>
    </row>
    <row r="48" spans="1:16" ht="13" x14ac:dyDescent="0.25">
      <c r="A48" s="161"/>
      <c r="D48" s="162"/>
      <c r="F48" s="595" t="str">
        <f>IF(Lang="Français","Largage du satellite",IF(Lang="English","Satellite separation",""))</f>
        <v>Largage du satellite</v>
      </c>
      <c r="G48" s="596"/>
      <c r="H48" s="122">
        <f>IF(T_satellite&lt;&gt;0,T_satellite,"")</f>
        <v>3.5</v>
      </c>
      <c r="I48" s="123" t="e">
        <f ca="1">IF(T_satellite&lt;&gt;0,INDEX(pos_z,MATCH("Satellite",Event_sat,0)),"")</f>
        <v>#N/A</v>
      </c>
      <c r="J48" s="129" t="e">
        <f ca="1">IF(T_satellite&lt;&gt;0,INDEX(pos_x,MATCH("Satellite",Event_sat,0)),"")</f>
        <v>#N/A</v>
      </c>
      <c r="K48" s="123" t="e">
        <f ca="1">IF(T_satellite&lt;&gt;0,INDEX(vit_xz,MATCH("Satellite",Event_sat,0)),"")</f>
        <v>#N/A</v>
      </c>
      <c r="L48" s="122" t="e">
        <f ca="1">IF(T_satellite&lt;&gt;0,INDEX(acc_xz,MATCH("Satellite",Event_sat,0)),"")</f>
        <v>#N/A</v>
      </c>
      <c r="M48" s="124" t="e">
        <f ca="1">IF(T_satellite&lt;&gt;0,INDEX(BetaD,MATCH("Satellite",Event_sat,0)),"")</f>
        <v>#N/A</v>
      </c>
    </row>
    <row r="49" spans="1:13" ht="13" x14ac:dyDescent="0.25">
      <c r="A49" s="161"/>
      <c r="D49" s="162"/>
      <c r="F49" s="591" t="str">
        <f>IF(Lang="Français","Impact du satellite",IF(Lang="English","Satellite impact",""))</f>
        <v>Impact du satellite</v>
      </c>
      <c r="G49" s="592"/>
      <c r="H49" s="125" t="e">
        <f ca="1">IF(T_satellite&lt;&gt;0,T_satellite+Dt_satellite,"")</f>
        <v>#N/A</v>
      </c>
      <c r="I49" s="130" t="str">
        <f>IF(T_satellite&lt;&gt;0,"~0","")</f>
        <v>~0</v>
      </c>
      <c r="J49" s="130" t="e">
        <f ca="1">IF(T_satellite&lt;&gt;0,CONCATENATE(TEXT(X_satellite-Dx_sat,"0")," | ",TEXT(X_satellite+Dx_sat,"0")),"")</f>
        <v>#N/A</v>
      </c>
      <c r="K49" s="130">
        <f>IF(T_satellite&lt;&gt;0,V_satellite,"")</f>
        <v>10.960038730752361</v>
      </c>
      <c r="L49" s="128">
        <f>IF(T_satellite&lt;&gt;0,g,"")</f>
        <v>9.81</v>
      </c>
      <c r="M49" s="131" t="str">
        <f>IF(T_satellite&lt;&gt;0,"-","")</f>
        <v>-</v>
      </c>
    </row>
    <row r="50" spans="1:13" ht="13" x14ac:dyDescent="0.25">
      <c r="A50" s="161"/>
      <c r="B50" s="166" t="str">
        <f>IF(Lang="Français","Rayon exterieur","Half-diameter ext")</f>
        <v>Rayon exterieur</v>
      </c>
      <c r="D50" s="162"/>
    </row>
    <row r="51" spans="1:13" ht="13" x14ac:dyDescent="0.25">
      <c r="A51" s="161"/>
      <c r="B51" s="168">
        <v>499</v>
      </c>
      <c r="D51" s="162"/>
    </row>
    <row r="52" spans="1:13" ht="13" x14ac:dyDescent="0.25">
      <c r="A52" s="161"/>
      <c r="B52" s="166" t="str">
        <f>IF(Lang="Français","Rayon intérieur","Half-diameter int")</f>
        <v>Rayon intérieur</v>
      </c>
      <c r="D52" s="162"/>
    </row>
    <row r="53" spans="1:13" ht="13" x14ac:dyDescent="0.25">
      <c r="A53" s="161"/>
      <c r="B53" s="168">
        <v>29</v>
      </c>
      <c r="D53" s="162"/>
    </row>
    <row r="54" spans="1:13" ht="13" x14ac:dyDescent="0.25">
      <c r="A54" s="161"/>
      <c r="B54" s="169" t="s">
        <v>9</v>
      </c>
      <c r="D54" s="162"/>
    </row>
    <row r="55" spans="1:13" ht="13" x14ac:dyDescent="0.25">
      <c r="A55" s="161"/>
      <c r="B55" s="174">
        <f>PI()*(B51^2-B53^2)/10^6</f>
        <v>0.77961763291484298</v>
      </c>
      <c r="D55" s="162"/>
    </row>
    <row r="56" spans="1:13" x14ac:dyDescent="0.25">
      <c r="A56" s="163"/>
      <c r="B56" s="164"/>
      <c r="C56" s="164"/>
      <c r="D56" s="165"/>
    </row>
    <row r="93" spans="2:2" ht="13" x14ac:dyDescent="0.3">
      <c r="B93" s="24" t="str">
        <f>IF(Lang="Français","Vitesse de descente sous parachute :",IF(Lang="English","Fall velocity over parachute:",""))</f>
        <v>Vitesse de descente sous parachute :</v>
      </c>
    </row>
    <row r="102" spans="2:7" ht="13" x14ac:dyDescent="0.3">
      <c r="B102" s="24" t="str">
        <f>IF(Lang="Français","Textes pour les listes déroulantes et graphiques :","Texts for drop-down lists &amp; graphics :")</f>
        <v>Textes pour les listes déroulantes et graphiques :</v>
      </c>
      <c r="F102" s="221" t="s">
        <v>407</v>
      </c>
      <c r="G102" s="1" t="s">
        <v>414</v>
      </c>
    </row>
    <row r="103" spans="2:7" x14ac:dyDescent="0.25">
      <c r="F103" s="478">
        <f ca="1">Combustion+Depotage-9</f>
        <v>-8.0299999999999994</v>
      </c>
      <c r="G103" s="479" t="s">
        <v>409</v>
      </c>
    </row>
    <row r="104" spans="2:7" x14ac:dyDescent="0.25">
      <c r="B104" s="1" t="s">
        <v>121</v>
      </c>
      <c r="F104" s="478">
        <f ca="1">Combustion+Depotage-7</f>
        <v>-6.03</v>
      </c>
      <c r="G104" s="479" t="s">
        <v>410</v>
      </c>
    </row>
    <row r="105" spans="2:7" x14ac:dyDescent="0.25">
      <c r="B105" s="1" t="s">
        <v>122</v>
      </c>
      <c r="F105" s="478">
        <f ca="1">Combustion+Depotage-5</f>
        <v>-4.03</v>
      </c>
      <c r="G105" s="479" t="s">
        <v>411</v>
      </c>
    </row>
    <row r="106" spans="2:7" x14ac:dyDescent="0.25">
      <c r="B106" s="1" t="str">
        <f>IF(T_para&gt;0,IF(Lang="Français","Phase ascendante","Climbing phase"),"")</f>
        <v>Phase ascendante</v>
      </c>
      <c r="F106" s="478">
        <f ca="1">Combustion+Depotage-3</f>
        <v>-2.0300000000000002</v>
      </c>
      <c r="G106" s="479" t="s">
        <v>412</v>
      </c>
    </row>
    <row r="107" spans="2:7" x14ac:dyDescent="0.25">
      <c r="B107" s="1" t="str">
        <f>IF(Lang="Français","Descente balistique","Balistic fall")</f>
        <v>Descente balistique</v>
      </c>
      <c r="F107" s="478">
        <f ca="1">Combustion+Depotage</f>
        <v>0.97</v>
      </c>
      <c r="G107" s="479" t="s">
        <v>413</v>
      </c>
    </row>
    <row r="108" spans="2:7" x14ac:dyDescent="0.25">
      <c r="B108" s="1" t="str">
        <f>IF(T_para&gt;0,IF(Lang="Français","Fusée sous parachute","Rocket under parachute"),"")</f>
        <v>Fusée sous parachute</v>
      </c>
      <c r="F108" s="480" t="str">
        <f>IF(Lang="Français","autre",IF(Lang="English","other",""))</f>
        <v>autre</v>
      </c>
    </row>
    <row r="109" spans="2:7" x14ac:dyDescent="0.25">
      <c r="B109" s="1" t="str">
        <f>IF(AND(Nb_sat="1 satellite",T_satellite&gt;0),IF(Lang="Français","Satellite sous parachute","Satellite over parachute"),"")</f>
        <v/>
      </c>
    </row>
    <row r="110" spans="2:7" x14ac:dyDescent="0.25">
      <c r="B110" s="1" t="str">
        <f>IF(Lang="Français","Trajectoire (x z)","Trajectory (x z)")</f>
        <v>Trajectoire (x z)</v>
      </c>
    </row>
    <row r="111" spans="2:7" x14ac:dyDescent="0.25">
      <c r="B111" s="1" t="str">
        <f>IF(Lang="Français","Portée x [m]","Range x [m]")</f>
        <v>Portée x [m]</v>
      </c>
    </row>
    <row r="112" spans="2:7" x14ac:dyDescent="0.25">
      <c r="B112" s="1" t="str">
        <f>IF(Lang="Français","Temps [s]","Time [s]")</f>
        <v>Temps [s]</v>
      </c>
    </row>
    <row r="113" spans="2:3" x14ac:dyDescent="0.25">
      <c r="B113" s="1" t="str">
        <f>IF(Lang="Français","Altitude z  /  Temps","Altitude z  /  Time")</f>
        <v>Altitude z  /  Temps</v>
      </c>
      <c r="C113" s="1">
        <f>IF(OR(C25=F102,C25=F108),C26,C25)</f>
        <v>21</v>
      </c>
    </row>
    <row r="115" spans="2:3" x14ac:dyDescent="0.25">
      <c r="B115" s="1" t="s">
        <v>408</v>
      </c>
    </row>
    <row r="117" spans="2:3" ht="13" x14ac:dyDescent="0.3">
      <c r="B117" s="24" t="str">
        <f>IF(Lang="Français","Données pour les graphiques :","Data for plots:")</f>
        <v>Données pour les graphiques :</v>
      </c>
      <c r="C117" s="211" t="s">
        <v>48</v>
      </c>
    </row>
    <row r="118" spans="2:3" x14ac:dyDescent="0.25">
      <c r="C118" s="216">
        <f ca="1">MAX(Altitude_culmi,Portee_balistique)</f>
        <v>2283.3016154512825</v>
      </c>
    </row>
    <row r="119" spans="2:3" x14ac:dyDescent="0.25">
      <c r="B119" s="210" t="s">
        <v>48</v>
      </c>
    </row>
    <row r="120" spans="2:3" x14ac:dyDescent="0.25">
      <c r="B120" s="218">
        <f ca="1">MAX(Altitude_culmi,Portee_balistique)</f>
        <v>2283.3016154512825</v>
      </c>
      <c r="C120" s="211" t="s">
        <v>46</v>
      </c>
    </row>
    <row r="121" spans="2:3" x14ac:dyDescent="0.25">
      <c r="C121" s="214">
        <f ca="1">Alt_para</f>
        <v>2282.4153823114448</v>
      </c>
    </row>
    <row r="122" spans="2:3" x14ac:dyDescent="0.25">
      <c r="B122" s="210" t="s">
        <v>50</v>
      </c>
      <c r="C122" s="214">
        <f ca="1">Alt_para/2</f>
        <v>1141.2076911557224</v>
      </c>
    </row>
    <row r="123" spans="2:3" x14ac:dyDescent="0.25">
      <c r="B123" s="217">
        <f ca="1">X_para</f>
        <v>414.3684264493138</v>
      </c>
      <c r="C123" s="214">
        <v>0</v>
      </c>
    </row>
    <row r="124" spans="2:3" x14ac:dyDescent="0.25">
      <c r="B124" s="217">
        <f ca="1">X_para</f>
        <v>414.3684264493138</v>
      </c>
      <c r="C124" s="214">
        <f ca="1">Alt_para/20</f>
        <v>114.12076911557224</v>
      </c>
    </row>
    <row r="125" spans="2:3" x14ac:dyDescent="0.25">
      <c r="B125" s="217">
        <f ca="1">X_para</f>
        <v>414.3684264493138</v>
      </c>
      <c r="C125" s="214">
        <v>0</v>
      </c>
    </row>
    <row r="126" spans="2:3" x14ac:dyDescent="0.25">
      <c r="B126" s="217">
        <f ca="1">X_para+Alt_para/40</f>
        <v>471.42881100709991</v>
      </c>
      <c r="C126" s="214">
        <f ca="1">Alt_para/20</f>
        <v>114.12076911557224</v>
      </c>
    </row>
    <row r="127" spans="2:3" x14ac:dyDescent="0.25">
      <c r="B127" s="217">
        <f ca="1">X_para</f>
        <v>414.3684264493138</v>
      </c>
      <c r="C127" s="219">
        <v>0</v>
      </c>
    </row>
    <row r="128" spans="2:3" x14ac:dyDescent="0.25">
      <c r="B128" s="217">
        <f ca="1">X_para-Alt_para/40</f>
        <v>357.30804189152769</v>
      </c>
      <c r="C128" s="211" t="s">
        <v>46</v>
      </c>
    </row>
    <row r="129" spans="2:6" x14ac:dyDescent="0.25">
      <c r="B129" s="218">
        <f ca="1">X_para</f>
        <v>414.3684264493138</v>
      </c>
      <c r="C129" s="214">
        <f ca="1">Alt_para</f>
        <v>2282.4153823114448</v>
      </c>
      <c r="E129" s="232">
        <v>1</v>
      </c>
      <c r="F129" s="233" t="s">
        <v>176</v>
      </c>
    </row>
    <row r="130" spans="2:6" x14ac:dyDescent="0.25">
      <c r="B130" s="210" t="s">
        <v>49</v>
      </c>
      <c r="C130" s="214">
        <f ca="1">(C129+C131)/2</f>
        <v>1141.2076911557224</v>
      </c>
      <c r="E130" s="161">
        <v>1</v>
      </c>
      <c r="F130" s="234" t="s">
        <v>177</v>
      </c>
    </row>
    <row r="131" spans="2:6" ht="13" x14ac:dyDescent="0.25">
      <c r="B131" s="213">
        <f>T_para</f>
        <v>21</v>
      </c>
      <c r="C131" s="214">
        <f>0</f>
        <v>0</v>
      </c>
      <c r="E131" s="161"/>
      <c r="F131" s="241" t="s">
        <v>178</v>
      </c>
    </row>
    <row r="132" spans="2:6" x14ac:dyDescent="0.25">
      <c r="B132" s="213">
        <f ca="1">(B131+B133)/2</f>
        <v>117.76286960406941</v>
      </c>
      <c r="C132" s="214">
        <f ca="1">Alt_para-V_para*(H47-T_para)+E129*sS*Altitude_culmi/H47*zZ_fus+E130*sS/2*Altitude_culmi/H47*tT_fus</f>
        <v>72.742564088416444</v>
      </c>
      <c r="E132" s="235" t="s">
        <v>173</v>
      </c>
      <c r="F132" s="236">
        <f ca="1">T_balistique/10</f>
        <v>4.7100000000000373</v>
      </c>
    </row>
    <row r="133" spans="2:6" x14ac:dyDescent="0.25">
      <c r="B133" s="213">
        <f ca="1">H47</f>
        <v>214.52573920813882</v>
      </c>
      <c r="C133" s="214">
        <f ca="1">Alt_para-V_para*(H47-T_para)</f>
        <v>0</v>
      </c>
      <c r="E133" s="235" t="s">
        <v>174</v>
      </c>
      <c r="F133" s="236">
        <f ca="1">(H47-T_para)/H47</f>
        <v>0.90210964857869469</v>
      </c>
    </row>
    <row r="134" spans="2:6" x14ac:dyDescent="0.25">
      <c r="B134" s="213">
        <f ca="1">H47+E129*sS/2*zZ_fus-E130*sS*tT_fus</f>
        <v>212.63180276333316</v>
      </c>
      <c r="C134" s="214">
        <f ca="1">Alt_para-V_para*(H47-T_para)+E129*sS*Altitude_culmi/H47*zZ_fus-E130*sS/2*Altitude_culmi/H47*tT_fus</f>
        <v>27.519070235485884</v>
      </c>
      <c r="E134" s="237" t="s">
        <v>175</v>
      </c>
      <c r="F134" s="238">
        <f ca="1">V_para*(H47-T_para)/Alt_para</f>
        <v>1</v>
      </c>
    </row>
    <row r="135" spans="2:6" x14ac:dyDescent="0.25">
      <c r="B135" s="213">
        <f ca="1">H47</f>
        <v>214.52573920813882</v>
      </c>
      <c r="C135" s="216">
        <f ca="1">Alt_para-V_para*(H47-T_para)</f>
        <v>0</v>
      </c>
    </row>
    <row r="136" spans="2:6" x14ac:dyDescent="0.25">
      <c r="B136" s="213">
        <f ca="1">H47-E129*sS/2*zZ_fus-E130*sS*tT_fus</f>
        <v>207.92180276333312</v>
      </c>
    </row>
    <row r="137" spans="2:6" x14ac:dyDescent="0.25">
      <c r="B137" s="215">
        <f ca="1">H47</f>
        <v>214.52573920813882</v>
      </c>
      <c r="C137" s="211" t="s">
        <v>47</v>
      </c>
    </row>
    <row r="138" spans="2:6" x14ac:dyDescent="0.25">
      <c r="C138" s="214" t="b">
        <f>IF(Nb_sat="1 satellite",Alt_sat)</f>
        <v>0</v>
      </c>
    </row>
    <row r="139" spans="2:6" x14ac:dyDescent="0.25">
      <c r="B139" s="210" t="s">
        <v>52</v>
      </c>
      <c r="C139" s="214" t="b">
        <f>IF(Nb_sat="1 satellite",Alt_sat*1/4)</f>
        <v>0</v>
      </c>
    </row>
    <row r="140" spans="2:6" x14ac:dyDescent="0.25">
      <c r="B140" s="217" t="b">
        <f>IF(Nb_sat="1 satellite",X_satellite)</f>
        <v>0</v>
      </c>
      <c r="C140" s="214" t="b">
        <f>IF(Nb_sat="1 satellite",0)</f>
        <v>0</v>
      </c>
    </row>
    <row r="141" spans="2:6" x14ac:dyDescent="0.25">
      <c r="B141" s="217" t="b">
        <f>IF(Nb_sat="1 satellite",X_satellite)</f>
        <v>0</v>
      </c>
      <c r="C141" s="214" t="b">
        <f>IF(Nb_sat="1 satellite",Alt_sat/20)</f>
        <v>0</v>
      </c>
    </row>
    <row r="142" spans="2:6" x14ac:dyDescent="0.25">
      <c r="B142" s="217" t="b">
        <f>IF(Nb_sat="1 satellite",X_satellite)</f>
        <v>0</v>
      </c>
      <c r="C142" s="214" t="b">
        <f>IF(Nb_sat="1 satellite",0)</f>
        <v>0</v>
      </c>
    </row>
    <row r="143" spans="2:6" x14ac:dyDescent="0.25">
      <c r="B143" s="217" t="b">
        <f>IF(Nb_sat="1 satellite",X_satellite+Alt_sat/40)</f>
        <v>0</v>
      </c>
      <c r="C143" s="214" t="b">
        <f>IF(Nb_sat="1 satellite",Alt_sat/20)</f>
        <v>0</v>
      </c>
    </row>
    <row r="144" spans="2:6" x14ac:dyDescent="0.25">
      <c r="B144" s="217" t="b">
        <f>IF(Nb_sat="1 satellite",X_satellite)</f>
        <v>0</v>
      </c>
      <c r="C144" s="214" t="b">
        <f>IF(Nb_sat="1 satellite",0)</f>
        <v>0</v>
      </c>
    </row>
    <row r="145" spans="2:6" x14ac:dyDescent="0.25">
      <c r="B145" s="217" t="b">
        <f>IF(Nb_sat="1 satellite",X_satellite-Alt_sat/40)</f>
        <v>0</v>
      </c>
      <c r="C145" s="211" t="s">
        <v>47</v>
      </c>
    </row>
    <row r="146" spans="2:6" x14ac:dyDescent="0.25">
      <c r="B146" s="218" t="b">
        <f>IF(Nb_sat="1 satellite",X_satellite)</f>
        <v>0</v>
      </c>
      <c r="C146" s="214" t="b">
        <f>IF(Nb_sat="1 satellite",Alt_sat)</f>
        <v>0</v>
      </c>
      <c r="D146" s="221"/>
    </row>
    <row r="147" spans="2:6" x14ac:dyDescent="0.25">
      <c r="B147" s="210" t="s">
        <v>51</v>
      </c>
      <c r="C147" s="214">
        <f>(C146+C148)/2</f>
        <v>0</v>
      </c>
      <c r="D147" s="221"/>
    </row>
    <row r="148" spans="2:6" x14ac:dyDescent="0.25">
      <c r="B148" s="213" t="b">
        <f>IF(Nb_sat="1 satellite",T_satellite)</f>
        <v>0</v>
      </c>
      <c r="C148" s="214" t="b">
        <f>IF(Nb_sat="1 satellite",0)</f>
        <v>0</v>
      </c>
    </row>
    <row r="149" spans="2:6" x14ac:dyDescent="0.25">
      <c r="B149" s="213">
        <f>(B148+B150)/2</f>
        <v>0</v>
      </c>
      <c r="C149" s="214" t="b">
        <f>IF(Nb_sat="1 satellite",Alt_sat-V_satellite*(H49-T_satellite)+E129*sS*Altitude_culmi/H49*zZ_sat+E130*sS/2*Altitude_culmi/H49*tT_sat)</f>
        <v>0</v>
      </c>
      <c r="D149" s="221"/>
    </row>
    <row r="150" spans="2:6" x14ac:dyDescent="0.25">
      <c r="B150" s="213" t="b">
        <f>IF(Nb_sat="1 satellite",H49)</f>
        <v>0</v>
      </c>
      <c r="C150" s="214" t="b">
        <f>IF(Nb_sat="1 satellite",0)</f>
        <v>0</v>
      </c>
      <c r="E150" s="239" t="s">
        <v>174</v>
      </c>
      <c r="F150" s="240">
        <f ca="1">(T_balistique-T_satellite)/T_balistique</f>
        <v>0.92569002123142308</v>
      </c>
    </row>
    <row r="151" spans="2:6" x14ac:dyDescent="0.25">
      <c r="B151" s="213" t="b">
        <f>IF(Nb_sat="1 satellite",H49+E129*sS/2*zZ_sat-E130*sS*tT_sat)</f>
        <v>0</v>
      </c>
      <c r="C151" s="214" t="b">
        <f>IF(Nb_sat="1 satellite",Alt_sat-V_satellite*(H49-T_satellite)+E129*sS*Altitude_culmi/H49*zZ_sat-E130*sS/2*Altitude_culmi/H49*tT_sat)</f>
        <v>0</v>
      </c>
      <c r="E151" s="237" t="s">
        <v>175</v>
      </c>
      <c r="F151" s="238" t="e">
        <f ca="1">V_satellite*(T_balistique-T_satellite)/Alt_sat</f>
        <v>#N/A</v>
      </c>
    </row>
    <row r="152" spans="2:6" x14ac:dyDescent="0.25">
      <c r="B152" s="213" t="b">
        <f>IF(Nb_sat="1 satellite",H49)</f>
        <v>0</v>
      </c>
      <c r="C152" s="216" t="b">
        <f>IF(Nb_sat="1 satellite",0)</f>
        <v>0</v>
      </c>
    </row>
    <row r="153" spans="2:6" x14ac:dyDescent="0.25">
      <c r="B153" s="213" t="b">
        <f>IF(Nb_sat="1 satellite",H49-sS/2*zZ_sat-E130*sS*tT_sat)</f>
        <v>0</v>
      </c>
    </row>
    <row r="154" spans="2:6" x14ac:dyDescent="0.25">
      <c r="B154" s="215" t="b">
        <f>IF(Nb_sat="1 satellite",H49)</f>
        <v>0</v>
      </c>
      <c r="C154" s="228" t="s">
        <v>29</v>
      </c>
      <c r="D154" s="211" t="s">
        <v>3</v>
      </c>
    </row>
    <row r="155" spans="2:6" x14ac:dyDescent="0.25">
      <c r="C155" s="82">
        <f ca="1">Alt_para/2</f>
        <v>1141.2076911557224</v>
      </c>
      <c r="D155" s="214">
        <f ca="1">X_para/4</f>
        <v>103.59210661232845</v>
      </c>
    </row>
    <row r="156" spans="2:6" x14ac:dyDescent="0.25">
      <c r="B156" s="210" t="s">
        <v>2</v>
      </c>
      <c r="C156" s="230">
        <f ca="1">Altitude_culmi/2</f>
        <v>1141.6508077256412</v>
      </c>
      <c r="D156" s="216">
        <f ca="1">X_culmi+(Portee_balistique-X_culmi)*2/3</f>
        <v>587.28503492380469</v>
      </c>
    </row>
    <row r="157" spans="2:6" x14ac:dyDescent="0.25">
      <c r="B157" s="231">
        <f>T_para/4</f>
        <v>5.25</v>
      </c>
    </row>
    <row r="158" spans="2:6" x14ac:dyDescent="0.25">
      <c r="B158" s="229">
        <f ca="1">Temps_culmi + (T_balistique-Temps_culmi)/2</f>
        <v>33.800000000000182</v>
      </c>
      <c r="C158" s="228" t="s">
        <v>302</v>
      </c>
      <c r="D158" s="422" t="s">
        <v>304</v>
      </c>
      <c r="E158" s="422"/>
      <c r="F158" s="423" t="s">
        <v>304</v>
      </c>
    </row>
    <row r="159" spans="2:6" x14ac:dyDescent="0.25">
      <c r="C159" s="5">
        <v>0</v>
      </c>
      <c r="D159" s="82">
        <f t="shared" ref="D159:D174" ca="1" si="0">X_culmi+C159</f>
        <v>406.56437728656948</v>
      </c>
      <c r="E159" s="82"/>
      <c r="F159" s="214">
        <f t="shared" ref="F159:F174" ca="1" si="1">X_culmi-C159</f>
        <v>406.56437728656948</v>
      </c>
    </row>
    <row r="160" spans="2:6" x14ac:dyDescent="0.25">
      <c r="B160" s="210" t="s">
        <v>303</v>
      </c>
      <c r="C160" s="5">
        <v>23</v>
      </c>
      <c r="D160" s="82">
        <f t="shared" ca="1" si="0"/>
        <v>429.56437728656948</v>
      </c>
      <c r="E160" s="82"/>
      <c r="F160" s="214">
        <f t="shared" ca="1" si="1"/>
        <v>383.56437728656948</v>
      </c>
    </row>
    <row r="161" spans="2:6" x14ac:dyDescent="0.25">
      <c r="B161" s="231" t="e">
        <f ca="1">IF(AND(Altitude_culmi&gt;80, Altitude_culmi&lt;=350), 49, NA())</f>
        <v>#N/A</v>
      </c>
      <c r="C161" s="5">
        <v>23</v>
      </c>
      <c r="D161" s="82">
        <f t="shared" ca="1" si="0"/>
        <v>429.56437728656948</v>
      </c>
      <c r="E161" s="82"/>
      <c r="F161" s="214">
        <f t="shared" ca="1" si="1"/>
        <v>383.56437728656948</v>
      </c>
    </row>
    <row r="162" spans="2:6" x14ac:dyDescent="0.25">
      <c r="B162" s="231" t="e">
        <f ca="1">IF(AND(Altitude_culmi&gt;80, Altitude_culmi&lt;=350), 49, NA())</f>
        <v>#N/A</v>
      </c>
      <c r="C162" s="5">
        <v>0</v>
      </c>
      <c r="D162" s="82">
        <f t="shared" ca="1" si="0"/>
        <v>406.56437728656948</v>
      </c>
      <c r="E162" s="82"/>
      <c r="F162" s="214">
        <f t="shared" ca="1" si="1"/>
        <v>406.56437728656948</v>
      </c>
    </row>
    <row r="163" spans="2:6" x14ac:dyDescent="0.25">
      <c r="B163" s="231" t="e">
        <f ca="1">IF(AND(Altitude_culmi&gt;80, Altitude_culmi&lt;=350), 43, NA())</f>
        <v>#N/A</v>
      </c>
      <c r="C163" s="5">
        <v>23</v>
      </c>
      <c r="D163" s="82">
        <f t="shared" ca="1" si="0"/>
        <v>429.56437728656948</v>
      </c>
      <c r="E163" s="82"/>
      <c r="F163" s="214">
        <f t="shared" ca="1" si="1"/>
        <v>383.56437728656948</v>
      </c>
    </row>
    <row r="164" spans="2:6" x14ac:dyDescent="0.25">
      <c r="B164" s="231" t="e">
        <f ca="1">IF(AND(Altitude_culmi&gt;80, Altitude_culmi&lt;=350), 43, NA())</f>
        <v>#N/A</v>
      </c>
      <c r="C164" s="5">
        <v>23</v>
      </c>
      <c r="D164" s="82">
        <f t="shared" ca="1" si="0"/>
        <v>429.56437728656948</v>
      </c>
      <c r="E164" s="82"/>
      <c r="F164" s="214">
        <f t="shared" ca="1" si="1"/>
        <v>383.56437728656948</v>
      </c>
    </row>
    <row r="165" spans="2:6" x14ac:dyDescent="0.25">
      <c r="B165" s="231" t="e">
        <f ca="1">IF(AND(Altitude_culmi&gt;80, Altitude_culmi&lt;=350), 43, NA())</f>
        <v>#N/A</v>
      </c>
      <c r="C165" s="5">
        <v>8</v>
      </c>
      <c r="D165" s="82">
        <f t="shared" ca="1" si="0"/>
        <v>414.56437728656948</v>
      </c>
      <c r="E165" s="82"/>
      <c r="F165" s="214">
        <f t="shared" ca="1" si="1"/>
        <v>398.56437728656948</v>
      </c>
    </row>
    <row r="166" spans="2:6" x14ac:dyDescent="0.25">
      <c r="B166" s="231" t="e">
        <f ca="1">IF(AND(Altitude_culmi&gt;80, Altitude_culmi&lt;=350), 0.5, NA())</f>
        <v>#N/A</v>
      </c>
      <c r="C166" s="5">
        <v>8</v>
      </c>
      <c r="D166" s="82">
        <f t="shared" ca="1" si="0"/>
        <v>414.56437728656948</v>
      </c>
      <c r="E166" s="82"/>
      <c r="F166" s="214">
        <f t="shared" ca="1" si="1"/>
        <v>398.56437728656948</v>
      </c>
    </row>
    <row r="167" spans="2:6" x14ac:dyDescent="0.25">
      <c r="B167" s="231" t="e">
        <f ca="1">IF(AND(Altitude_culmi&gt;80, Altitude_culmi&lt;=350), 0.5, NA())</f>
        <v>#N/A</v>
      </c>
      <c r="C167" s="5">
        <v>23</v>
      </c>
      <c r="D167" s="82">
        <f t="shared" ca="1" si="0"/>
        <v>429.56437728656948</v>
      </c>
      <c r="E167" s="82"/>
      <c r="F167" s="214">
        <f t="shared" ca="1" si="1"/>
        <v>383.56437728656948</v>
      </c>
    </row>
    <row r="168" spans="2:6" x14ac:dyDescent="0.25">
      <c r="B168" s="231" t="e">
        <f ca="1">IF(AND(Altitude_culmi&gt;80, Altitude_culmi&lt;=350), 27, NA())</f>
        <v>#N/A</v>
      </c>
      <c r="C168" s="5">
        <v>8</v>
      </c>
      <c r="D168" s="82">
        <f t="shared" ca="1" si="0"/>
        <v>414.56437728656948</v>
      </c>
      <c r="E168" s="82"/>
      <c r="F168" s="214">
        <f t="shared" ca="1" si="1"/>
        <v>398.56437728656948</v>
      </c>
    </row>
    <row r="169" spans="2:6" x14ac:dyDescent="0.25">
      <c r="B169" s="231" t="e">
        <f ca="1">IF(AND(Altitude_culmi&gt;80, Altitude_culmi&lt;=350), 27, NA())</f>
        <v>#N/A</v>
      </c>
      <c r="C169" s="5">
        <v>7.6</v>
      </c>
      <c r="D169" s="82">
        <f t="shared" ca="1" si="0"/>
        <v>414.1643772865695</v>
      </c>
      <c r="E169" s="82"/>
      <c r="F169" s="214">
        <f t="shared" ca="1" si="1"/>
        <v>398.96437728656946</v>
      </c>
    </row>
    <row r="170" spans="2:6" x14ac:dyDescent="0.25">
      <c r="B170" s="231" t="e">
        <f ca="1">IF(AND(Altitude_culmi&gt;80, Altitude_culmi&lt;=350), 27, NA())</f>
        <v>#N/A</v>
      </c>
      <c r="C170" s="5">
        <v>6.8</v>
      </c>
      <c r="D170" s="82">
        <f t="shared" ca="1" si="0"/>
        <v>413.36437728656949</v>
      </c>
      <c r="E170" s="82"/>
      <c r="F170" s="214">
        <f t="shared" ca="1" si="1"/>
        <v>399.76437728656947</v>
      </c>
    </row>
    <row r="171" spans="2:6" x14ac:dyDescent="0.25">
      <c r="B171" s="231" t="e">
        <f ca="1">IF(AND(Altitude_culmi&gt;80, Altitude_culmi&lt;=350), 29, NA())</f>
        <v>#N/A</v>
      </c>
      <c r="C171" s="5">
        <v>6</v>
      </c>
      <c r="D171" s="82">
        <f t="shared" ca="1" si="0"/>
        <v>412.56437728656948</v>
      </c>
      <c r="E171" s="82"/>
      <c r="F171" s="214">
        <f t="shared" ca="1" si="1"/>
        <v>400.56437728656948</v>
      </c>
    </row>
    <row r="172" spans="2:6" x14ac:dyDescent="0.25">
      <c r="B172" s="231" t="e">
        <f ca="1">IF(AND(Altitude_culmi&gt;80, Altitude_culmi&lt;=350), 31, NA())</f>
        <v>#N/A</v>
      </c>
      <c r="C172" s="5">
        <v>5</v>
      </c>
      <c r="D172" s="82">
        <f t="shared" ca="1" si="0"/>
        <v>411.56437728656948</v>
      </c>
      <c r="E172" s="82"/>
      <c r="F172" s="214">
        <f t="shared" ca="1" si="1"/>
        <v>401.56437728656948</v>
      </c>
    </row>
    <row r="173" spans="2:6" x14ac:dyDescent="0.25">
      <c r="B173" s="231" t="e">
        <f ca="1">IF(AND(Altitude_culmi&gt;80, Altitude_culmi&lt;=350), 32, NA())</f>
        <v>#N/A</v>
      </c>
      <c r="C173" s="5">
        <v>3.8</v>
      </c>
      <c r="D173" s="82">
        <f t="shared" ca="1" si="0"/>
        <v>410.36437728656949</v>
      </c>
      <c r="E173" s="82"/>
      <c r="F173" s="214">
        <f t="shared" ca="1" si="1"/>
        <v>402.76437728656947</v>
      </c>
    </row>
    <row r="174" spans="2:6" x14ac:dyDescent="0.25">
      <c r="B174" s="231" t="e">
        <f ca="1">IF(AND(Altitude_culmi&gt;80, Altitude_culmi&lt;=350), 33, NA())</f>
        <v>#N/A</v>
      </c>
      <c r="C174" s="421">
        <v>0</v>
      </c>
      <c r="D174" s="230">
        <f t="shared" ca="1" si="0"/>
        <v>406.56437728656948</v>
      </c>
      <c r="E174" s="230"/>
      <c r="F174" s="216">
        <f t="shared" ca="1" si="1"/>
        <v>406.56437728656948</v>
      </c>
    </row>
    <row r="175" spans="2:6" x14ac:dyDescent="0.25">
      <c r="B175" s="231" t="e">
        <f ca="1">IF(AND(Altitude_culmi&gt;80, Altitude_culmi&lt;=350), 34, NA())</f>
        <v>#N/A</v>
      </c>
    </row>
    <row r="176" spans="2:6" x14ac:dyDescent="0.25">
      <c r="B176" s="229" t="e">
        <f ca="1">IF(AND(Altitude_culmi&gt;80, Altitude_culmi&lt;=350), 35, NA())</f>
        <v>#N/A</v>
      </c>
      <c r="C176" s="228" t="s">
        <v>306</v>
      </c>
      <c r="D176" s="228" t="s">
        <v>307</v>
      </c>
      <c r="E176" s="228"/>
      <c r="F176" s="211" t="s">
        <v>307</v>
      </c>
    </row>
    <row r="177" spans="2:6" x14ac:dyDescent="0.25">
      <c r="C177" s="5">
        <v>0</v>
      </c>
      <c r="D177" s="82">
        <f t="shared" ref="D177:D197" ca="1" si="2">X_culmi+C177</f>
        <v>406.56437728656948</v>
      </c>
      <c r="E177" s="82"/>
      <c r="F177" s="214">
        <f t="shared" ref="F177:F197" ca="1" si="3">X_culmi-C177</f>
        <v>406.56437728656948</v>
      </c>
    </row>
    <row r="178" spans="2:6" x14ac:dyDescent="0.25">
      <c r="B178" s="210" t="s">
        <v>305</v>
      </c>
      <c r="C178" s="5">
        <v>0</v>
      </c>
      <c r="D178" s="82">
        <f t="shared" ca="1" si="2"/>
        <v>406.56437728656948</v>
      </c>
      <c r="E178" s="82"/>
      <c r="F178" s="214">
        <f t="shared" ca="1" si="3"/>
        <v>406.56437728656948</v>
      </c>
    </row>
    <row r="179" spans="2:6" x14ac:dyDescent="0.25">
      <c r="B179" s="231">
        <f ca="1">IF(Altitude_culmi&gt;350, 324, NA())</f>
        <v>324</v>
      </c>
      <c r="C179" s="5">
        <v>10</v>
      </c>
      <c r="D179" s="82">
        <f t="shared" ca="1" si="2"/>
        <v>416.56437728656948</v>
      </c>
      <c r="E179" s="82"/>
      <c r="F179" s="214">
        <f t="shared" ca="1" si="3"/>
        <v>396.56437728656948</v>
      </c>
    </row>
    <row r="180" spans="2:6" x14ac:dyDescent="0.25">
      <c r="B180" s="231">
        <f ca="1">IF(Altitude_culmi&gt;350, 300, NA())</f>
        <v>300</v>
      </c>
      <c r="C180" s="5">
        <v>0</v>
      </c>
      <c r="D180" s="82">
        <f t="shared" ca="1" si="2"/>
        <v>406.56437728656948</v>
      </c>
      <c r="E180" s="82"/>
      <c r="F180" s="214">
        <f t="shared" ca="1" si="3"/>
        <v>406.56437728656948</v>
      </c>
    </row>
    <row r="181" spans="2:6" x14ac:dyDescent="0.25">
      <c r="B181" s="231">
        <f ca="1">IF(Altitude_culmi&gt;350, 280, NA())</f>
        <v>280</v>
      </c>
      <c r="C181" s="5">
        <v>10</v>
      </c>
      <c r="D181" s="82">
        <f t="shared" ca="1" si="2"/>
        <v>416.56437728656948</v>
      </c>
      <c r="E181" s="82"/>
      <c r="F181" s="214">
        <f t="shared" ca="1" si="3"/>
        <v>396.56437728656948</v>
      </c>
    </row>
    <row r="182" spans="2:6" x14ac:dyDescent="0.25">
      <c r="B182" s="231">
        <f ca="1">IF(Altitude_culmi&gt;350, 280, NA())</f>
        <v>280</v>
      </c>
      <c r="C182" s="5">
        <v>13</v>
      </c>
      <c r="D182" s="82">
        <f t="shared" ca="1" si="2"/>
        <v>419.56437728656948</v>
      </c>
      <c r="E182" s="82"/>
      <c r="F182" s="214">
        <f t="shared" ca="1" si="3"/>
        <v>393.56437728656948</v>
      </c>
    </row>
    <row r="183" spans="2:6" x14ac:dyDescent="0.25">
      <c r="B183" s="231">
        <f ca="1">IF(Altitude_culmi&gt;350, 280, NA())</f>
        <v>280</v>
      </c>
      <c r="C183" s="5">
        <v>17</v>
      </c>
      <c r="D183" s="82">
        <f t="shared" ca="1" si="2"/>
        <v>423.56437728656948</v>
      </c>
      <c r="E183" s="82"/>
      <c r="F183" s="214">
        <f t="shared" ca="1" si="3"/>
        <v>389.56437728656948</v>
      </c>
    </row>
    <row r="184" spans="2:6" x14ac:dyDescent="0.25">
      <c r="B184" s="231">
        <f ca="1">IF(Altitude_culmi&gt;350, 200, NA())</f>
        <v>200</v>
      </c>
      <c r="C184" s="5">
        <v>20</v>
      </c>
      <c r="D184" s="82">
        <f t="shared" ca="1" si="2"/>
        <v>426.56437728656948</v>
      </c>
      <c r="E184" s="82"/>
      <c r="F184" s="214">
        <f t="shared" ca="1" si="3"/>
        <v>386.56437728656948</v>
      </c>
    </row>
    <row r="185" spans="2:6" x14ac:dyDescent="0.25">
      <c r="B185" s="231">
        <f ca="1">IF(Altitude_culmi&gt;350, 160, NA())</f>
        <v>160</v>
      </c>
      <c r="C185" s="5">
        <v>25</v>
      </c>
      <c r="D185" s="82">
        <f t="shared" ca="1" si="2"/>
        <v>431.56437728656948</v>
      </c>
      <c r="E185" s="82"/>
      <c r="F185" s="214">
        <f t="shared" ca="1" si="3"/>
        <v>381.56437728656948</v>
      </c>
    </row>
    <row r="186" spans="2:6" x14ac:dyDescent="0.25">
      <c r="B186" s="231">
        <f ca="1">IF(Altitude_culmi&gt;350, 115, NA())</f>
        <v>115</v>
      </c>
      <c r="C186" s="5">
        <v>30</v>
      </c>
      <c r="D186" s="82">
        <f t="shared" ca="1" si="2"/>
        <v>436.56437728656948</v>
      </c>
      <c r="E186" s="82"/>
      <c r="F186" s="214">
        <f t="shared" ca="1" si="3"/>
        <v>376.56437728656948</v>
      </c>
    </row>
    <row r="187" spans="2:6" x14ac:dyDescent="0.25">
      <c r="B187" s="231">
        <f ca="1">IF(Altitude_culmi&gt;350, 90, NA())</f>
        <v>90</v>
      </c>
      <c r="C187" s="5">
        <v>36</v>
      </c>
      <c r="D187" s="82">
        <f t="shared" ca="1" si="2"/>
        <v>442.56437728656948</v>
      </c>
      <c r="E187" s="82"/>
      <c r="F187" s="214">
        <f t="shared" ca="1" si="3"/>
        <v>370.56437728656948</v>
      </c>
    </row>
    <row r="188" spans="2:6" x14ac:dyDescent="0.25">
      <c r="B188" s="231">
        <f ca="1">IF(Altitude_culmi&gt;350, 57, NA())</f>
        <v>57</v>
      </c>
      <c r="C188" s="5">
        <v>48</v>
      </c>
      <c r="D188" s="82">
        <f t="shared" ca="1" si="2"/>
        <v>454.56437728656948</v>
      </c>
      <c r="E188" s="82"/>
      <c r="F188" s="214">
        <f t="shared" ca="1" si="3"/>
        <v>358.56437728656948</v>
      </c>
    </row>
    <row r="189" spans="2:6" x14ac:dyDescent="0.25">
      <c r="B189" s="231">
        <f ca="1">IF(Altitude_culmi&gt;350, 40, NA())</f>
        <v>40</v>
      </c>
      <c r="C189" s="5">
        <v>62</v>
      </c>
      <c r="D189" s="82">
        <f t="shared" ca="1" si="2"/>
        <v>468.56437728656948</v>
      </c>
      <c r="E189" s="82"/>
      <c r="F189" s="214">
        <f t="shared" ca="1" si="3"/>
        <v>344.56437728656948</v>
      </c>
    </row>
    <row r="190" spans="2:6" x14ac:dyDescent="0.25">
      <c r="B190" s="231">
        <f ca="1">IF(Altitude_culmi&gt;350, 20, NA())</f>
        <v>20</v>
      </c>
      <c r="C190" s="5">
        <v>37</v>
      </c>
      <c r="D190" s="82">
        <f t="shared" ca="1" si="2"/>
        <v>443.56437728656948</v>
      </c>
      <c r="E190" s="82"/>
      <c r="F190" s="214">
        <f t="shared" ca="1" si="3"/>
        <v>369.56437728656948</v>
      </c>
    </row>
    <row r="191" spans="2:6" x14ac:dyDescent="0.25">
      <c r="B191" s="231">
        <f ca="1">IF(Altitude_culmi&gt;350, 0.5, NA())</f>
        <v>0.5</v>
      </c>
      <c r="C191" s="5">
        <v>30</v>
      </c>
      <c r="D191" s="82">
        <f t="shared" ca="1" si="2"/>
        <v>436.56437728656948</v>
      </c>
      <c r="E191" s="82"/>
      <c r="F191" s="214">
        <f t="shared" ca="1" si="3"/>
        <v>376.56437728656948</v>
      </c>
    </row>
    <row r="192" spans="2:6" x14ac:dyDescent="0.25">
      <c r="B192" s="231">
        <f ca="1">IF(Altitude_culmi&gt;350, 0.5, NA())</f>
        <v>0.5</v>
      </c>
      <c r="C192" s="5">
        <v>15</v>
      </c>
      <c r="D192" s="82">
        <f t="shared" ca="1" si="2"/>
        <v>421.56437728656948</v>
      </c>
      <c r="E192" s="82"/>
      <c r="F192" s="214">
        <f t="shared" ca="1" si="3"/>
        <v>391.56437728656948</v>
      </c>
    </row>
    <row r="193" spans="2:6" x14ac:dyDescent="0.25">
      <c r="B193" s="231">
        <f ca="1">IF(Altitude_culmi&gt;350, 15, NA())</f>
        <v>15</v>
      </c>
      <c r="C193" s="5">
        <v>0</v>
      </c>
      <c r="D193" s="82">
        <f t="shared" ca="1" si="2"/>
        <v>406.56437728656948</v>
      </c>
      <c r="E193" s="82"/>
      <c r="F193" s="214">
        <f t="shared" ca="1" si="3"/>
        <v>406.56437728656948</v>
      </c>
    </row>
    <row r="194" spans="2:6" x14ac:dyDescent="0.25">
      <c r="B194" s="231">
        <f ca="1">IF(Altitude_culmi&gt;350, 30, NA())</f>
        <v>30</v>
      </c>
      <c r="C194" s="5">
        <v>0</v>
      </c>
      <c r="D194" s="82">
        <f t="shared" ca="1" si="2"/>
        <v>406.56437728656948</v>
      </c>
      <c r="E194" s="82"/>
      <c r="F194" s="214">
        <f t="shared" ca="1" si="3"/>
        <v>406.56437728656948</v>
      </c>
    </row>
    <row r="195" spans="2:6" x14ac:dyDescent="0.25">
      <c r="B195" s="231">
        <f ca="1">IF(Altitude_culmi&gt;350, 37, NA())</f>
        <v>37</v>
      </c>
      <c r="C195" s="5">
        <v>17</v>
      </c>
      <c r="D195" s="82">
        <f t="shared" ca="1" si="2"/>
        <v>423.56437728656948</v>
      </c>
      <c r="E195" s="82"/>
      <c r="F195" s="214">
        <f t="shared" ca="1" si="3"/>
        <v>389.56437728656948</v>
      </c>
    </row>
    <row r="196" spans="2:6" x14ac:dyDescent="0.25">
      <c r="B196" s="231">
        <f ca="1">IF(Altitude_culmi&gt;350, 67, NA())</f>
        <v>67</v>
      </c>
      <c r="C196" s="5">
        <v>11</v>
      </c>
      <c r="D196" s="82">
        <f t="shared" ca="1" si="2"/>
        <v>417.56437728656948</v>
      </c>
      <c r="E196" s="82"/>
      <c r="F196" s="214">
        <f t="shared" ca="1" si="3"/>
        <v>395.56437728656948</v>
      </c>
    </row>
    <row r="197" spans="2:6" x14ac:dyDescent="0.25">
      <c r="B197" s="231">
        <f ca="1">IF(Altitude_culmi&gt;350, 67, NA())</f>
        <v>67</v>
      </c>
      <c r="C197" s="421">
        <v>0</v>
      </c>
      <c r="D197" s="230">
        <f t="shared" ca="1" si="2"/>
        <v>406.56437728656948</v>
      </c>
      <c r="E197" s="230"/>
      <c r="F197" s="216">
        <f t="shared" ca="1" si="3"/>
        <v>406.56437728656948</v>
      </c>
    </row>
    <row r="198" spans="2:6" x14ac:dyDescent="0.25">
      <c r="B198" s="231">
        <f ca="1">IF(Altitude_culmi&gt;350, 100, NA())</f>
        <v>100</v>
      </c>
    </row>
    <row r="199" spans="2:6" x14ac:dyDescent="0.25">
      <c r="B199" s="229">
        <f ca="1">IF(Altitude_culmi&gt;350, 100, NA())</f>
        <v>100</v>
      </c>
    </row>
  </sheetData>
  <sheetProtection password="C6AC" sheet="1"/>
  <protectedRanges>
    <protectedRange sqref="C25" name="Plage1"/>
  </protectedRanges>
  <mergeCells count="41">
    <mergeCell ref="C2:D3"/>
    <mergeCell ref="C7:D7"/>
    <mergeCell ref="C8:D8"/>
    <mergeCell ref="C9:D9"/>
    <mergeCell ref="C6:D6"/>
    <mergeCell ref="C4:D4"/>
    <mergeCell ref="H33:I33"/>
    <mergeCell ref="H32:I32"/>
    <mergeCell ref="F28:G28"/>
    <mergeCell ref="H31:I31"/>
    <mergeCell ref="A38:D38"/>
    <mergeCell ref="H34:I34"/>
    <mergeCell ref="F34:G34"/>
    <mergeCell ref="F33:G33"/>
    <mergeCell ref="F32:G32"/>
    <mergeCell ref="F38:G38"/>
    <mergeCell ref="C22:D22"/>
    <mergeCell ref="C17:D17"/>
    <mergeCell ref="F23:G23"/>
    <mergeCell ref="F27:G27"/>
    <mergeCell ref="F26:G26"/>
    <mergeCell ref="F24:G24"/>
    <mergeCell ref="F25:G25"/>
    <mergeCell ref="C15:D15"/>
    <mergeCell ref="C10:D10"/>
    <mergeCell ref="C19:D19"/>
    <mergeCell ref="C20:D20"/>
    <mergeCell ref="C11:D11"/>
    <mergeCell ref="C13:D13"/>
    <mergeCell ref="C14:D14"/>
    <mergeCell ref="C18:D18"/>
    <mergeCell ref="F49:G49"/>
    <mergeCell ref="F40:G40"/>
    <mergeCell ref="F41:G41"/>
    <mergeCell ref="F42:G42"/>
    <mergeCell ref="F43:G43"/>
    <mergeCell ref="F48:G48"/>
    <mergeCell ref="F44:G44"/>
    <mergeCell ref="F45:G45"/>
    <mergeCell ref="F47:G47"/>
    <mergeCell ref="F46:G46"/>
  </mergeCells>
  <phoneticPr fontId="8" type="noConversion"/>
  <conditionalFormatting sqref="B26">
    <cfRule type="expression" dxfId="26" priority="89" stopIfTrue="1">
      <formula>NOT(OR(C25=F108,C25=F102,Nb_sat="1 satellite"))</formula>
    </cfRule>
  </conditionalFormatting>
  <conditionalFormatting sqref="C26">
    <cfRule type="expression" dxfId="25" priority="91" stopIfTrue="1">
      <formula>NOT(OR(C25=F108,C25=F102))</formula>
    </cfRule>
  </conditionalFormatting>
  <conditionalFormatting sqref="C30">
    <cfRule type="cellIs" dxfId="24" priority="42" stopIfTrue="1" operator="notBetween">
      <formula>5</formula>
      <formula>15</formula>
    </cfRule>
  </conditionalFormatting>
  <conditionalFormatting sqref="D24">
    <cfRule type="expression" dxfId="23" priority="39" stopIfTrue="1">
      <formula>Nb_sat="0 satellite"</formula>
    </cfRule>
  </conditionalFormatting>
  <conditionalFormatting sqref="D25">
    <cfRule type="expression" dxfId="22" priority="2" stopIfTrue="1">
      <formula>Nb_sat="0 satellite"</formula>
    </cfRule>
  </conditionalFormatting>
  <conditionalFormatting sqref="D26:D29 D31:D33">
    <cfRule type="expression" dxfId="21" priority="59" stopIfTrue="1">
      <formula>Nb_sat="0 satellite"</formula>
    </cfRule>
  </conditionalFormatting>
  <conditionalFormatting sqref="D30">
    <cfRule type="expression" dxfId="20" priority="40" stopIfTrue="1">
      <formula>Nb_sat="0 satellite"</formula>
    </cfRule>
    <cfRule type="cellIs" dxfId="19" priority="49" stopIfTrue="1" operator="notBetween">
      <formula>5</formula>
      <formula>15</formula>
    </cfRule>
  </conditionalFormatting>
  <conditionalFormatting sqref="F25">
    <cfRule type="expression" dxfId="18" priority="26" stopIfTrue="1">
      <formula>Nb_sat="0 satellite"</formula>
    </cfRule>
  </conditionalFormatting>
  <conditionalFormatting sqref="F34:I34 F48:M48">
    <cfRule type="expression" dxfId="17" priority="22" stopIfTrue="1">
      <formula>Nb_sat="0 satellite"</formula>
    </cfRule>
  </conditionalFormatting>
  <conditionalFormatting sqref="F49:M49">
    <cfRule type="expression" dxfId="16" priority="21" stopIfTrue="1">
      <formula>Nb_sat="0 satellite"</formula>
    </cfRule>
  </conditionalFormatting>
  <conditionalFormatting sqref="H27 H46">
    <cfRule type="expression" dxfId="15" priority="4" stopIfTrue="1">
      <formula>ABS(Temps_culmi-T_para)&gt;2</formula>
    </cfRule>
  </conditionalFormatting>
  <conditionalFormatting sqref="H32:I32">
    <cfRule type="cellIs" dxfId="14" priority="14" stopIfTrue="1" operator="equal">
      <formula>"Brun/Orange…"</formula>
    </cfRule>
  </conditionalFormatting>
  <conditionalFormatting sqref="H33:I33">
    <cfRule type="cellIs" dxfId="13" priority="13" stopIfTrue="1" operator="equal">
      <formula>"Rouge…"</formula>
    </cfRule>
  </conditionalFormatting>
  <conditionalFormatting sqref="H25:M25">
    <cfRule type="expression" dxfId="12" priority="41" stopIfTrue="1">
      <formula>Nb_sat="0 satellite"</formula>
    </cfRule>
  </conditionalFormatting>
  <conditionalFormatting sqref="J28 J45">
    <cfRule type="expression" dxfId="11" priority="6" stopIfTrue="1">
      <formula>AND(Portee_balistique&gt;200,LEFT(Type_propu,4)="Mini")</formula>
    </cfRule>
  </conditionalFormatting>
  <conditionalFormatting sqref="K23 K41">
    <cfRule type="expression" dxfId="10" priority="44" stopIfTrue="1">
      <formula>AND(Vsortie_de_rampe&lt;18, OR(LEFT(Type_fusee,1)=",",LEFT(Type_fusee,4)="Mini",LEFT(Type_fusee,1)="R"))</formula>
    </cfRule>
    <cfRule type="expression" dxfId="9" priority="45" stopIfTrue="1">
      <formula>AND(Vsortie_de_rampe&lt;20, RIGHT(Type_fusee,1)=".")</formula>
    </cfRule>
  </conditionalFormatting>
  <conditionalFormatting sqref="K40">
    <cfRule type="expression" dxfId="8" priority="34" stopIfTrue="1">
      <formula>AND( $K$21=0, OR( $I$21&gt;0, $J$21&gt;0 ) )</formula>
    </cfRule>
  </conditionalFormatting>
  <conditionalFormatting sqref="N33">
    <cfRule type="expression" dxfId="7" priority="15" stopIfTrue="1">
      <formula>ROUND(SUM(C23:L34),0)=1914</formula>
    </cfRule>
  </conditionalFormatting>
  <conditionalFormatting sqref="N34">
    <cfRule type="expression" dxfId="6" priority="16" stopIfTrue="1">
      <formula>$N$34="propu NOK"</formula>
    </cfRule>
  </conditionalFormatting>
  <dataValidations count="14">
    <dataValidation type="decimal" operator="greaterThanOrEqual" showErrorMessage="1" sqref="H40:K40 C29 C26 D26:D27" xr:uid="{00000000-0002-0000-0100-000000000000}">
      <formula1>0</formula1>
    </dataValidation>
    <dataValidation type="list" allowBlank="1" showInputMessage="1" showErrorMessage="1" sqref="H50" xr:uid="{00000000-0002-0000-0100-000001000000}">
      <formula1>gao</formula1>
    </dataValidation>
    <dataValidation operator="greaterThanOrEqual" showErrorMessage="1" sqref="D29 C27" xr:uid="{00000000-0002-0000-0100-000002000000}"/>
    <dataValidation type="decimal" errorStyle="warning" allowBlank="1" showErrorMessage="1" errorTitle="Cx para" error="Le Cx du parachute est souvent compris entre 0 et 2._x000a_Cx of parachute might be between 0 a 2." sqref="C28:D28" xr:uid="{00000000-0002-0000-0100-000003000000}">
      <formula1>0</formula1>
      <formula2>2</formula2>
    </dataValidation>
    <dataValidation sqref="C11:D11" xr:uid="{00000000-0002-0000-0100-000004000000}"/>
    <dataValidation operator="greaterThanOrEqual" sqref="C10:D10" xr:uid="{00000000-0002-0000-0100-000005000000}"/>
    <dataValidation type="decimal" errorStyle="warning" showErrorMessage="1" errorTitle="Cx" error="Le Cx est souvent compris entre 0,3 et 0,7._x000a_Cx may be between 0,3 &amp; 0,7." sqref="C15:D15" xr:uid="{00000000-0002-0000-0100-000006000000}">
      <formula1>0.3</formula1>
      <formula2>0.7</formula2>
    </dataValidation>
    <dataValidation type="decimal" operator="greaterThanOrEqual" allowBlank="1" showErrorMessage="1" sqref="C18:D18" xr:uid="{00000000-0002-0000-0100-000007000000}">
      <formula1>0</formula1>
    </dataValidation>
    <dataValidation type="decimal" errorStyle="information" allowBlank="1" showInputMessage="1" showErrorMessage="1" errorTitle="Angle de la rampe" error="Il est conseillé d'incliner à rampe entre 75° et 85° par rapport à l'horizontale._x000a_This Angle is recommended between 75° &amp; 85°." sqref="C19:D19" xr:uid="{00000000-0002-0000-0100-000008000000}">
      <formula1>75</formula1>
      <formula2>85</formula2>
    </dataValidation>
    <dataValidation type="whole" operator="greaterThanOrEqual" allowBlank="1" showErrorMessage="1" sqref="C20:D20" xr:uid="{00000000-0002-0000-0100-000009000000}">
      <formula1>0</formula1>
    </dataValidation>
    <dataValidation type="whole" allowBlank="1" showErrorMessage="1" sqref="M40" xr:uid="{00000000-0002-0000-0100-00000A000000}">
      <formula1>-360</formula1>
      <formula2>360</formula2>
    </dataValidation>
    <dataValidation type="list" showInputMessage="1" showErrorMessage="1" sqref="D23" xr:uid="{00000000-0002-0000-0100-00000B000000}">
      <formula1>Menu_sat</formula1>
    </dataValidation>
    <dataValidation type="whole" operator="greaterThanOrEqual" showErrorMessage="1" sqref="B43 B45 B51 B53" xr:uid="{00000000-0002-0000-0100-00000C000000}">
      <formula1>0</formula1>
    </dataValidation>
    <dataValidation type="list" showInputMessage="1" showErrorMessage="1" sqref="C25" xr:uid="{00000000-0002-0000-0100-00000D000000}">
      <formula1>IF(Depotage&lt;&gt;0,IF(LEFT(Type_propu,5)="Micro",$F$108,$F$103:$F$108),$F$102)</formula1>
    </dataValidation>
  </dataValidations>
  <hyperlinks>
    <hyperlink ref="B11" location="Stabilito!C17" display="Stabilito!C17" xr:uid="{00000000-0004-0000-0100-000000000000}"/>
  </hyperlinks>
  <printOptions horizontalCentered="1" verticalCentered="1"/>
  <pageMargins left="7.874015748031496E-2" right="7.874015748031496E-2" top="7.874015748031496E-2" bottom="7.874015748031496E-2" header="0" footer="0"/>
  <pageSetup paperSize="9" firstPageNumber="0" orientation="landscape" horizontalDpi="300" verticalDpi="300" r:id="rId1"/>
  <headerFooter alignWithMargins="0"/>
  <ignoredErrors>
    <ignoredError sqref="B126:B132 B138:B149 C149 C151 C136:C138 C140:C147 C124:C130" formula="1"/>
    <ignoredError sqref="H44:I44 H47 J44:M44" evalError="1"/>
    <ignoredError sqref="G103:G107" numberStoredAsText="1"/>
    <ignoredError sqref="D2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24424" r:id="rId4" name="Spinner 1064">
              <controlPr defaultSize="0" print="0" autoPict="0">
                <anchor moveWithCells="1" sizeWithCells="1">
                  <from>
                    <xdr:col>3</xdr:col>
                    <xdr:colOff>635000</xdr:colOff>
                    <xdr:row>9</xdr:row>
                    <xdr:rowOff>12700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89" r:id="rId5" name="Spinner 1229">
              <controlPr defaultSize="0" print="0" autoPict="0">
                <anchor moveWithCells="1" sizeWithCells="1">
                  <from>
                    <xdr:col>1</xdr:col>
                    <xdr:colOff>977900</xdr:colOff>
                    <xdr:row>42</xdr:row>
                    <xdr:rowOff>12700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0" r:id="rId6" name="Spinner 1230">
              <controlPr defaultSize="0" print="0" autoPict="0">
                <anchor moveWithCells="1" sizeWithCells="1">
                  <from>
                    <xdr:col>1</xdr:col>
                    <xdr:colOff>977900</xdr:colOff>
                    <xdr:row>44</xdr:row>
                    <xdr:rowOff>12700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1" r:id="rId7" name="Spinner 1231">
              <controlPr defaultSize="0" print="0" autoPict="0">
                <anchor moveWithCells="1" sizeWithCells="1">
                  <from>
                    <xdr:col>1</xdr:col>
                    <xdr:colOff>977900</xdr:colOff>
                    <xdr:row>50</xdr:row>
                    <xdr:rowOff>12700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462" r:id="rId8" name="Spinner 4550">
              <controlPr defaultSize="0" print="0" autoPict="0">
                <anchor moveWithCells="1" sizeWithCells="1">
                  <from>
                    <xdr:col>1</xdr:col>
                    <xdr:colOff>977900</xdr:colOff>
                    <xdr:row>52</xdr:row>
                    <xdr:rowOff>12700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B75:B146"/>
  <sheetViews>
    <sheetView showGridLines="0" zoomScaleNormal="100" workbookViewId="0">
      <selection activeCell="M67" sqref="M67"/>
    </sheetView>
  </sheetViews>
  <sheetFormatPr baseColWidth="10" defaultRowHeight="12.5" x14ac:dyDescent="0.25"/>
  <sheetData>
    <row r="75" spans="2:2" x14ac:dyDescent="0.25">
      <c r="B75" t="s">
        <v>44</v>
      </c>
    </row>
    <row r="76" spans="2:2" x14ac:dyDescent="0.25">
      <c r="B76" t="str">
        <f>IF(Lang="Français","Ces courbes représentent la trajectoire de la fusée dans l'hypothèse d'une descente balistique (sans ouverture du parachute). ","These curves show the rocket trajectory in case of ballistic fall (without parachute).")</f>
        <v xml:space="preserve">Ces courbes représentent la trajectoire de la fusée dans l'hypothèse d'une descente balistique (sans ouverture du parachute). </v>
      </c>
    </row>
    <row r="77" spans="2:2" x14ac:dyDescent="0.25">
      <c r="B77" t="str">
        <f>IF(Lang="Français","L'accélération longitudinale gravitationnelle définit le mouvement (dérivée de la vitesse) : Acc = (Poussee - Traînée ± Poids) / m",IF(Lang="English","Longitudinal Gravitaionnal Acceleration defines the motion (velocity derivative) : Acc = (Thrust - Drag ± Weight)/m",""))</f>
        <v>L'accélération longitudinale gravitationnelle définit le mouvement (dérivée de la vitesse) : Acc = (Poussee - Traînée ± Poids) / m</v>
      </c>
    </row>
    <row r="78" spans="2:2" x14ac:dyDescent="0.25">
      <c r="B78" t="str">
        <f>IF(Lang="Français","La charge ''non-gravitationnelle'' vue par un capteur d'accélération (masse-ressort) est : Charge = (Poussée - Traînée) / m",IF(Lang="English","''Non-Gravitaionnal'' Load seen by an acceleration sensor (mass-spring) is : Load = (Thrust - Drag) / m",""))</f>
        <v>La charge ''non-gravitationnelle'' vue par un capteur d'accélération (masse-ressort) est : Charge = (Poussée - Traînée) / m</v>
      </c>
    </row>
    <row r="79" spans="2:2" x14ac:dyDescent="0.25">
      <c r="B79" t="str">
        <f>IF(Lang="Français","Exemples : Si Poussée = Poids, Vitesse constante, Acc nulle, Charge = 1G ; En chute libre, Acc = -1G, Charge = 0",IF(Lang="English","",""))</f>
        <v>Exemples : Si Poussée = Poids, Vitesse constante, Acc nulle, Charge = 1G ; En chute libre, Acc = -1G, Charge = 0</v>
      </c>
    </row>
    <row r="131" spans="2:2" ht="13" x14ac:dyDescent="0.3">
      <c r="B131" s="24" t="str">
        <f>IF(Lang="Français","Textes pour les graphiques :","Texts for graphics :")</f>
        <v>Textes pour les graphiques :</v>
      </c>
    </row>
    <row r="133" spans="2:2" x14ac:dyDescent="0.25">
      <c r="B133" t="str">
        <f>IF(Lang="Français","Traînée",IF(Lang="English","Drag",""))</f>
        <v>Traînée</v>
      </c>
    </row>
    <row r="134" spans="2:2" x14ac:dyDescent="0.25">
      <c r="B134" t="str">
        <f>IF(Lang="Français","Poussée",IF(Lang="English","Thrust",""))</f>
        <v>Poussée</v>
      </c>
    </row>
    <row r="135" spans="2:2" x14ac:dyDescent="0.25">
      <c r="B135" t="str">
        <f>IF(Lang="Français","Poids",IF(Lang="English","Weight",""))</f>
        <v>Poids</v>
      </c>
    </row>
    <row r="137" spans="2:2" x14ac:dyDescent="0.25">
      <c r="B137" t="str">
        <f>IF(Lang="Français","Accélération longitudinale",IF(Lang="English","Longitudinal Acceleration",""))</f>
        <v>Accélération longitudinale</v>
      </c>
    </row>
    <row r="138" spans="2:2" x14ac:dyDescent="0.25">
      <c r="B138" t="str">
        <f>IF(Lang="Français","Charge vue par un capteur",IF(Lang="English","Load seen by a sensor",""))</f>
        <v>Charge vue par un capteur</v>
      </c>
    </row>
    <row r="140" spans="2:2" x14ac:dyDescent="0.25">
      <c r="B140" t="str">
        <f>IF(Lang="Français","Vitesse",IF(Lang="English","Velocity",""))</f>
        <v>Vitesse</v>
      </c>
    </row>
    <row r="141" spans="2:2" x14ac:dyDescent="0.25">
      <c r="B141" t="str">
        <f>IF(Lang="Français","Vitesse [m/s]",IF(Lang="English","Velocity [m/s]",""))</f>
        <v>Vitesse [m/s]</v>
      </c>
    </row>
    <row r="143" spans="2:2" x14ac:dyDescent="0.25">
      <c r="B143" t="s">
        <v>6</v>
      </c>
    </row>
    <row r="144" spans="2:2" x14ac:dyDescent="0.25">
      <c r="B144" t="str">
        <f>IF(Lang="Français","Portée",IF(Lang="English","Range",""))</f>
        <v>Portée</v>
      </c>
    </row>
    <row r="146" spans="2:2" x14ac:dyDescent="0.25">
      <c r="B146" t="str">
        <f>IF(Lang="Français","Temps [s]",IF(Lang="English","Time [s]",""))</f>
        <v>Temps [s]</v>
      </c>
    </row>
  </sheetData>
  <sheetProtection password="C6AC" sheet="1"/>
  <phoneticPr fontId="8" type="noConversion"/>
  <printOptions horizontalCentered="1" verticalCentered="1"/>
  <pageMargins left="0.39370078740157483" right="0.39370078740157483" top="0.39370078740157483" bottom="0.39370078740157483" header="0" footer="0"/>
  <pageSetup scale="76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>
    <pageSetUpPr fitToPage="1"/>
  </sheetPr>
  <dimension ref="A1:Z346"/>
  <sheetViews>
    <sheetView showGridLines="0" zoomScale="80" zoomScaleNormal="80" workbookViewId="0">
      <selection activeCell="K6" sqref="K6"/>
    </sheetView>
  </sheetViews>
  <sheetFormatPr baseColWidth="10" defaultRowHeight="12.5" x14ac:dyDescent="0.25"/>
  <cols>
    <col min="1" max="1" width="22.453125" bestFit="1" customWidth="1"/>
  </cols>
  <sheetData>
    <row r="1" spans="1:26" ht="13" thickBot="1" x14ac:dyDescent="0.3">
      <c r="A1" s="362" t="str">
        <f>IF(Lang="Français","Moteur sélectionné","Selected motor")</f>
        <v>Moteur sélectionné</v>
      </c>
      <c r="B1" s="362" t="s">
        <v>32</v>
      </c>
    </row>
    <row r="2" spans="1:26" ht="13" thickBot="1" x14ac:dyDescent="0.3">
      <c r="A2" s="352" t="str">
        <f>Propu</f>
        <v>Pandora (Pro24-6G BS)</v>
      </c>
      <c r="B2" s="352">
        <f>VLOOKUP(A2,A26:B314,2,FALSE)</f>
        <v>198</v>
      </c>
      <c r="C2" s="363" t="s">
        <v>116</v>
      </c>
      <c r="D2" s="353">
        <f ca="1">INDIRECT(ADDRESS(B2,4))</f>
        <v>142.44</v>
      </c>
      <c r="E2" s="363" t="s">
        <v>115</v>
      </c>
      <c r="F2" s="354">
        <f ca="1">INDIRECT(ADDRESS(B2,6))</f>
        <v>192.06187401906058</v>
      </c>
      <c r="G2" s="363" t="s">
        <v>57</v>
      </c>
      <c r="H2" s="355">
        <f ca="1">INDIRECT(ADDRESS(B2,8))</f>
        <v>0.15989999999999999</v>
      </c>
      <c r="I2" s="363" t="s">
        <v>272</v>
      </c>
      <c r="J2" s="356">
        <f ca="1">INDIRECT(ADDRESS(B2,10))</f>
        <v>7.5599999999999987E-2</v>
      </c>
      <c r="K2" s="363" t="s">
        <v>59</v>
      </c>
      <c r="L2" s="355">
        <f ca="1">INDIRECT(ADDRESS(B2,12))</f>
        <v>8.43E-2</v>
      </c>
      <c r="M2" s="363" t="s">
        <v>58</v>
      </c>
      <c r="N2" s="357">
        <f ca="1">INDIRECT(ADDRESS(B2,14))</f>
        <v>114</v>
      </c>
      <c r="O2" s="363" t="s">
        <v>60</v>
      </c>
      <c r="P2" s="357">
        <f ca="1">INDIRECT(ADDRESS(B2,16))</f>
        <v>114</v>
      </c>
      <c r="Q2" s="363" t="s">
        <v>61</v>
      </c>
      <c r="R2" s="357">
        <f ca="1">INDIRECT(ADDRESS(B2,18))</f>
        <v>228</v>
      </c>
      <c r="S2" s="363" t="s">
        <v>62</v>
      </c>
      <c r="T2" s="357">
        <f ca="1">INDIRECT(ADDRESS(B2,20))</f>
        <v>24</v>
      </c>
      <c r="U2" s="363" t="s">
        <v>55</v>
      </c>
      <c r="V2" s="358" t="str">
        <f ca="1">INDIRECT(ADDRESS(B2,22))</f>
        <v>MiniN</v>
      </c>
      <c r="W2" s="463" t="s">
        <v>394</v>
      </c>
      <c r="X2" s="464">
        <f ca="1">INDIRECT(ADDRESS(B2,24))</f>
        <v>0.97</v>
      </c>
      <c r="Y2" s="463" t="s">
        <v>393</v>
      </c>
      <c r="Z2" s="358">
        <f ca="1">INDIRECT(ADDRESS(B2,26))</f>
        <v>0</v>
      </c>
    </row>
    <row r="3" spans="1:26" x14ac:dyDescent="0.25">
      <c r="A3" s="362" t="str">
        <f>IF(Lang="Français","Temps (en s)","Time (s)")</f>
        <v>Temps (en s)</v>
      </c>
      <c r="B3" s="364">
        <f t="shared" ref="B3:Y3" ca="1" si="0">INDIRECT(ADDRESS($B2+1,COLUMN(B3)))</f>
        <v>0</v>
      </c>
      <c r="C3" s="365">
        <f t="shared" ca="1" si="0"/>
        <v>0.02</v>
      </c>
      <c r="D3" s="365">
        <f t="shared" ca="1" si="0"/>
        <v>0.04</v>
      </c>
      <c r="E3" s="365">
        <f t="shared" ca="1" si="0"/>
        <v>0.62</v>
      </c>
      <c r="F3" s="365">
        <f t="shared" ca="1" si="0"/>
        <v>0.66</v>
      </c>
      <c r="G3" s="365">
        <f t="shared" ca="1" si="0"/>
        <v>0.68</v>
      </c>
      <c r="H3" s="365">
        <f t="shared" ca="1" si="0"/>
        <v>0.8</v>
      </c>
      <c r="I3" s="365">
        <f t="shared" ca="1" si="0"/>
        <v>0.84</v>
      </c>
      <c r="J3" s="365">
        <f t="shared" ca="1" si="0"/>
        <v>0.88</v>
      </c>
      <c r="K3" s="365">
        <f t="shared" ca="1" si="0"/>
        <v>0.92</v>
      </c>
      <c r="L3" s="365">
        <f t="shared" ca="1" si="0"/>
        <v>0.96</v>
      </c>
      <c r="M3" s="365">
        <f t="shared" ca="1" si="0"/>
        <v>1</v>
      </c>
      <c r="N3" s="365">
        <f t="shared" ca="1" si="0"/>
        <v>1.08</v>
      </c>
      <c r="O3" s="365">
        <f t="shared" ca="1" si="0"/>
        <v>2</v>
      </c>
      <c r="P3" s="365">
        <f t="shared" ca="1" si="0"/>
        <v>2</v>
      </c>
      <c r="Q3" s="365">
        <f t="shared" ca="1" si="0"/>
        <v>2</v>
      </c>
      <c r="R3" s="365">
        <f t="shared" ca="1" si="0"/>
        <v>2</v>
      </c>
      <c r="S3" s="365">
        <f t="shared" ca="1" si="0"/>
        <v>2</v>
      </c>
      <c r="T3" s="365">
        <f t="shared" ca="1" si="0"/>
        <v>2</v>
      </c>
      <c r="U3" s="365">
        <f t="shared" ca="1" si="0"/>
        <v>2</v>
      </c>
      <c r="V3" s="365">
        <f t="shared" ca="1" si="0"/>
        <v>2</v>
      </c>
      <c r="W3" s="365">
        <f t="shared" ca="1" si="0"/>
        <v>2</v>
      </c>
      <c r="X3" s="365">
        <f ca="1">INDIRECT(ADDRESS($B2+1,COLUMN(X3)))</f>
        <v>2</v>
      </c>
      <c r="Y3" s="366">
        <f t="shared" ca="1" si="0"/>
        <v>1000</v>
      </c>
    </row>
    <row r="4" spans="1:26" ht="13" thickBot="1" x14ac:dyDescent="0.3">
      <c r="A4" s="379" t="str">
        <f>IF(Lang="Français","Poussée (en N)","Thrust (N)")</f>
        <v>Poussée (en N)</v>
      </c>
      <c r="B4" s="367">
        <f t="shared" ref="B4:Y4" ca="1" si="1">INDIRECT(ADDRESS($B2+2,COLUMN(B3)))</f>
        <v>0</v>
      </c>
      <c r="C4" s="368">
        <f t="shared" ca="1" si="1"/>
        <v>250</v>
      </c>
      <c r="D4" s="368">
        <f t="shared" ca="1" si="1"/>
        <v>210</v>
      </c>
      <c r="E4" s="368">
        <f t="shared" ca="1" si="1"/>
        <v>160</v>
      </c>
      <c r="F4" s="368">
        <f t="shared" ca="1" si="1"/>
        <v>150</v>
      </c>
      <c r="G4" s="368">
        <f t="shared" ca="1" si="1"/>
        <v>142</v>
      </c>
      <c r="H4" s="368">
        <f t="shared" ca="1" si="1"/>
        <v>62</v>
      </c>
      <c r="I4" s="368">
        <f t="shared" ca="1" si="1"/>
        <v>48</v>
      </c>
      <c r="J4" s="368">
        <f t="shared" ca="1" si="1"/>
        <v>34</v>
      </c>
      <c r="K4" s="368">
        <f t="shared" ca="1" si="1"/>
        <v>24</v>
      </c>
      <c r="L4" s="368">
        <f t="shared" ca="1" si="1"/>
        <v>15</v>
      </c>
      <c r="M4" s="368">
        <f t="shared" ca="1" si="1"/>
        <v>10</v>
      </c>
      <c r="N4" s="368">
        <f t="shared" ca="1" si="1"/>
        <v>0</v>
      </c>
      <c r="O4" s="368">
        <f t="shared" ca="1" si="1"/>
        <v>0</v>
      </c>
      <c r="P4" s="368">
        <f t="shared" ca="1" si="1"/>
        <v>0</v>
      </c>
      <c r="Q4" s="368">
        <f t="shared" ca="1" si="1"/>
        <v>0</v>
      </c>
      <c r="R4" s="368">
        <f t="shared" ca="1" si="1"/>
        <v>0</v>
      </c>
      <c r="S4" s="368">
        <f t="shared" ca="1" si="1"/>
        <v>0</v>
      </c>
      <c r="T4" s="368">
        <f t="shared" ca="1" si="1"/>
        <v>0</v>
      </c>
      <c r="U4" s="368">
        <f t="shared" ca="1" si="1"/>
        <v>0</v>
      </c>
      <c r="V4" s="368">
        <f t="shared" ca="1" si="1"/>
        <v>0</v>
      </c>
      <c r="W4" s="368">
        <f t="shared" ca="1" si="1"/>
        <v>0</v>
      </c>
      <c r="X4" s="368">
        <f ca="1">INDIRECT(ADDRESS($B2+2,COLUMN(X3)))</f>
        <v>0</v>
      </c>
      <c r="Y4" s="369">
        <f t="shared" ca="1" si="1"/>
        <v>0</v>
      </c>
    </row>
    <row r="5" spans="1:2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6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6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26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26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26" x14ac:dyDescent="0.25">
      <c r="B10" s="12"/>
      <c r="C10" s="12"/>
      <c r="D10" s="12"/>
      <c r="E10" s="12"/>
      <c r="F10" s="12"/>
      <c r="G10" s="12"/>
      <c r="H10" s="12"/>
      <c r="I10" s="12"/>
      <c r="J10" s="12"/>
    </row>
    <row r="11" spans="1:26" x14ac:dyDescent="0.25">
      <c r="B11" s="12"/>
      <c r="C11" s="12"/>
      <c r="D11" s="12"/>
      <c r="E11" s="12"/>
      <c r="F11" s="12"/>
      <c r="G11" s="12"/>
      <c r="H11" s="12"/>
      <c r="I11" s="12"/>
      <c r="J11" s="12"/>
    </row>
    <row r="12" spans="1:26" x14ac:dyDescent="0.25">
      <c r="B12" s="12"/>
      <c r="C12" s="12"/>
      <c r="D12" s="12"/>
      <c r="E12" s="12"/>
      <c r="F12" s="12"/>
      <c r="G12" s="12"/>
      <c r="H12" s="12"/>
      <c r="I12" s="12"/>
      <c r="J12" s="12"/>
    </row>
    <row r="13" spans="1:26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26" x14ac:dyDescent="0.25">
      <c r="B14" s="12"/>
      <c r="C14" s="12"/>
      <c r="D14" s="12"/>
      <c r="E14" s="12"/>
      <c r="F14" s="12"/>
      <c r="G14" s="12"/>
      <c r="H14" s="12"/>
      <c r="I14" s="12"/>
      <c r="J14" s="12"/>
    </row>
    <row r="15" spans="1:26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26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25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25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5" spans="1:25" ht="13.5" thickBot="1" x14ac:dyDescent="0.35">
      <c r="A25" s="6" t="s">
        <v>275</v>
      </c>
    </row>
    <row r="26" spans="1:25" ht="13.5" thickBot="1" x14ac:dyDescent="0.35">
      <c r="A26" s="361" t="s">
        <v>308</v>
      </c>
      <c r="B26" s="359">
        <f>ROW(A26)</f>
        <v>26</v>
      </c>
      <c r="C26" s="363" t="s">
        <v>116</v>
      </c>
      <c r="D26" s="353">
        <f>SUM(B29:Y29)</f>
        <v>9.8449999999999989</v>
      </c>
      <c r="E26" s="363" t="s">
        <v>115</v>
      </c>
      <c r="F26" s="399">
        <f>D26/g/J26</f>
        <v>3.3452259599048584</v>
      </c>
      <c r="G26" s="363" t="s">
        <v>57</v>
      </c>
      <c r="H26" s="64">
        <v>0.3</v>
      </c>
      <c r="I26" s="363" t="s">
        <v>270</v>
      </c>
      <c r="J26" s="355">
        <f>H26-L26</f>
        <v>0.3</v>
      </c>
      <c r="K26" s="363" t="s">
        <v>271</v>
      </c>
      <c r="L26" s="64">
        <v>0</v>
      </c>
      <c r="M26" s="363" t="s">
        <v>58</v>
      </c>
      <c r="N26" s="65">
        <f>0.2*R26</f>
        <v>60</v>
      </c>
      <c r="O26" s="363" t="s">
        <v>60</v>
      </c>
      <c r="P26" s="65">
        <v>150</v>
      </c>
      <c r="Q26" s="363" t="s">
        <v>61</v>
      </c>
      <c r="R26" s="65">
        <v>300</v>
      </c>
      <c r="S26" s="363" t="s">
        <v>62</v>
      </c>
      <c r="T26" s="65">
        <v>90</v>
      </c>
      <c r="U26" s="363" t="s">
        <v>55</v>
      </c>
      <c r="V26" s="66" t="s">
        <v>275</v>
      </c>
      <c r="W26" s="12"/>
      <c r="X26" s="12"/>
      <c r="Y26" s="12"/>
    </row>
    <row r="27" spans="1:25" x14ac:dyDescent="0.25">
      <c r="A27" s="362" t="s">
        <v>33</v>
      </c>
      <c r="B27" s="370">
        <v>0</v>
      </c>
      <c r="C27" s="371">
        <v>1E-3</v>
      </c>
      <c r="D27" s="371">
        <v>0.02</v>
      </c>
      <c r="E27" s="371">
        <v>3.7999999999999999E-2</v>
      </c>
      <c r="F27" s="371">
        <v>0.04</v>
      </c>
      <c r="G27" s="371">
        <v>0.04</v>
      </c>
      <c r="H27" s="371">
        <v>0.04</v>
      </c>
      <c r="I27" s="371">
        <v>0.04</v>
      </c>
      <c r="J27" s="371">
        <v>0.04</v>
      </c>
      <c r="K27" s="371">
        <v>0.04</v>
      </c>
      <c r="L27" s="371">
        <v>0.04</v>
      </c>
      <c r="M27" s="371">
        <v>0.04</v>
      </c>
      <c r="N27" s="371">
        <v>0.04</v>
      </c>
      <c r="O27" s="371">
        <v>0.04</v>
      </c>
      <c r="P27" s="371">
        <v>0.04</v>
      </c>
      <c r="Q27" s="371">
        <v>0.04</v>
      </c>
      <c r="R27" s="371">
        <v>0.04</v>
      </c>
      <c r="S27" s="371">
        <v>0.04</v>
      </c>
      <c r="T27" s="371">
        <v>0.04</v>
      </c>
      <c r="U27" s="371">
        <v>0.04</v>
      </c>
      <c r="V27" s="371">
        <v>0.04</v>
      </c>
      <c r="W27" s="371">
        <v>0.04</v>
      </c>
      <c r="X27" s="371">
        <v>0.04</v>
      </c>
      <c r="Y27" s="381">
        <v>1000</v>
      </c>
    </row>
    <row r="28" spans="1:25" x14ac:dyDescent="0.25">
      <c r="A28" s="378" t="s">
        <v>34</v>
      </c>
      <c r="B28" s="372">
        <v>0</v>
      </c>
      <c r="C28" s="373">
        <v>310</v>
      </c>
      <c r="D28" s="373">
        <v>250</v>
      </c>
      <c r="E28" s="373">
        <v>212</v>
      </c>
      <c r="F28" s="373">
        <v>0</v>
      </c>
      <c r="G28" s="373">
        <v>0</v>
      </c>
      <c r="H28" s="373">
        <v>0</v>
      </c>
      <c r="I28" s="373">
        <v>0</v>
      </c>
      <c r="J28" s="373">
        <v>0</v>
      </c>
      <c r="K28" s="373">
        <v>0</v>
      </c>
      <c r="L28" s="373">
        <v>0</v>
      </c>
      <c r="M28" s="373">
        <v>0</v>
      </c>
      <c r="N28" s="373">
        <v>0</v>
      </c>
      <c r="O28" s="373">
        <v>0</v>
      </c>
      <c r="P28" s="373">
        <v>0</v>
      </c>
      <c r="Q28" s="373">
        <v>0</v>
      </c>
      <c r="R28" s="373">
        <v>0</v>
      </c>
      <c r="S28" s="373">
        <v>0</v>
      </c>
      <c r="T28" s="373">
        <v>0</v>
      </c>
      <c r="U28" s="373">
        <v>0</v>
      </c>
      <c r="V28" s="373">
        <v>0</v>
      </c>
      <c r="W28" s="373">
        <v>0</v>
      </c>
      <c r="X28" s="373">
        <v>0</v>
      </c>
      <c r="Y28" s="382">
        <v>0</v>
      </c>
    </row>
    <row r="29" spans="1:25" ht="13" thickBot="1" x14ac:dyDescent="0.3">
      <c r="A29" s="379" t="s">
        <v>117</v>
      </c>
      <c r="B29" s="374">
        <f t="shared" ref="B29:X29" si="2">(C28+B28)*(C27-B27)/2</f>
        <v>0.155</v>
      </c>
      <c r="C29" s="375">
        <f t="shared" si="2"/>
        <v>5.32</v>
      </c>
      <c r="D29" s="375">
        <f t="shared" si="2"/>
        <v>4.1579999999999995</v>
      </c>
      <c r="E29" s="375">
        <f t="shared" si="2"/>
        <v>0.21200000000000019</v>
      </c>
      <c r="F29" s="375">
        <f t="shared" si="2"/>
        <v>0</v>
      </c>
      <c r="G29" s="375">
        <f t="shared" si="2"/>
        <v>0</v>
      </c>
      <c r="H29" s="375">
        <f t="shared" si="2"/>
        <v>0</v>
      </c>
      <c r="I29" s="375">
        <f t="shared" si="2"/>
        <v>0</v>
      </c>
      <c r="J29" s="375">
        <f t="shared" si="2"/>
        <v>0</v>
      </c>
      <c r="K29" s="375">
        <f t="shared" si="2"/>
        <v>0</v>
      </c>
      <c r="L29" s="375">
        <f t="shared" si="2"/>
        <v>0</v>
      </c>
      <c r="M29" s="375">
        <f t="shared" si="2"/>
        <v>0</v>
      </c>
      <c r="N29" s="375">
        <f t="shared" si="2"/>
        <v>0</v>
      </c>
      <c r="O29" s="375">
        <f t="shared" si="2"/>
        <v>0</v>
      </c>
      <c r="P29" s="375">
        <f t="shared" si="2"/>
        <v>0</v>
      </c>
      <c r="Q29" s="375">
        <f t="shared" si="2"/>
        <v>0</v>
      </c>
      <c r="R29" s="375">
        <f t="shared" si="2"/>
        <v>0</v>
      </c>
      <c r="S29" s="375">
        <f t="shared" si="2"/>
        <v>0</v>
      </c>
      <c r="T29" s="375">
        <f t="shared" si="2"/>
        <v>0</v>
      </c>
      <c r="U29" s="375">
        <f t="shared" si="2"/>
        <v>0</v>
      </c>
      <c r="V29" s="375">
        <f t="shared" si="2"/>
        <v>0</v>
      </c>
      <c r="W29" s="375">
        <f t="shared" si="2"/>
        <v>0</v>
      </c>
      <c r="X29" s="375">
        <f t="shared" si="2"/>
        <v>0</v>
      </c>
      <c r="Y29" s="369"/>
    </row>
    <row r="30" spans="1:25" ht="13" thickBot="1" x14ac:dyDescent="0.3">
      <c r="A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thickBot="1" x14ac:dyDescent="0.35">
      <c r="A31" s="361" t="s">
        <v>309</v>
      </c>
      <c r="B31" s="359">
        <f>ROW(A31)</f>
        <v>31</v>
      </c>
      <c r="C31" s="363" t="s">
        <v>116</v>
      </c>
      <c r="D31" s="353">
        <f>SUM(B34:Y34)</f>
        <v>13.814500000000002</v>
      </c>
      <c r="E31" s="363" t="s">
        <v>115</v>
      </c>
      <c r="F31" s="399">
        <f>D31/g/J31</f>
        <v>3.1293464718541175</v>
      </c>
      <c r="G31" s="363" t="s">
        <v>57</v>
      </c>
      <c r="H31" s="64">
        <v>0.45</v>
      </c>
      <c r="I31" s="363" t="s">
        <v>270</v>
      </c>
      <c r="J31" s="355">
        <f>H31-L31</f>
        <v>0.45</v>
      </c>
      <c r="K31" s="363" t="s">
        <v>271</v>
      </c>
      <c r="L31" s="64">
        <v>0</v>
      </c>
      <c r="M31" s="363" t="s">
        <v>58</v>
      </c>
      <c r="N31" s="65">
        <f>0.3*R31</f>
        <v>90</v>
      </c>
      <c r="O31" s="363" t="s">
        <v>60</v>
      </c>
      <c r="P31" s="65">
        <v>150</v>
      </c>
      <c r="Q31" s="363" t="s">
        <v>61</v>
      </c>
      <c r="R31" s="65">
        <v>300</v>
      </c>
      <c r="S31" s="363" t="s">
        <v>62</v>
      </c>
      <c r="T31" s="65">
        <v>90</v>
      </c>
      <c r="U31" s="363" t="s">
        <v>55</v>
      </c>
      <c r="V31" s="66" t="s">
        <v>275</v>
      </c>
      <c r="W31" s="12"/>
      <c r="X31" s="12"/>
      <c r="Y31" s="12"/>
    </row>
    <row r="32" spans="1:25" x14ac:dyDescent="0.25">
      <c r="A32" s="362" t="s">
        <v>33</v>
      </c>
      <c r="B32" s="370">
        <v>0</v>
      </c>
      <c r="C32" s="371">
        <v>1E-3</v>
      </c>
      <c r="D32" s="371">
        <v>0.02</v>
      </c>
      <c r="E32" s="371">
        <v>0.04</v>
      </c>
      <c r="F32" s="371">
        <v>6.0999999999999999E-2</v>
      </c>
      <c r="G32" s="371">
        <v>6.2E-2</v>
      </c>
      <c r="H32" s="371">
        <v>6.2E-2</v>
      </c>
      <c r="I32" s="371">
        <v>6.2E-2</v>
      </c>
      <c r="J32" s="371">
        <v>6.2E-2</v>
      </c>
      <c r="K32" s="371">
        <v>6.2E-2</v>
      </c>
      <c r="L32" s="371">
        <v>6.2E-2</v>
      </c>
      <c r="M32" s="371">
        <v>6.2E-2</v>
      </c>
      <c r="N32" s="371">
        <v>6.2E-2</v>
      </c>
      <c r="O32" s="371">
        <v>6.2E-2</v>
      </c>
      <c r="P32" s="371">
        <v>6.2E-2</v>
      </c>
      <c r="Q32" s="371">
        <v>6.2E-2</v>
      </c>
      <c r="R32" s="371">
        <v>6.2E-2</v>
      </c>
      <c r="S32" s="371">
        <v>6.2E-2</v>
      </c>
      <c r="T32" s="371">
        <v>6.2E-2</v>
      </c>
      <c r="U32" s="371">
        <v>6.2E-2</v>
      </c>
      <c r="V32" s="371">
        <v>6.2E-2</v>
      </c>
      <c r="W32" s="371">
        <v>6.2E-2</v>
      </c>
      <c r="X32" s="371">
        <v>6.2E-2</v>
      </c>
      <c r="Y32" s="381">
        <v>1000</v>
      </c>
    </row>
    <row r="33" spans="1:25" x14ac:dyDescent="0.25">
      <c r="A33" s="378" t="s">
        <v>34</v>
      </c>
      <c r="B33" s="372">
        <v>0</v>
      </c>
      <c r="C33" s="373">
        <v>310</v>
      </c>
      <c r="D33" s="373">
        <v>245</v>
      </c>
      <c r="E33" s="373">
        <v>200</v>
      </c>
      <c r="F33" s="373">
        <v>167</v>
      </c>
      <c r="G33" s="373">
        <v>0</v>
      </c>
      <c r="H33" s="373">
        <v>0</v>
      </c>
      <c r="I33" s="373">
        <v>0</v>
      </c>
      <c r="J33" s="373">
        <v>0</v>
      </c>
      <c r="K33" s="373">
        <v>0</v>
      </c>
      <c r="L33" s="373">
        <v>0</v>
      </c>
      <c r="M33" s="373">
        <v>0</v>
      </c>
      <c r="N33" s="373">
        <v>0</v>
      </c>
      <c r="O33" s="373">
        <v>0</v>
      </c>
      <c r="P33" s="373">
        <v>0</v>
      </c>
      <c r="Q33" s="373">
        <v>0</v>
      </c>
      <c r="R33" s="373">
        <v>0</v>
      </c>
      <c r="S33" s="373">
        <v>0</v>
      </c>
      <c r="T33" s="373">
        <v>0</v>
      </c>
      <c r="U33" s="373">
        <v>0</v>
      </c>
      <c r="V33" s="373">
        <v>0</v>
      </c>
      <c r="W33" s="373">
        <v>0</v>
      </c>
      <c r="X33" s="373">
        <v>0</v>
      </c>
      <c r="Y33" s="382">
        <v>0</v>
      </c>
    </row>
    <row r="34" spans="1:25" ht="13" thickBot="1" x14ac:dyDescent="0.3">
      <c r="A34" s="379" t="s">
        <v>117</v>
      </c>
      <c r="B34" s="374">
        <f t="shared" ref="B34:X34" si="3">(C33+B33)*(C32-B32)/2</f>
        <v>0.155</v>
      </c>
      <c r="C34" s="375">
        <f t="shared" si="3"/>
        <v>5.2725</v>
      </c>
      <c r="D34" s="375">
        <f t="shared" si="3"/>
        <v>4.45</v>
      </c>
      <c r="E34" s="375">
        <f t="shared" si="3"/>
        <v>3.8534999999999995</v>
      </c>
      <c r="F34" s="375">
        <f t="shared" si="3"/>
        <v>8.3500000000000074E-2</v>
      </c>
      <c r="G34" s="375">
        <f t="shared" si="3"/>
        <v>0</v>
      </c>
      <c r="H34" s="375">
        <f t="shared" si="3"/>
        <v>0</v>
      </c>
      <c r="I34" s="375">
        <f t="shared" si="3"/>
        <v>0</v>
      </c>
      <c r="J34" s="375">
        <f t="shared" si="3"/>
        <v>0</v>
      </c>
      <c r="K34" s="375">
        <f t="shared" si="3"/>
        <v>0</v>
      </c>
      <c r="L34" s="375">
        <f t="shared" si="3"/>
        <v>0</v>
      </c>
      <c r="M34" s="375">
        <f t="shared" si="3"/>
        <v>0</v>
      </c>
      <c r="N34" s="375">
        <f t="shared" si="3"/>
        <v>0</v>
      </c>
      <c r="O34" s="375">
        <f t="shared" si="3"/>
        <v>0</v>
      </c>
      <c r="P34" s="375">
        <f t="shared" si="3"/>
        <v>0</v>
      </c>
      <c r="Q34" s="375">
        <f t="shared" si="3"/>
        <v>0</v>
      </c>
      <c r="R34" s="375">
        <f t="shared" si="3"/>
        <v>0</v>
      </c>
      <c r="S34" s="375">
        <f t="shared" si="3"/>
        <v>0</v>
      </c>
      <c r="T34" s="375">
        <f t="shared" si="3"/>
        <v>0</v>
      </c>
      <c r="U34" s="375">
        <f t="shared" si="3"/>
        <v>0</v>
      </c>
      <c r="V34" s="375">
        <f t="shared" si="3"/>
        <v>0</v>
      </c>
      <c r="W34" s="375">
        <f t="shared" si="3"/>
        <v>0</v>
      </c>
      <c r="X34" s="375">
        <f t="shared" si="3"/>
        <v>0</v>
      </c>
      <c r="Y34" s="369"/>
    </row>
    <row r="35" spans="1:25" ht="13" thickBot="1" x14ac:dyDescent="0.3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thickBot="1" x14ac:dyDescent="0.35">
      <c r="A36" s="361" t="s">
        <v>310</v>
      </c>
      <c r="B36" s="359">
        <f>ROW(A36)</f>
        <v>36</v>
      </c>
      <c r="C36" s="363" t="s">
        <v>116</v>
      </c>
      <c r="D36" s="353">
        <f>SUM(B39:Y39)</f>
        <v>17.144499999999997</v>
      </c>
      <c r="E36" s="363" t="s">
        <v>115</v>
      </c>
      <c r="F36" s="399">
        <f>D36/g/J36</f>
        <v>2.9127590893645934</v>
      </c>
      <c r="G36" s="363" t="s">
        <v>57</v>
      </c>
      <c r="H36" s="64">
        <v>0.6</v>
      </c>
      <c r="I36" s="363" t="s">
        <v>270</v>
      </c>
      <c r="J36" s="355">
        <f>H36-L36</f>
        <v>0.6</v>
      </c>
      <c r="K36" s="363" t="s">
        <v>271</v>
      </c>
      <c r="L36" s="64">
        <v>0</v>
      </c>
      <c r="M36" s="363" t="s">
        <v>58</v>
      </c>
      <c r="N36" s="65">
        <f>0.4*R36</f>
        <v>120</v>
      </c>
      <c r="O36" s="363" t="s">
        <v>60</v>
      </c>
      <c r="P36" s="65">
        <v>150</v>
      </c>
      <c r="Q36" s="363" t="s">
        <v>61</v>
      </c>
      <c r="R36" s="65">
        <v>300</v>
      </c>
      <c r="S36" s="363" t="s">
        <v>62</v>
      </c>
      <c r="T36" s="65">
        <v>90</v>
      </c>
      <c r="U36" s="363" t="s">
        <v>55</v>
      </c>
      <c r="V36" s="66" t="s">
        <v>275</v>
      </c>
      <c r="W36" s="12"/>
      <c r="X36" s="12"/>
      <c r="Y36" s="12"/>
    </row>
    <row r="37" spans="1:25" x14ac:dyDescent="0.25">
      <c r="A37" s="362" t="s">
        <v>33</v>
      </c>
      <c r="B37" s="370">
        <v>0</v>
      </c>
      <c r="C37" s="371">
        <v>1E-3</v>
      </c>
      <c r="D37" s="371">
        <v>0.02</v>
      </c>
      <c r="E37" s="371">
        <v>0.04</v>
      </c>
      <c r="F37" s="371">
        <v>0.06</v>
      </c>
      <c r="G37" s="371">
        <v>0.08</v>
      </c>
      <c r="H37" s="371">
        <v>8.7999999999999995E-2</v>
      </c>
      <c r="I37" s="371">
        <v>8.8999999999999996E-2</v>
      </c>
      <c r="J37" s="371">
        <v>8.8999999999999996E-2</v>
      </c>
      <c r="K37" s="371">
        <v>8.8999999999999996E-2</v>
      </c>
      <c r="L37" s="371">
        <v>8.8999999999999996E-2</v>
      </c>
      <c r="M37" s="371">
        <v>8.8999999999999996E-2</v>
      </c>
      <c r="N37" s="371">
        <v>8.8999999999999996E-2</v>
      </c>
      <c r="O37" s="371">
        <v>8.8999999999999996E-2</v>
      </c>
      <c r="P37" s="371">
        <v>8.8999999999999996E-2</v>
      </c>
      <c r="Q37" s="371">
        <v>8.8999999999999996E-2</v>
      </c>
      <c r="R37" s="371">
        <v>8.8999999999999996E-2</v>
      </c>
      <c r="S37" s="371">
        <v>8.8999999999999996E-2</v>
      </c>
      <c r="T37" s="371">
        <v>8.8999999999999996E-2</v>
      </c>
      <c r="U37" s="371">
        <v>8.8999999999999996E-2</v>
      </c>
      <c r="V37" s="371">
        <v>8.8999999999999996E-2</v>
      </c>
      <c r="W37" s="371">
        <v>8.8999999999999996E-2</v>
      </c>
      <c r="X37" s="371">
        <v>8.8999999999999996E-2</v>
      </c>
      <c r="Y37" s="381">
        <v>1000</v>
      </c>
    </row>
    <row r="38" spans="1:25" x14ac:dyDescent="0.25">
      <c r="A38" s="378" t="s">
        <v>34</v>
      </c>
      <c r="B38" s="372">
        <v>0</v>
      </c>
      <c r="C38" s="373">
        <v>310</v>
      </c>
      <c r="D38" s="373">
        <v>240</v>
      </c>
      <c r="E38" s="373">
        <v>190</v>
      </c>
      <c r="F38" s="373">
        <v>157</v>
      </c>
      <c r="G38" s="373">
        <v>133</v>
      </c>
      <c r="H38" s="373">
        <v>125</v>
      </c>
      <c r="I38" s="373">
        <v>0</v>
      </c>
      <c r="J38" s="373">
        <v>0</v>
      </c>
      <c r="K38" s="373">
        <v>0</v>
      </c>
      <c r="L38" s="373">
        <v>0</v>
      </c>
      <c r="M38" s="373">
        <v>0</v>
      </c>
      <c r="N38" s="373">
        <v>0</v>
      </c>
      <c r="O38" s="373">
        <v>0</v>
      </c>
      <c r="P38" s="373">
        <v>0</v>
      </c>
      <c r="Q38" s="373">
        <v>0</v>
      </c>
      <c r="R38" s="373">
        <v>0</v>
      </c>
      <c r="S38" s="373">
        <v>0</v>
      </c>
      <c r="T38" s="373">
        <v>0</v>
      </c>
      <c r="U38" s="373">
        <v>0</v>
      </c>
      <c r="V38" s="373">
        <v>0</v>
      </c>
      <c r="W38" s="373">
        <v>0</v>
      </c>
      <c r="X38" s="373">
        <v>0</v>
      </c>
      <c r="Y38" s="382">
        <v>0</v>
      </c>
    </row>
    <row r="39" spans="1:25" ht="13" thickBot="1" x14ac:dyDescent="0.3">
      <c r="A39" s="379" t="s">
        <v>117</v>
      </c>
      <c r="B39" s="374">
        <f t="shared" ref="B39:X39" si="4">(C38+B38)*(C37-B37)/2</f>
        <v>0.155</v>
      </c>
      <c r="C39" s="375">
        <f t="shared" si="4"/>
        <v>5.2249999999999996</v>
      </c>
      <c r="D39" s="375">
        <f t="shared" si="4"/>
        <v>4.3</v>
      </c>
      <c r="E39" s="375">
        <f t="shared" si="4"/>
        <v>3.4699999999999993</v>
      </c>
      <c r="F39" s="375">
        <f t="shared" si="4"/>
        <v>2.9000000000000004</v>
      </c>
      <c r="G39" s="375">
        <f t="shared" si="4"/>
        <v>1.0319999999999991</v>
      </c>
      <c r="H39" s="375">
        <f t="shared" si="4"/>
        <v>6.2500000000000056E-2</v>
      </c>
      <c r="I39" s="375">
        <f t="shared" si="4"/>
        <v>0</v>
      </c>
      <c r="J39" s="375">
        <f t="shared" si="4"/>
        <v>0</v>
      </c>
      <c r="K39" s="375">
        <f t="shared" si="4"/>
        <v>0</v>
      </c>
      <c r="L39" s="375">
        <f t="shared" si="4"/>
        <v>0</v>
      </c>
      <c r="M39" s="375">
        <f t="shared" si="4"/>
        <v>0</v>
      </c>
      <c r="N39" s="375">
        <f t="shared" si="4"/>
        <v>0</v>
      </c>
      <c r="O39" s="375">
        <f t="shared" si="4"/>
        <v>0</v>
      </c>
      <c r="P39" s="375">
        <f t="shared" si="4"/>
        <v>0</v>
      </c>
      <c r="Q39" s="375">
        <f t="shared" si="4"/>
        <v>0</v>
      </c>
      <c r="R39" s="375">
        <f t="shared" si="4"/>
        <v>0</v>
      </c>
      <c r="S39" s="375">
        <f t="shared" si="4"/>
        <v>0</v>
      </c>
      <c r="T39" s="375">
        <f t="shared" si="4"/>
        <v>0</v>
      </c>
      <c r="U39" s="375">
        <f t="shared" si="4"/>
        <v>0</v>
      </c>
      <c r="V39" s="375">
        <f t="shared" si="4"/>
        <v>0</v>
      </c>
      <c r="W39" s="375">
        <f t="shared" si="4"/>
        <v>0</v>
      </c>
      <c r="X39" s="375">
        <f t="shared" si="4"/>
        <v>0</v>
      </c>
      <c r="Y39" s="369"/>
    </row>
    <row r="40" spans="1:25" ht="13" thickBot="1" x14ac:dyDescent="0.3">
      <c r="A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thickBot="1" x14ac:dyDescent="0.35">
      <c r="A41" s="361" t="s">
        <v>311</v>
      </c>
      <c r="B41" s="359">
        <f>ROW(A41)</f>
        <v>41</v>
      </c>
      <c r="C41" s="363" t="s">
        <v>116</v>
      </c>
      <c r="D41" s="353">
        <f>SUM(B44:Y44)</f>
        <v>19.415000000000003</v>
      </c>
      <c r="E41" s="363" t="s">
        <v>115</v>
      </c>
      <c r="F41" s="399">
        <f>D41/g/J41</f>
        <v>2.6388039415562354</v>
      </c>
      <c r="G41" s="363" t="s">
        <v>57</v>
      </c>
      <c r="H41" s="64">
        <v>0.75</v>
      </c>
      <c r="I41" s="363" t="s">
        <v>270</v>
      </c>
      <c r="J41" s="355">
        <f>H41-L41</f>
        <v>0.75</v>
      </c>
      <c r="K41" s="363" t="s">
        <v>271</v>
      </c>
      <c r="L41" s="64">
        <v>0</v>
      </c>
      <c r="M41" s="363" t="s">
        <v>58</v>
      </c>
      <c r="N41" s="65">
        <f>0.5*R41</f>
        <v>150</v>
      </c>
      <c r="O41" s="363" t="s">
        <v>60</v>
      </c>
      <c r="P41" s="65">
        <v>150</v>
      </c>
      <c r="Q41" s="363" t="s">
        <v>61</v>
      </c>
      <c r="R41" s="65">
        <v>300</v>
      </c>
      <c r="S41" s="363" t="s">
        <v>62</v>
      </c>
      <c r="T41" s="65">
        <v>90</v>
      </c>
      <c r="U41" s="363" t="s">
        <v>55</v>
      </c>
      <c r="V41" s="66" t="s">
        <v>275</v>
      </c>
      <c r="W41" s="12"/>
      <c r="X41" s="12"/>
      <c r="Y41" s="12"/>
    </row>
    <row r="42" spans="1:25" x14ac:dyDescent="0.25">
      <c r="A42" s="362" t="s">
        <v>33</v>
      </c>
      <c r="B42" s="370">
        <v>0</v>
      </c>
      <c r="C42" s="371">
        <v>1E-3</v>
      </c>
      <c r="D42" s="371">
        <v>0.02</v>
      </c>
      <c r="E42" s="371">
        <v>0.04</v>
      </c>
      <c r="F42" s="371">
        <v>0.06</v>
      </c>
      <c r="G42" s="371">
        <v>0.08</v>
      </c>
      <c r="H42" s="371">
        <v>0.1</v>
      </c>
      <c r="I42" s="371">
        <v>0.123</v>
      </c>
      <c r="J42" s="371">
        <v>0.124</v>
      </c>
      <c r="K42" s="371">
        <v>0.124</v>
      </c>
      <c r="L42" s="371">
        <v>0.124</v>
      </c>
      <c r="M42" s="371">
        <v>0.124</v>
      </c>
      <c r="N42" s="371">
        <v>0.124</v>
      </c>
      <c r="O42" s="371">
        <v>0.124</v>
      </c>
      <c r="P42" s="371">
        <v>0.124</v>
      </c>
      <c r="Q42" s="371">
        <v>0.124</v>
      </c>
      <c r="R42" s="371">
        <v>0.124</v>
      </c>
      <c r="S42" s="371">
        <v>0.124</v>
      </c>
      <c r="T42" s="371">
        <v>0.124</v>
      </c>
      <c r="U42" s="371">
        <v>0.124</v>
      </c>
      <c r="V42" s="371">
        <v>0.124</v>
      </c>
      <c r="W42" s="371">
        <v>0.124</v>
      </c>
      <c r="X42" s="371">
        <v>0.124</v>
      </c>
      <c r="Y42" s="381">
        <v>1000</v>
      </c>
    </row>
    <row r="43" spans="1:25" x14ac:dyDescent="0.25">
      <c r="A43" s="378" t="s">
        <v>34</v>
      </c>
      <c r="B43" s="372">
        <v>0</v>
      </c>
      <c r="C43" s="373">
        <v>310</v>
      </c>
      <c r="D43" s="373">
        <v>230</v>
      </c>
      <c r="E43" s="373">
        <v>175</v>
      </c>
      <c r="F43" s="373">
        <v>140</v>
      </c>
      <c r="G43" s="373">
        <v>118</v>
      </c>
      <c r="H43" s="373">
        <v>100</v>
      </c>
      <c r="I43" s="373">
        <v>85</v>
      </c>
      <c r="J43" s="373">
        <v>0</v>
      </c>
      <c r="K43" s="373">
        <v>0</v>
      </c>
      <c r="L43" s="373">
        <v>0</v>
      </c>
      <c r="M43" s="373">
        <v>0</v>
      </c>
      <c r="N43" s="373">
        <v>0</v>
      </c>
      <c r="O43" s="373">
        <v>0</v>
      </c>
      <c r="P43" s="373">
        <v>0</v>
      </c>
      <c r="Q43" s="373">
        <v>0</v>
      </c>
      <c r="R43" s="373">
        <v>0</v>
      </c>
      <c r="S43" s="373">
        <v>0</v>
      </c>
      <c r="T43" s="373">
        <v>0</v>
      </c>
      <c r="U43" s="373">
        <v>0</v>
      </c>
      <c r="V43" s="373">
        <v>0</v>
      </c>
      <c r="W43" s="373">
        <v>0</v>
      </c>
      <c r="X43" s="373">
        <v>0</v>
      </c>
      <c r="Y43" s="382">
        <v>0</v>
      </c>
    </row>
    <row r="44" spans="1:25" ht="13" thickBot="1" x14ac:dyDescent="0.3">
      <c r="A44" s="379" t="s">
        <v>117</v>
      </c>
      <c r="B44" s="374">
        <f t="shared" ref="B44:X44" si="5">(C43+B43)*(C42-B42)/2</f>
        <v>0.155</v>
      </c>
      <c r="C44" s="375">
        <f t="shared" si="5"/>
        <v>5.13</v>
      </c>
      <c r="D44" s="375">
        <f t="shared" si="5"/>
        <v>4.05</v>
      </c>
      <c r="E44" s="375">
        <f t="shared" si="5"/>
        <v>3.1499999999999995</v>
      </c>
      <c r="F44" s="375">
        <f t="shared" si="5"/>
        <v>2.5800000000000005</v>
      </c>
      <c r="G44" s="375">
        <f t="shared" si="5"/>
        <v>2.1800000000000006</v>
      </c>
      <c r="H44" s="375">
        <f t="shared" si="5"/>
        <v>2.1274999999999995</v>
      </c>
      <c r="I44" s="375">
        <f t="shared" si="5"/>
        <v>4.2500000000000038E-2</v>
      </c>
      <c r="J44" s="375">
        <f t="shared" si="5"/>
        <v>0</v>
      </c>
      <c r="K44" s="375">
        <f t="shared" si="5"/>
        <v>0</v>
      </c>
      <c r="L44" s="375">
        <f t="shared" si="5"/>
        <v>0</v>
      </c>
      <c r="M44" s="375">
        <f t="shared" si="5"/>
        <v>0</v>
      </c>
      <c r="N44" s="375">
        <f t="shared" si="5"/>
        <v>0</v>
      </c>
      <c r="O44" s="375">
        <f t="shared" si="5"/>
        <v>0</v>
      </c>
      <c r="P44" s="375">
        <f t="shared" si="5"/>
        <v>0</v>
      </c>
      <c r="Q44" s="375">
        <f t="shared" si="5"/>
        <v>0</v>
      </c>
      <c r="R44" s="375">
        <f t="shared" si="5"/>
        <v>0</v>
      </c>
      <c r="S44" s="375">
        <f t="shared" si="5"/>
        <v>0</v>
      </c>
      <c r="T44" s="375">
        <f t="shared" si="5"/>
        <v>0</v>
      </c>
      <c r="U44" s="375">
        <f t="shared" si="5"/>
        <v>0</v>
      </c>
      <c r="V44" s="375">
        <f t="shared" si="5"/>
        <v>0</v>
      </c>
      <c r="W44" s="375">
        <f t="shared" si="5"/>
        <v>0</v>
      </c>
      <c r="X44" s="375">
        <f t="shared" si="5"/>
        <v>0</v>
      </c>
      <c r="Y44" s="369"/>
    </row>
    <row r="45" spans="1:25" ht="13" thickBot="1" x14ac:dyDescent="0.3"/>
    <row r="46" spans="1:25" ht="13.5" thickBot="1" x14ac:dyDescent="0.35">
      <c r="A46" s="361" t="s">
        <v>276</v>
      </c>
      <c r="B46" s="359">
        <f>ROW(A46)</f>
        <v>46</v>
      </c>
      <c r="C46" s="363" t="s">
        <v>116</v>
      </c>
      <c r="D46" s="353">
        <f>SUM(B49:Y49)</f>
        <v>12.8695</v>
      </c>
      <c r="E46" s="363" t="s">
        <v>115</v>
      </c>
      <c r="F46" s="399">
        <f>D46/g/J46</f>
        <v>3.2796890927624869</v>
      </c>
      <c r="G46" s="363" t="s">
        <v>57</v>
      </c>
      <c r="H46" s="64">
        <v>0.5</v>
      </c>
      <c r="I46" s="363" t="s">
        <v>270</v>
      </c>
      <c r="J46" s="355">
        <f>H46-L46</f>
        <v>0.4</v>
      </c>
      <c r="K46" s="363" t="s">
        <v>271</v>
      </c>
      <c r="L46" s="64">
        <v>0.1</v>
      </c>
      <c r="M46" s="363" t="s">
        <v>58</v>
      </c>
      <c r="N46" s="65">
        <f>0.2*R46</f>
        <v>60</v>
      </c>
      <c r="O46" s="363" t="s">
        <v>60</v>
      </c>
      <c r="P46" s="65">
        <v>150</v>
      </c>
      <c r="Q46" s="363" t="s">
        <v>61</v>
      </c>
      <c r="R46" s="65">
        <v>300</v>
      </c>
      <c r="S46" s="363" t="s">
        <v>62</v>
      </c>
      <c r="T46" s="65">
        <v>98</v>
      </c>
      <c r="U46" s="363" t="s">
        <v>55</v>
      </c>
      <c r="V46" s="66" t="s">
        <v>275</v>
      </c>
      <c r="W46" s="12"/>
      <c r="X46" s="12"/>
      <c r="Y46" s="12"/>
    </row>
    <row r="47" spans="1:25" x14ac:dyDescent="0.25">
      <c r="A47" s="362" t="s">
        <v>33</v>
      </c>
      <c r="B47" s="370">
        <v>0</v>
      </c>
      <c r="C47" s="371">
        <v>1E-3</v>
      </c>
      <c r="D47" s="371">
        <v>0.02</v>
      </c>
      <c r="E47" s="371">
        <v>0.04</v>
      </c>
      <c r="F47" s="371">
        <v>0.05</v>
      </c>
      <c r="G47" s="371">
        <v>5.0999999999999997E-2</v>
      </c>
      <c r="H47" s="371">
        <v>5.0999999999999997E-2</v>
      </c>
      <c r="I47" s="371">
        <v>5.0999999999999997E-2</v>
      </c>
      <c r="J47" s="371">
        <v>5.0999999999999997E-2</v>
      </c>
      <c r="K47" s="371">
        <v>5.0999999999999997E-2</v>
      </c>
      <c r="L47" s="371">
        <v>5.0999999999999997E-2</v>
      </c>
      <c r="M47" s="371">
        <v>5.0999999999999997E-2</v>
      </c>
      <c r="N47" s="371">
        <v>5.0999999999999997E-2</v>
      </c>
      <c r="O47" s="371">
        <v>5.0999999999999997E-2</v>
      </c>
      <c r="P47" s="371">
        <v>5.0999999999999997E-2</v>
      </c>
      <c r="Q47" s="371">
        <v>5.0999999999999997E-2</v>
      </c>
      <c r="R47" s="371">
        <v>5.0999999999999997E-2</v>
      </c>
      <c r="S47" s="371">
        <v>5.0999999999999997E-2</v>
      </c>
      <c r="T47" s="371">
        <v>5.0999999999999997E-2</v>
      </c>
      <c r="U47" s="371">
        <v>5.0999999999999997E-2</v>
      </c>
      <c r="V47" s="371">
        <v>5.0999999999999997E-2</v>
      </c>
      <c r="W47" s="371">
        <v>5.0999999999999997E-2</v>
      </c>
      <c r="X47" s="371">
        <v>5.0999999999999997E-2</v>
      </c>
      <c r="Y47" s="381">
        <v>1000</v>
      </c>
    </row>
    <row r="48" spans="1:25" x14ac:dyDescent="0.25">
      <c r="A48" s="378" t="s">
        <v>34</v>
      </c>
      <c r="B48" s="372">
        <v>0</v>
      </c>
      <c r="C48" s="373">
        <v>310</v>
      </c>
      <c r="D48" s="373">
        <v>264</v>
      </c>
      <c r="E48" s="373">
        <v>230</v>
      </c>
      <c r="F48" s="373">
        <v>213</v>
      </c>
      <c r="G48" s="373">
        <v>0</v>
      </c>
      <c r="H48" s="373">
        <v>0</v>
      </c>
      <c r="I48" s="373">
        <v>0</v>
      </c>
      <c r="J48" s="373">
        <v>0</v>
      </c>
      <c r="K48" s="373">
        <v>0</v>
      </c>
      <c r="L48" s="373">
        <v>0</v>
      </c>
      <c r="M48" s="373">
        <v>0</v>
      </c>
      <c r="N48" s="373">
        <v>0</v>
      </c>
      <c r="O48" s="373">
        <v>0</v>
      </c>
      <c r="P48" s="373">
        <v>0</v>
      </c>
      <c r="Q48" s="373">
        <v>0</v>
      </c>
      <c r="R48" s="373">
        <v>0</v>
      </c>
      <c r="S48" s="373">
        <v>0</v>
      </c>
      <c r="T48" s="373">
        <v>0</v>
      </c>
      <c r="U48" s="373">
        <v>0</v>
      </c>
      <c r="V48" s="373">
        <v>0</v>
      </c>
      <c r="W48" s="373">
        <v>0</v>
      </c>
      <c r="X48" s="373">
        <v>0</v>
      </c>
      <c r="Y48" s="382">
        <v>0</v>
      </c>
    </row>
    <row r="49" spans="1:25" ht="13" thickBot="1" x14ac:dyDescent="0.3">
      <c r="A49" s="379" t="s">
        <v>117</v>
      </c>
      <c r="B49" s="374">
        <f t="shared" ref="B49:X49" si="6">(C48+B48)*(C47-B47)/2</f>
        <v>0.155</v>
      </c>
      <c r="C49" s="375">
        <f t="shared" si="6"/>
        <v>5.4530000000000003</v>
      </c>
      <c r="D49" s="375">
        <f t="shared" si="6"/>
        <v>4.9400000000000004</v>
      </c>
      <c r="E49" s="375">
        <f t="shared" si="6"/>
        <v>2.2150000000000003</v>
      </c>
      <c r="F49" s="375">
        <f t="shared" si="6"/>
        <v>0.10649999999999936</v>
      </c>
      <c r="G49" s="375">
        <f t="shared" si="6"/>
        <v>0</v>
      </c>
      <c r="H49" s="375">
        <f t="shared" si="6"/>
        <v>0</v>
      </c>
      <c r="I49" s="375">
        <f t="shared" si="6"/>
        <v>0</v>
      </c>
      <c r="J49" s="375">
        <f t="shared" si="6"/>
        <v>0</v>
      </c>
      <c r="K49" s="375">
        <f t="shared" si="6"/>
        <v>0</v>
      </c>
      <c r="L49" s="375">
        <f t="shared" si="6"/>
        <v>0</v>
      </c>
      <c r="M49" s="375">
        <f t="shared" si="6"/>
        <v>0</v>
      </c>
      <c r="N49" s="375">
        <f t="shared" si="6"/>
        <v>0</v>
      </c>
      <c r="O49" s="375">
        <f t="shared" si="6"/>
        <v>0</v>
      </c>
      <c r="P49" s="375">
        <f t="shared" si="6"/>
        <v>0</v>
      </c>
      <c r="Q49" s="375">
        <f t="shared" si="6"/>
        <v>0</v>
      </c>
      <c r="R49" s="375">
        <f t="shared" si="6"/>
        <v>0</v>
      </c>
      <c r="S49" s="375">
        <f t="shared" si="6"/>
        <v>0</v>
      </c>
      <c r="T49" s="375">
        <f t="shared" si="6"/>
        <v>0</v>
      </c>
      <c r="U49" s="375">
        <f t="shared" si="6"/>
        <v>0</v>
      </c>
      <c r="V49" s="375">
        <f t="shared" si="6"/>
        <v>0</v>
      </c>
      <c r="W49" s="375">
        <f t="shared" si="6"/>
        <v>0</v>
      </c>
      <c r="X49" s="375">
        <f t="shared" si="6"/>
        <v>0</v>
      </c>
      <c r="Y49" s="369"/>
    </row>
    <row r="50" spans="1:25" ht="13" thickBot="1" x14ac:dyDescent="0.3">
      <c r="A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3.5" thickBot="1" x14ac:dyDescent="0.35">
      <c r="A51" s="361" t="s">
        <v>277</v>
      </c>
      <c r="B51" s="359">
        <f>ROW(A51)</f>
        <v>51</v>
      </c>
      <c r="C51" s="363" t="s">
        <v>116</v>
      </c>
      <c r="D51" s="353">
        <f>SUM(B54:Y54)</f>
        <v>18.123500000000003</v>
      </c>
      <c r="E51" s="363" t="s">
        <v>115</v>
      </c>
      <c r="F51" s="399">
        <f>D51/g/J51</f>
        <v>3.0790859667006463</v>
      </c>
      <c r="G51" s="363" t="s">
        <v>57</v>
      </c>
      <c r="H51" s="64">
        <v>0.7</v>
      </c>
      <c r="I51" s="363" t="s">
        <v>270</v>
      </c>
      <c r="J51" s="355">
        <f>H51-L51</f>
        <v>0.6</v>
      </c>
      <c r="K51" s="363" t="s">
        <v>271</v>
      </c>
      <c r="L51" s="64">
        <v>0.1</v>
      </c>
      <c r="M51" s="363" t="s">
        <v>58</v>
      </c>
      <c r="N51" s="65">
        <f>0.3*R51</f>
        <v>90</v>
      </c>
      <c r="O51" s="363" t="s">
        <v>60</v>
      </c>
      <c r="P51" s="65">
        <v>150</v>
      </c>
      <c r="Q51" s="363" t="s">
        <v>61</v>
      </c>
      <c r="R51" s="65">
        <v>300</v>
      </c>
      <c r="S51" s="363" t="s">
        <v>62</v>
      </c>
      <c r="T51" s="65">
        <v>98</v>
      </c>
      <c r="U51" s="363" t="s">
        <v>55</v>
      </c>
      <c r="V51" s="66" t="s">
        <v>275</v>
      </c>
      <c r="W51" s="12"/>
      <c r="X51" s="12"/>
      <c r="Y51" s="12"/>
    </row>
    <row r="52" spans="1:25" x14ac:dyDescent="0.25">
      <c r="A52" s="362" t="s">
        <v>33</v>
      </c>
      <c r="B52" s="370">
        <v>0</v>
      </c>
      <c r="C52" s="371">
        <v>1E-3</v>
      </c>
      <c r="D52" s="371">
        <v>0.02</v>
      </c>
      <c r="E52" s="371">
        <v>0.04</v>
      </c>
      <c r="F52" s="371">
        <v>0.06</v>
      </c>
      <c r="G52" s="371">
        <v>0.08</v>
      </c>
      <c r="H52" s="371">
        <v>8.1000000000000003E-2</v>
      </c>
      <c r="I52" s="371">
        <v>8.1000000000000003E-2</v>
      </c>
      <c r="J52" s="371">
        <v>8.1000000000000003E-2</v>
      </c>
      <c r="K52" s="371">
        <v>8.1000000000000003E-2</v>
      </c>
      <c r="L52" s="371">
        <v>8.1000000000000003E-2</v>
      </c>
      <c r="M52" s="371">
        <v>8.1000000000000003E-2</v>
      </c>
      <c r="N52" s="371">
        <v>8.1000000000000003E-2</v>
      </c>
      <c r="O52" s="371">
        <v>8.1000000000000003E-2</v>
      </c>
      <c r="P52" s="371">
        <v>8.1000000000000003E-2</v>
      </c>
      <c r="Q52" s="371">
        <v>8.1000000000000003E-2</v>
      </c>
      <c r="R52" s="371">
        <v>8.1000000000000003E-2</v>
      </c>
      <c r="S52" s="371">
        <v>8.1000000000000003E-2</v>
      </c>
      <c r="T52" s="371">
        <v>8.1000000000000003E-2</v>
      </c>
      <c r="U52" s="371">
        <v>8.1000000000000003E-2</v>
      </c>
      <c r="V52" s="371">
        <v>8.1000000000000003E-2</v>
      </c>
      <c r="W52" s="371">
        <v>8.1000000000000003E-2</v>
      </c>
      <c r="X52" s="371">
        <v>8.1000000000000003E-2</v>
      </c>
      <c r="Y52" s="381">
        <v>1000</v>
      </c>
    </row>
    <row r="53" spans="1:25" x14ac:dyDescent="0.25">
      <c r="A53" s="378" t="s">
        <v>34</v>
      </c>
      <c r="B53" s="372">
        <v>0</v>
      </c>
      <c r="C53" s="373">
        <v>310</v>
      </c>
      <c r="D53" s="373">
        <v>260</v>
      </c>
      <c r="E53" s="373">
        <v>220</v>
      </c>
      <c r="F53" s="373">
        <v>190</v>
      </c>
      <c r="G53" s="373">
        <v>167</v>
      </c>
      <c r="H53" s="373">
        <v>0</v>
      </c>
      <c r="I53" s="373">
        <v>0</v>
      </c>
      <c r="J53" s="373">
        <v>0</v>
      </c>
      <c r="K53" s="373">
        <v>0</v>
      </c>
      <c r="L53" s="373">
        <v>0</v>
      </c>
      <c r="M53" s="373">
        <v>0</v>
      </c>
      <c r="N53" s="373">
        <v>0</v>
      </c>
      <c r="O53" s="373">
        <v>0</v>
      </c>
      <c r="P53" s="373">
        <v>0</v>
      </c>
      <c r="Q53" s="373">
        <v>0</v>
      </c>
      <c r="R53" s="373">
        <v>0</v>
      </c>
      <c r="S53" s="373">
        <v>0</v>
      </c>
      <c r="T53" s="373">
        <v>0</v>
      </c>
      <c r="U53" s="373">
        <v>0</v>
      </c>
      <c r="V53" s="373">
        <v>0</v>
      </c>
      <c r="W53" s="373">
        <v>0</v>
      </c>
      <c r="X53" s="373">
        <v>0</v>
      </c>
      <c r="Y53" s="382">
        <v>0</v>
      </c>
    </row>
    <row r="54" spans="1:25" ht="13" thickBot="1" x14ac:dyDescent="0.3">
      <c r="A54" s="379" t="s">
        <v>117</v>
      </c>
      <c r="B54" s="374">
        <f t="shared" ref="B54:X54" si="7">(C53+B53)*(C52-B52)/2</f>
        <v>0.155</v>
      </c>
      <c r="C54" s="375">
        <f t="shared" si="7"/>
        <v>5.415</v>
      </c>
      <c r="D54" s="375">
        <f t="shared" si="7"/>
        <v>4.8</v>
      </c>
      <c r="E54" s="375">
        <f t="shared" si="7"/>
        <v>4.0999999999999996</v>
      </c>
      <c r="F54" s="375">
        <f t="shared" si="7"/>
        <v>3.5700000000000007</v>
      </c>
      <c r="G54" s="375">
        <f t="shared" si="7"/>
        <v>8.3500000000000074E-2</v>
      </c>
      <c r="H54" s="375">
        <f t="shared" si="7"/>
        <v>0</v>
      </c>
      <c r="I54" s="375">
        <f t="shared" si="7"/>
        <v>0</v>
      </c>
      <c r="J54" s="375">
        <f t="shared" si="7"/>
        <v>0</v>
      </c>
      <c r="K54" s="375">
        <f t="shared" si="7"/>
        <v>0</v>
      </c>
      <c r="L54" s="375">
        <f t="shared" si="7"/>
        <v>0</v>
      </c>
      <c r="M54" s="375">
        <f t="shared" si="7"/>
        <v>0</v>
      </c>
      <c r="N54" s="375">
        <f t="shared" si="7"/>
        <v>0</v>
      </c>
      <c r="O54" s="375">
        <f t="shared" si="7"/>
        <v>0</v>
      </c>
      <c r="P54" s="375">
        <f t="shared" si="7"/>
        <v>0</v>
      </c>
      <c r="Q54" s="375">
        <f t="shared" si="7"/>
        <v>0</v>
      </c>
      <c r="R54" s="375">
        <f t="shared" si="7"/>
        <v>0</v>
      </c>
      <c r="S54" s="375">
        <f t="shared" si="7"/>
        <v>0</v>
      </c>
      <c r="T54" s="375">
        <f t="shared" si="7"/>
        <v>0</v>
      </c>
      <c r="U54" s="375">
        <f t="shared" si="7"/>
        <v>0</v>
      </c>
      <c r="V54" s="375">
        <f t="shared" si="7"/>
        <v>0</v>
      </c>
      <c r="W54" s="375">
        <f t="shared" si="7"/>
        <v>0</v>
      </c>
      <c r="X54" s="375">
        <f t="shared" si="7"/>
        <v>0</v>
      </c>
      <c r="Y54" s="369"/>
    </row>
    <row r="55" spans="1:25" ht="13" thickBot="1" x14ac:dyDescent="0.3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3.5" thickBot="1" x14ac:dyDescent="0.35">
      <c r="A56" s="361" t="s">
        <v>278</v>
      </c>
      <c r="B56" s="359">
        <f>ROW(A56)</f>
        <v>56</v>
      </c>
      <c r="C56" s="363" t="s">
        <v>116</v>
      </c>
      <c r="D56" s="353">
        <f>SUM(B59:Y59)</f>
        <v>22.610000000000003</v>
      </c>
      <c r="E56" s="363" t="s">
        <v>115</v>
      </c>
      <c r="F56" s="399">
        <f>D56/g/J56</f>
        <v>2.88098878695209</v>
      </c>
      <c r="G56" s="363" t="s">
        <v>57</v>
      </c>
      <c r="H56" s="64">
        <v>0.9</v>
      </c>
      <c r="I56" s="363" t="s">
        <v>270</v>
      </c>
      <c r="J56" s="355">
        <f>H56-L56</f>
        <v>0.8</v>
      </c>
      <c r="K56" s="363" t="s">
        <v>271</v>
      </c>
      <c r="L56" s="64">
        <v>0.1</v>
      </c>
      <c r="M56" s="363" t="s">
        <v>58</v>
      </c>
      <c r="N56" s="65">
        <f>0.4*R56</f>
        <v>120</v>
      </c>
      <c r="O56" s="363" t="s">
        <v>60</v>
      </c>
      <c r="P56" s="65">
        <v>150</v>
      </c>
      <c r="Q56" s="363" t="s">
        <v>61</v>
      </c>
      <c r="R56" s="65">
        <v>300</v>
      </c>
      <c r="S56" s="363" t="s">
        <v>62</v>
      </c>
      <c r="T56" s="65">
        <v>98</v>
      </c>
      <c r="U56" s="363" t="s">
        <v>55</v>
      </c>
      <c r="V56" s="66" t="s">
        <v>275</v>
      </c>
      <c r="W56" s="12"/>
      <c r="X56" s="12"/>
      <c r="Y56" s="12"/>
    </row>
    <row r="57" spans="1:25" x14ac:dyDescent="0.25">
      <c r="A57" s="362" t="s">
        <v>33</v>
      </c>
      <c r="B57" s="370">
        <v>0</v>
      </c>
      <c r="C57" s="371">
        <v>1E-3</v>
      </c>
      <c r="D57" s="371">
        <v>0.02</v>
      </c>
      <c r="E57" s="371">
        <v>0.04</v>
      </c>
      <c r="F57" s="371">
        <v>0.06</v>
      </c>
      <c r="G57" s="371">
        <v>0.08</v>
      </c>
      <c r="H57" s="371">
        <v>0.1</v>
      </c>
      <c r="I57" s="371">
        <v>0.11700000000000001</v>
      </c>
      <c r="J57" s="371">
        <v>0.11799999999999999</v>
      </c>
      <c r="K57" s="371">
        <v>0.11799999999999999</v>
      </c>
      <c r="L57" s="371">
        <v>0.11799999999999999</v>
      </c>
      <c r="M57" s="371">
        <v>0.11799999999999999</v>
      </c>
      <c r="N57" s="371">
        <v>0.11799999999999999</v>
      </c>
      <c r="O57" s="371">
        <v>0.11799999999999999</v>
      </c>
      <c r="P57" s="371">
        <v>0.11799999999999999</v>
      </c>
      <c r="Q57" s="371">
        <v>0.11799999999999999</v>
      </c>
      <c r="R57" s="371">
        <v>0.11799999999999999</v>
      </c>
      <c r="S57" s="371">
        <v>0.11799999999999999</v>
      </c>
      <c r="T57" s="371">
        <v>0.11799999999999999</v>
      </c>
      <c r="U57" s="371">
        <v>0.11799999999999999</v>
      </c>
      <c r="V57" s="371">
        <v>0.11799999999999999</v>
      </c>
      <c r="W57" s="371">
        <v>0.11799999999999999</v>
      </c>
      <c r="X57" s="371">
        <v>0.11799999999999999</v>
      </c>
      <c r="Y57" s="381">
        <v>1000</v>
      </c>
    </row>
    <row r="58" spans="1:25" x14ac:dyDescent="0.25">
      <c r="A58" s="378" t="s">
        <v>34</v>
      </c>
      <c r="B58" s="372">
        <v>0</v>
      </c>
      <c r="C58" s="373">
        <v>310</v>
      </c>
      <c r="D58" s="373">
        <v>250</v>
      </c>
      <c r="E58" s="373">
        <v>210</v>
      </c>
      <c r="F58" s="373">
        <v>180</v>
      </c>
      <c r="G58" s="373">
        <v>156</v>
      </c>
      <c r="H58" s="373">
        <v>140</v>
      </c>
      <c r="I58" s="373">
        <v>125</v>
      </c>
      <c r="J58" s="373">
        <v>0</v>
      </c>
      <c r="K58" s="373">
        <v>0</v>
      </c>
      <c r="L58" s="373">
        <v>0</v>
      </c>
      <c r="M58" s="373">
        <v>0</v>
      </c>
      <c r="N58" s="373">
        <v>0</v>
      </c>
      <c r="O58" s="373">
        <v>0</v>
      </c>
      <c r="P58" s="373">
        <v>0</v>
      </c>
      <c r="Q58" s="373">
        <v>0</v>
      </c>
      <c r="R58" s="373">
        <v>0</v>
      </c>
      <c r="S58" s="373">
        <v>0</v>
      </c>
      <c r="T58" s="373">
        <v>0</v>
      </c>
      <c r="U58" s="373">
        <v>0</v>
      </c>
      <c r="V58" s="373">
        <v>0</v>
      </c>
      <c r="W58" s="373">
        <v>0</v>
      </c>
      <c r="X58" s="373">
        <v>0</v>
      </c>
      <c r="Y58" s="382">
        <v>0</v>
      </c>
    </row>
    <row r="59" spans="1:25" ht="13" thickBot="1" x14ac:dyDescent="0.3">
      <c r="A59" s="379" t="s">
        <v>117</v>
      </c>
      <c r="B59" s="374">
        <f t="shared" ref="B59:X59" si="8">(C58+B58)*(C57-B57)/2</f>
        <v>0.155</v>
      </c>
      <c r="C59" s="375">
        <f t="shared" si="8"/>
        <v>5.32</v>
      </c>
      <c r="D59" s="375">
        <f t="shared" si="8"/>
        <v>4.6000000000000005</v>
      </c>
      <c r="E59" s="375">
        <f t="shared" si="8"/>
        <v>3.8999999999999995</v>
      </c>
      <c r="F59" s="375">
        <f t="shared" si="8"/>
        <v>3.3600000000000008</v>
      </c>
      <c r="G59" s="375">
        <f t="shared" si="8"/>
        <v>2.9600000000000004</v>
      </c>
      <c r="H59" s="375">
        <f t="shared" si="8"/>
        <v>2.2524999999999999</v>
      </c>
      <c r="I59" s="375">
        <f t="shared" si="8"/>
        <v>6.2499999999999188E-2</v>
      </c>
      <c r="J59" s="375">
        <f t="shared" si="8"/>
        <v>0</v>
      </c>
      <c r="K59" s="375">
        <f t="shared" si="8"/>
        <v>0</v>
      </c>
      <c r="L59" s="375">
        <f t="shared" si="8"/>
        <v>0</v>
      </c>
      <c r="M59" s="375">
        <f t="shared" si="8"/>
        <v>0</v>
      </c>
      <c r="N59" s="375">
        <f t="shared" si="8"/>
        <v>0</v>
      </c>
      <c r="O59" s="375">
        <f t="shared" si="8"/>
        <v>0</v>
      </c>
      <c r="P59" s="375">
        <f t="shared" si="8"/>
        <v>0</v>
      </c>
      <c r="Q59" s="375">
        <f t="shared" si="8"/>
        <v>0</v>
      </c>
      <c r="R59" s="375">
        <f t="shared" si="8"/>
        <v>0</v>
      </c>
      <c r="S59" s="375">
        <f t="shared" si="8"/>
        <v>0</v>
      </c>
      <c r="T59" s="375">
        <f t="shared" si="8"/>
        <v>0</v>
      </c>
      <c r="U59" s="375">
        <f t="shared" si="8"/>
        <v>0</v>
      </c>
      <c r="V59" s="375">
        <f t="shared" si="8"/>
        <v>0</v>
      </c>
      <c r="W59" s="375">
        <f t="shared" si="8"/>
        <v>0</v>
      </c>
      <c r="X59" s="375">
        <f t="shared" si="8"/>
        <v>0</v>
      </c>
      <c r="Y59" s="369"/>
    </row>
    <row r="60" spans="1:25" ht="13" thickBot="1" x14ac:dyDescent="0.3">
      <c r="A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3.5" thickBot="1" x14ac:dyDescent="0.35">
      <c r="A61" s="361" t="s">
        <v>279</v>
      </c>
      <c r="B61" s="359">
        <f>ROW(A61)</f>
        <v>61</v>
      </c>
      <c r="C61" s="363" t="s">
        <v>116</v>
      </c>
      <c r="D61" s="353">
        <f>SUM(B64:Y64)</f>
        <v>25.874000000000006</v>
      </c>
      <c r="E61" s="363" t="s">
        <v>115</v>
      </c>
      <c r="F61" s="399">
        <f>D61/g/J61</f>
        <v>2.6375127420998985</v>
      </c>
      <c r="G61" s="363" t="s">
        <v>57</v>
      </c>
      <c r="H61" s="64">
        <v>1.1000000000000001</v>
      </c>
      <c r="I61" s="363" t="s">
        <v>270</v>
      </c>
      <c r="J61" s="355">
        <f>H61-L61</f>
        <v>1</v>
      </c>
      <c r="K61" s="363" t="s">
        <v>271</v>
      </c>
      <c r="L61" s="64">
        <v>0.1</v>
      </c>
      <c r="M61" s="363" t="s">
        <v>58</v>
      </c>
      <c r="N61" s="65">
        <f>0.5*R61</f>
        <v>150</v>
      </c>
      <c r="O61" s="363" t="s">
        <v>60</v>
      </c>
      <c r="P61" s="65">
        <v>150</v>
      </c>
      <c r="Q61" s="363" t="s">
        <v>61</v>
      </c>
      <c r="R61" s="65">
        <v>300</v>
      </c>
      <c r="S61" s="363" t="s">
        <v>62</v>
      </c>
      <c r="T61" s="65">
        <v>98</v>
      </c>
      <c r="U61" s="363" t="s">
        <v>55</v>
      </c>
      <c r="V61" s="66" t="s">
        <v>275</v>
      </c>
      <c r="W61" s="12"/>
      <c r="X61" s="12"/>
      <c r="Y61" s="12"/>
    </row>
    <row r="62" spans="1:25" x14ac:dyDescent="0.25">
      <c r="A62" s="362" t="s">
        <v>33</v>
      </c>
      <c r="B62" s="370">
        <v>0</v>
      </c>
      <c r="C62" s="371">
        <v>1E-3</v>
      </c>
      <c r="D62" s="371">
        <v>0.02</v>
      </c>
      <c r="E62" s="371">
        <v>0.04</v>
      </c>
      <c r="F62" s="371">
        <v>0.06</v>
      </c>
      <c r="G62" s="371">
        <v>0.08</v>
      </c>
      <c r="H62" s="371">
        <v>0.1</v>
      </c>
      <c r="I62" s="371">
        <v>0.12</v>
      </c>
      <c r="J62" s="371">
        <v>0.14000000000000001</v>
      </c>
      <c r="K62" s="371">
        <v>0.16400000000000001</v>
      </c>
      <c r="L62" s="371">
        <v>0.16500000000000001</v>
      </c>
      <c r="M62" s="371">
        <v>0.16500000000000001</v>
      </c>
      <c r="N62" s="371">
        <v>0.16500000000000001</v>
      </c>
      <c r="O62" s="371">
        <v>0.16500000000000001</v>
      </c>
      <c r="P62" s="371">
        <v>0.16500000000000001</v>
      </c>
      <c r="Q62" s="371">
        <v>0.16500000000000001</v>
      </c>
      <c r="R62" s="371">
        <v>0.16500000000000001</v>
      </c>
      <c r="S62" s="371">
        <v>0.16500000000000001</v>
      </c>
      <c r="T62" s="371">
        <v>0.16500000000000001</v>
      </c>
      <c r="U62" s="371">
        <v>0.16500000000000001</v>
      </c>
      <c r="V62" s="371">
        <v>0.16500000000000001</v>
      </c>
      <c r="W62" s="371">
        <v>0.16500000000000001</v>
      </c>
      <c r="X62" s="371">
        <v>0.16500000000000001</v>
      </c>
      <c r="Y62" s="381">
        <v>1000</v>
      </c>
    </row>
    <row r="63" spans="1:25" x14ac:dyDescent="0.25">
      <c r="A63" s="378" t="s">
        <v>34</v>
      </c>
      <c r="B63" s="372">
        <v>0</v>
      </c>
      <c r="C63" s="373">
        <v>310</v>
      </c>
      <c r="D63" s="373">
        <v>245</v>
      </c>
      <c r="E63" s="373">
        <v>200</v>
      </c>
      <c r="F63" s="373">
        <v>165</v>
      </c>
      <c r="G63" s="373">
        <v>143</v>
      </c>
      <c r="H63" s="373">
        <v>124</v>
      </c>
      <c r="I63" s="373">
        <v>108</v>
      </c>
      <c r="J63" s="373">
        <v>97</v>
      </c>
      <c r="K63" s="373">
        <v>85</v>
      </c>
      <c r="L63" s="373">
        <v>0</v>
      </c>
      <c r="M63" s="373">
        <v>0</v>
      </c>
      <c r="N63" s="373">
        <v>0</v>
      </c>
      <c r="O63" s="373">
        <v>0</v>
      </c>
      <c r="P63" s="373">
        <v>0</v>
      </c>
      <c r="Q63" s="373">
        <v>0</v>
      </c>
      <c r="R63" s="373">
        <v>0</v>
      </c>
      <c r="S63" s="373">
        <v>0</v>
      </c>
      <c r="T63" s="373">
        <v>0</v>
      </c>
      <c r="U63" s="373">
        <v>0</v>
      </c>
      <c r="V63" s="373">
        <v>0</v>
      </c>
      <c r="W63" s="373">
        <v>0</v>
      </c>
      <c r="X63" s="373">
        <v>0</v>
      </c>
      <c r="Y63" s="382">
        <v>0</v>
      </c>
    </row>
    <row r="64" spans="1:25" ht="13" thickBot="1" x14ac:dyDescent="0.3">
      <c r="A64" s="379" t="s">
        <v>117</v>
      </c>
      <c r="B64" s="374">
        <f t="shared" ref="B64:X64" si="9">(C63+B63)*(C62-B62)/2</f>
        <v>0.155</v>
      </c>
      <c r="C64" s="375">
        <f t="shared" si="9"/>
        <v>5.2725</v>
      </c>
      <c r="D64" s="375">
        <f t="shared" si="9"/>
        <v>4.45</v>
      </c>
      <c r="E64" s="375">
        <f t="shared" si="9"/>
        <v>3.6499999999999995</v>
      </c>
      <c r="F64" s="375">
        <f t="shared" si="9"/>
        <v>3.0800000000000005</v>
      </c>
      <c r="G64" s="375">
        <f t="shared" si="9"/>
        <v>2.6700000000000004</v>
      </c>
      <c r="H64" s="375">
        <f t="shared" si="9"/>
        <v>2.319999999999999</v>
      </c>
      <c r="I64" s="375">
        <f t="shared" si="9"/>
        <v>2.0500000000000016</v>
      </c>
      <c r="J64" s="375">
        <f t="shared" si="9"/>
        <v>2.1839999999999993</v>
      </c>
      <c r="K64" s="375">
        <f t="shared" si="9"/>
        <v>4.2500000000000038E-2</v>
      </c>
      <c r="L64" s="375">
        <f t="shared" si="9"/>
        <v>0</v>
      </c>
      <c r="M64" s="375">
        <f t="shared" si="9"/>
        <v>0</v>
      </c>
      <c r="N64" s="375">
        <f t="shared" si="9"/>
        <v>0</v>
      </c>
      <c r="O64" s="375">
        <f t="shared" si="9"/>
        <v>0</v>
      </c>
      <c r="P64" s="375">
        <f t="shared" si="9"/>
        <v>0</v>
      </c>
      <c r="Q64" s="375">
        <f t="shared" si="9"/>
        <v>0</v>
      </c>
      <c r="R64" s="375">
        <f t="shared" si="9"/>
        <v>0</v>
      </c>
      <c r="S64" s="375">
        <f t="shared" si="9"/>
        <v>0</v>
      </c>
      <c r="T64" s="375">
        <f t="shared" si="9"/>
        <v>0</v>
      </c>
      <c r="U64" s="375">
        <f t="shared" si="9"/>
        <v>0</v>
      </c>
      <c r="V64" s="375">
        <f t="shared" si="9"/>
        <v>0</v>
      </c>
      <c r="W64" s="375">
        <f t="shared" si="9"/>
        <v>0</v>
      </c>
      <c r="X64" s="375">
        <f t="shared" si="9"/>
        <v>0</v>
      </c>
      <c r="Y64" s="369"/>
    </row>
    <row r="66" spans="1:26" ht="13.5" thickBot="1" x14ac:dyDescent="0.35">
      <c r="A66" s="6" t="s">
        <v>182</v>
      </c>
    </row>
    <row r="67" spans="1:26" ht="13.5" thickBot="1" x14ac:dyDescent="0.35">
      <c r="A67" s="361" t="s">
        <v>112</v>
      </c>
      <c r="B67" s="359">
        <f>ROW(A67)</f>
        <v>67</v>
      </c>
      <c r="C67" s="363" t="s">
        <v>116</v>
      </c>
      <c r="D67" s="353">
        <f>SUM(B70:Y70)</f>
        <v>2.65</v>
      </c>
      <c r="E67" s="363" t="s">
        <v>115</v>
      </c>
      <c r="F67" s="354">
        <f>D67/g/J67</f>
        <v>54.026503567787969</v>
      </c>
      <c r="G67" s="363" t="s">
        <v>57</v>
      </c>
      <c r="H67" s="64">
        <v>1.4999999999999999E-2</v>
      </c>
      <c r="I67" s="363" t="s">
        <v>270</v>
      </c>
      <c r="J67" s="355">
        <f>H67-L67</f>
        <v>4.9999999999999992E-3</v>
      </c>
      <c r="K67" s="363" t="s">
        <v>271</v>
      </c>
      <c r="L67" s="64">
        <v>0.01</v>
      </c>
      <c r="M67" s="363" t="s">
        <v>58</v>
      </c>
      <c r="N67" s="65">
        <v>30</v>
      </c>
      <c r="O67" s="363" t="s">
        <v>60</v>
      </c>
      <c r="P67" s="65">
        <v>30</v>
      </c>
      <c r="Q67" s="363" t="s">
        <v>61</v>
      </c>
      <c r="R67" s="65">
        <v>70</v>
      </c>
      <c r="S67" s="363" t="s">
        <v>62</v>
      </c>
      <c r="T67" s="65">
        <v>15</v>
      </c>
      <c r="U67" s="363" t="s">
        <v>55</v>
      </c>
      <c r="V67" s="66" t="s">
        <v>118</v>
      </c>
      <c r="W67" s="463" t="s">
        <v>394</v>
      </c>
      <c r="X67" s="465">
        <v>0.32</v>
      </c>
      <c r="Y67" s="463" t="s">
        <v>393</v>
      </c>
      <c r="Z67" s="358">
        <v>3</v>
      </c>
    </row>
    <row r="68" spans="1:26" x14ac:dyDescent="0.25">
      <c r="A68" s="362" t="s">
        <v>33</v>
      </c>
      <c r="B68" s="370">
        <v>0</v>
      </c>
      <c r="C68" s="371">
        <v>0.2</v>
      </c>
      <c r="D68" s="371">
        <v>0.3</v>
      </c>
      <c r="E68" s="371">
        <v>0.4</v>
      </c>
      <c r="F68" s="371">
        <v>0.5</v>
      </c>
      <c r="G68" s="371">
        <v>0.55000000000000004</v>
      </c>
      <c r="H68" s="371">
        <v>0.6</v>
      </c>
      <c r="I68" s="371">
        <v>0.6</v>
      </c>
      <c r="J68" s="371">
        <v>0.6</v>
      </c>
      <c r="K68" s="371">
        <v>0.6</v>
      </c>
      <c r="L68" s="371">
        <v>0.6</v>
      </c>
      <c r="M68" s="371">
        <v>0.6</v>
      </c>
      <c r="N68" s="371">
        <v>0.6</v>
      </c>
      <c r="O68" s="371">
        <v>0.6</v>
      </c>
      <c r="P68" s="371">
        <v>0.6</v>
      </c>
      <c r="Q68" s="371">
        <v>0.6</v>
      </c>
      <c r="R68" s="371">
        <v>0.6</v>
      </c>
      <c r="S68" s="371">
        <v>0.6</v>
      </c>
      <c r="T68" s="371">
        <v>0.6</v>
      </c>
      <c r="U68" s="371">
        <v>0.6</v>
      </c>
      <c r="V68" s="371">
        <v>0.6</v>
      </c>
      <c r="W68" s="371">
        <v>0.6</v>
      </c>
      <c r="X68" s="371">
        <v>0.6</v>
      </c>
      <c r="Y68" s="381">
        <v>1000</v>
      </c>
    </row>
    <row r="69" spans="1:26" x14ac:dyDescent="0.25">
      <c r="A69" s="378" t="s">
        <v>34</v>
      </c>
      <c r="B69" s="372">
        <v>0</v>
      </c>
      <c r="C69" s="373">
        <v>9</v>
      </c>
      <c r="D69" s="373">
        <v>4.5</v>
      </c>
      <c r="E69" s="373">
        <v>4</v>
      </c>
      <c r="F69" s="373">
        <v>4</v>
      </c>
      <c r="G69" s="373">
        <v>3</v>
      </c>
      <c r="H69" s="373">
        <v>0</v>
      </c>
      <c r="I69" s="373">
        <v>0</v>
      </c>
      <c r="J69" s="373">
        <v>0</v>
      </c>
      <c r="K69" s="373">
        <v>0</v>
      </c>
      <c r="L69" s="373">
        <v>0</v>
      </c>
      <c r="M69" s="373">
        <v>0</v>
      </c>
      <c r="N69" s="373">
        <v>0</v>
      </c>
      <c r="O69" s="373">
        <v>0</v>
      </c>
      <c r="P69" s="373">
        <v>0</v>
      </c>
      <c r="Q69" s="373">
        <v>0</v>
      </c>
      <c r="R69" s="373">
        <v>0</v>
      </c>
      <c r="S69" s="373">
        <v>0</v>
      </c>
      <c r="T69" s="373">
        <v>0</v>
      </c>
      <c r="U69" s="373">
        <v>0</v>
      </c>
      <c r="V69" s="373">
        <v>0</v>
      </c>
      <c r="W69" s="373">
        <v>0</v>
      </c>
      <c r="X69" s="373">
        <v>0</v>
      </c>
      <c r="Y69" s="382">
        <v>0</v>
      </c>
    </row>
    <row r="70" spans="1:26" ht="13" thickBot="1" x14ac:dyDescent="0.3">
      <c r="A70" s="379" t="s">
        <v>117</v>
      </c>
      <c r="B70" s="374">
        <f t="shared" ref="B70:X70" si="10">(C69+B69)*(C68-B68)/2</f>
        <v>0.9</v>
      </c>
      <c r="C70" s="375">
        <f t="shared" si="10"/>
        <v>0.67499999999999982</v>
      </c>
      <c r="D70" s="375">
        <f t="shared" si="10"/>
        <v>0.42500000000000016</v>
      </c>
      <c r="E70" s="375">
        <f t="shared" si="10"/>
        <v>0.39999999999999991</v>
      </c>
      <c r="F70" s="375">
        <f t="shared" si="10"/>
        <v>0.17500000000000016</v>
      </c>
      <c r="G70" s="375">
        <f t="shared" si="10"/>
        <v>7.49999999999999E-2</v>
      </c>
      <c r="H70" s="375">
        <f t="shared" si="10"/>
        <v>0</v>
      </c>
      <c r="I70" s="375">
        <f t="shared" si="10"/>
        <v>0</v>
      </c>
      <c r="J70" s="375">
        <f t="shared" si="10"/>
        <v>0</v>
      </c>
      <c r="K70" s="375">
        <f t="shared" si="10"/>
        <v>0</v>
      </c>
      <c r="L70" s="375">
        <f t="shared" si="10"/>
        <v>0</v>
      </c>
      <c r="M70" s="375">
        <f t="shared" si="10"/>
        <v>0</v>
      </c>
      <c r="N70" s="375">
        <f t="shared" si="10"/>
        <v>0</v>
      </c>
      <c r="O70" s="375">
        <f t="shared" si="10"/>
        <v>0</v>
      </c>
      <c r="P70" s="375">
        <f t="shared" si="10"/>
        <v>0</v>
      </c>
      <c r="Q70" s="375">
        <f t="shared" si="10"/>
        <v>0</v>
      </c>
      <c r="R70" s="375">
        <f t="shared" si="10"/>
        <v>0</v>
      </c>
      <c r="S70" s="375">
        <f t="shared" si="10"/>
        <v>0</v>
      </c>
      <c r="T70" s="375">
        <f t="shared" si="10"/>
        <v>0</v>
      </c>
      <c r="U70" s="375">
        <f t="shared" si="10"/>
        <v>0</v>
      </c>
      <c r="V70" s="375">
        <f t="shared" si="10"/>
        <v>0</v>
      </c>
      <c r="W70" s="375">
        <f t="shared" si="10"/>
        <v>0</v>
      </c>
      <c r="X70" s="375">
        <f t="shared" si="10"/>
        <v>0</v>
      </c>
      <c r="Y70" s="369"/>
    </row>
    <row r="71" spans="1:26" ht="13" thickBot="1" x14ac:dyDescent="0.3">
      <c r="A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6" ht="13.5" thickBot="1" x14ac:dyDescent="0.35">
      <c r="A72" s="361" t="s">
        <v>113</v>
      </c>
      <c r="B72" s="359">
        <f>ROW(A72)</f>
        <v>72</v>
      </c>
      <c r="C72" s="363" t="s">
        <v>116</v>
      </c>
      <c r="D72" s="353">
        <f>SUM(B75:Y75)</f>
        <v>5.25</v>
      </c>
      <c r="E72" s="363" t="s">
        <v>115</v>
      </c>
      <c r="F72" s="354">
        <f>D72/g/J72</f>
        <v>89.1946992864424</v>
      </c>
      <c r="G72" s="363" t="s">
        <v>57</v>
      </c>
      <c r="H72" s="64">
        <v>0.02</v>
      </c>
      <c r="I72" s="363" t="s">
        <v>270</v>
      </c>
      <c r="J72" s="355">
        <f>H72-L72</f>
        <v>6.0000000000000001E-3</v>
      </c>
      <c r="K72" s="363" t="s">
        <v>271</v>
      </c>
      <c r="L72" s="64">
        <v>1.4E-2</v>
      </c>
      <c r="M72" s="363" t="s">
        <v>58</v>
      </c>
      <c r="N72" s="65">
        <v>30</v>
      </c>
      <c r="O72" s="363" t="s">
        <v>60</v>
      </c>
      <c r="P72" s="65">
        <v>30</v>
      </c>
      <c r="Q72" s="363" t="s">
        <v>61</v>
      </c>
      <c r="R72" s="65">
        <v>70</v>
      </c>
      <c r="S72" s="363" t="s">
        <v>62</v>
      </c>
      <c r="T72" s="65">
        <v>15</v>
      </c>
      <c r="U72" s="363" t="s">
        <v>55</v>
      </c>
      <c r="V72" s="66" t="s">
        <v>118</v>
      </c>
      <c r="W72" s="463" t="s">
        <v>394</v>
      </c>
      <c r="X72" s="465">
        <v>1.2</v>
      </c>
      <c r="Y72" s="463" t="s">
        <v>393</v>
      </c>
      <c r="Z72" s="358">
        <v>4</v>
      </c>
    </row>
    <row r="73" spans="1:26" x14ac:dyDescent="0.25">
      <c r="A73" s="362" t="s">
        <v>33</v>
      </c>
      <c r="B73" s="370">
        <v>0</v>
      </c>
      <c r="C73" s="371">
        <v>0.2</v>
      </c>
      <c r="D73" s="371">
        <v>0.3</v>
      </c>
      <c r="E73" s="371">
        <v>0.55000000000000004</v>
      </c>
      <c r="F73" s="371">
        <v>1.05</v>
      </c>
      <c r="G73" s="371">
        <v>1.1499999999999999</v>
      </c>
      <c r="H73" s="371">
        <v>1.1499999999999999</v>
      </c>
      <c r="I73" s="371">
        <v>1.1499999999999999</v>
      </c>
      <c r="J73" s="371">
        <v>1.1499999999999999</v>
      </c>
      <c r="K73" s="371">
        <v>1.1499999999999999</v>
      </c>
      <c r="L73" s="371">
        <v>1.1499999999999999</v>
      </c>
      <c r="M73" s="371">
        <v>1.1499999999999999</v>
      </c>
      <c r="N73" s="371">
        <v>1.1499999999999999</v>
      </c>
      <c r="O73" s="371">
        <v>1.1499999999999999</v>
      </c>
      <c r="P73" s="371">
        <v>1.1499999999999999</v>
      </c>
      <c r="Q73" s="371">
        <v>1.1499999999999999</v>
      </c>
      <c r="R73" s="371">
        <v>1.1499999999999999</v>
      </c>
      <c r="S73" s="371">
        <v>1.1499999999999999</v>
      </c>
      <c r="T73" s="371">
        <v>1.1499999999999999</v>
      </c>
      <c r="U73" s="371">
        <v>1.1499999999999999</v>
      </c>
      <c r="V73" s="371">
        <v>1.1499999999999999</v>
      </c>
      <c r="W73" s="371">
        <v>1.1499999999999999</v>
      </c>
      <c r="X73" s="371">
        <v>1.1499999999999999</v>
      </c>
      <c r="Y73" s="381">
        <v>1000</v>
      </c>
    </row>
    <row r="74" spans="1:26" x14ac:dyDescent="0.25">
      <c r="A74" s="378" t="s">
        <v>34</v>
      </c>
      <c r="B74" s="372">
        <v>0</v>
      </c>
      <c r="C74" s="373">
        <v>10</v>
      </c>
      <c r="D74" s="373">
        <v>6</v>
      </c>
      <c r="E74" s="373">
        <v>4</v>
      </c>
      <c r="F74" s="373">
        <v>4</v>
      </c>
      <c r="G74" s="373">
        <v>0</v>
      </c>
      <c r="H74" s="373">
        <v>0</v>
      </c>
      <c r="I74" s="373">
        <v>0</v>
      </c>
      <c r="J74" s="373">
        <v>0</v>
      </c>
      <c r="K74" s="373">
        <v>0</v>
      </c>
      <c r="L74" s="373">
        <v>0</v>
      </c>
      <c r="M74" s="373">
        <v>0</v>
      </c>
      <c r="N74" s="373">
        <v>0</v>
      </c>
      <c r="O74" s="373">
        <v>0</v>
      </c>
      <c r="P74" s="373">
        <v>0</v>
      </c>
      <c r="Q74" s="373">
        <v>0</v>
      </c>
      <c r="R74" s="373">
        <v>0</v>
      </c>
      <c r="S74" s="373">
        <v>0</v>
      </c>
      <c r="T74" s="373">
        <v>0</v>
      </c>
      <c r="U74" s="373">
        <v>0</v>
      </c>
      <c r="V74" s="373">
        <v>0</v>
      </c>
      <c r="W74" s="373">
        <v>0</v>
      </c>
      <c r="X74" s="373">
        <v>0</v>
      </c>
      <c r="Y74" s="382">
        <v>0</v>
      </c>
    </row>
    <row r="75" spans="1:26" ht="13" thickBot="1" x14ac:dyDescent="0.3">
      <c r="A75" s="379" t="s">
        <v>117</v>
      </c>
      <c r="B75" s="374">
        <f t="shared" ref="B75:V75" si="11">(C74+B74)*(C73-B73)/2</f>
        <v>1</v>
      </c>
      <c r="C75" s="375">
        <f t="shared" si="11"/>
        <v>0.79999999999999982</v>
      </c>
      <c r="D75" s="375">
        <f t="shared" si="11"/>
        <v>1.2500000000000002</v>
      </c>
      <c r="E75" s="375">
        <f t="shared" si="11"/>
        <v>2</v>
      </c>
      <c r="F75" s="375">
        <f t="shared" si="11"/>
        <v>0.19999999999999973</v>
      </c>
      <c r="G75" s="375">
        <f t="shared" si="11"/>
        <v>0</v>
      </c>
      <c r="H75" s="375">
        <f t="shared" si="11"/>
        <v>0</v>
      </c>
      <c r="I75" s="375">
        <f t="shared" si="11"/>
        <v>0</v>
      </c>
      <c r="J75" s="375">
        <f>(K74+J74)*(K73-J73)/2</f>
        <v>0</v>
      </c>
      <c r="K75" s="375">
        <f t="shared" si="11"/>
        <v>0</v>
      </c>
      <c r="L75" s="375">
        <f t="shared" si="11"/>
        <v>0</v>
      </c>
      <c r="M75" s="375">
        <f t="shared" si="11"/>
        <v>0</v>
      </c>
      <c r="N75" s="375">
        <f t="shared" si="11"/>
        <v>0</v>
      </c>
      <c r="O75" s="375">
        <f t="shared" si="11"/>
        <v>0</v>
      </c>
      <c r="P75" s="375">
        <f t="shared" si="11"/>
        <v>0</v>
      </c>
      <c r="Q75" s="375">
        <f t="shared" si="11"/>
        <v>0</v>
      </c>
      <c r="R75" s="375">
        <f t="shared" si="11"/>
        <v>0</v>
      </c>
      <c r="S75" s="375">
        <f>(T74+S74)*(T73-S73)/2</f>
        <v>0</v>
      </c>
      <c r="T75" s="375">
        <f t="shared" si="11"/>
        <v>0</v>
      </c>
      <c r="U75" s="375">
        <f t="shared" si="11"/>
        <v>0</v>
      </c>
      <c r="V75" s="375">
        <f t="shared" si="11"/>
        <v>0</v>
      </c>
      <c r="W75" s="375">
        <f>(X74+W74)*(X73-W73)/2</f>
        <v>0</v>
      </c>
      <c r="X75" s="375">
        <f>(Y74+X74)*(Y73-X73)/2</f>
        <v>0</v>
      </c>
      <c r="Y75" s="369"/>
    </row>
    <row r="76" spans="1:26" ht="13" thickBot="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6" ht="13.5" thickBot="1" x14ac:dyDescent="0.35">
      <c r="A77" s="361" t="s">
        <v>114</v>
      </c>
      <c r="B77" s="359">
        <f>ROW(A77)</f>
        <v>77</v>
      </c>
      <c r="C77" s="363" t="s">
        <v>116</v>
      </c>
      <c r="D77" s="353">
        <f>SUM(B80:Y80)</f>
        <v>10.26</v>
      </c>
      <c r="E77" s="363" t="s">
        <v>115</v>
      </c>
      <c r="F77" s="354">
        <f>D77/g/J77</f>
        <v>80.451658433309802</v>
      </c>
      <c r="G77" s="363" t="s">
        <v>57</v>
      </c>
      <c r="H77" s="64">
        <v>2.4E-2</v>
      </c>
      <c r="I77" s="363" t="s">
        <v>270</v>
      </c>
      <c r="J77" s="355">
        <f>H77-L77</f>
        <v>1.3000000000000001E-2</v>
      </c>
      <c r="K77" s="363" t="s">
        <v>271</v>
      </c>
      <c r="L77" s="64">
        <v>1.0999999999999999E-2</v>
      </c>
      <c r="M77" s="363" t="s">
        <v>58</v>
      </c>
      <c r="N77" s="65">
        <v>30</v>
      </c>
      <c r="O77" s="363" t="s">
        <v>60</v>
      </c>
      <c r="P77" s="65">
        <v>30</v>
      </c>
      <c r="Q77" s="363" t="s">
        <v>61</v>
      </c>
      <c r="R77" s="65">
        <v>70</v>
      </c>
      <c r="S77" s="363" t="s">
        <v>62</v>
      </c>
      <c r="T77" s="65">
        <v>15</v>
      </c>
      <c r="U77" s="363" t="s">
        <v>55</v>
      </c>
      <c r="V77" s="66" t="s">
        <v>118</v>
      </c>
      <c r="W77" s="463" t="s">
        <v>394</v>
      </c>
      <c r="X77" s="465">
        <v>1.7</v>
      </c>
      <c r="Y77" s="463" t="s">
        <v>393</v>
      </c>
      <c r="Z77" s="358">
        <v>3</v>
      </c>
    </row>
    <row r="78" spans="1:26" x14ac:dyDescent="0.25">
      <c r="A78" s="362" t="s">
        <v>33</v>
      </c>
      <c r="B78" s="370">
        <v>0</v>
      </c>
      <c r="C78" s="371">
        <v>0.2</v>
      </c>
      <c r="D78" s="371">
        <v>0.3</v>
      </c>
      <c r="E78" s="371">
        <v>0.6</v>
      </c>
      <c r="F78" s="371">
        <v>0.8</v>
      </c>
      <c r="G78" s="371">
        <v>2</v>
      </c>
      <c r="H78" s="371">
        <v>2.1</v>
      </c>
      <c r="I78" s="371">
        <v>2.1</v>
      </c>
      <c r="J78" s="371">
        <v>2.1</v>
      </c>
      <c r="K78" s="371">
        <v>2.1</v>
      </c>
      <c r="L78" s="371">
        <v>2.1</v>
      </c>
      <c r="M78" s="371">
        <v>2.1</v>
      </c>
      <c r="N78" s="371">
        <v>2.1</v>
      </c>
      <c r="O78" s="371">
        <v>2.1</v>
      </c>
      <c r="P78" s="371">
        <v>2.1</v>
      </c>
      <c r="Q78" s="371">
        <v>2.1</v>
      </c>
      <c r="R78" s="371">
        <v>2.1</v>
      </c>
      <c r="S78" s="371">
        <v>2.1</v>
      </c>
      <c r="T78" s="371">
        <v>2.1</v>
      </c>
      <c r="U78" s="371">
        <v>2.1</v>
      </c>
      <c r="V78" s="371">
        <v>2.1</v>
      </c>
      <c r="W78" s="371">
        <v>2.1</v>
      </c>
      <c r="X78" s="371">
        <v>2.1</v>
      </c>
      <c r="Y78" s="381">
        <v>1000</v>
      </c>
    </row>
    <row r="79" spans="1:26" x14ac:dyDescent="0.25">
      <c r="A79" s="378" t="s">
        <v>34</v>
      </c>
      <c r="B79" s="372">
        <v>0</v>
      </c>
      <c r="C79" s="373">
        <v>11</v>
      </c>
      <c r="D79" s="373">
        <v>7</v>
      </c>
      <c r="E79" s="373">
        <v>4</v>
      </c>
      <c r="F79" s="373">
        <v>4.5999999999999996</v>
      </c>
      <c r="G79" s="373">
        <v>4.5999999999999996</v>
      </c>
      <c r="H79" s="373">
        <v>0</v>
      </c>
      <c r="I79" s="373">
        <v>0</v>
      </c>
      <c r="J79" s="373">
        <v>0</v>
      </c>
      <c r="K79" s="373">
        <v>0</v>
      </c>
      <c r="L79" s="373">
        <v>0</v>
      </c>
      <c r="M79" s="373">
        <v>0</v>
      </c>
      <c r="N79" s="373">
        <v>0</v>
      </c>
      <c r="O79" s="373">
        <v>0</v>
      </c>
      <c r="P79" s="373">
        <v>0</v>
      </c>
      <c r="Q79" s="373">
        <v>0</v>
      </c>
      <c r="R79" s="373">
        <v>0</v>
      </c>
      <c r="S79" s="373">
        <v>0</v>
      </c>
      <c r="T79" s="373">
        <v>0</v>
      </c>
      <c r="U79" s="373">
        <v>0</v>
      </c>
      <c r="V79" s="373">
        <v>0</v>
      </c>
      <c r="W79" s="373">
        <v>0</v>
      </c>
      <c r="X79" s="373">
        <v>0</v>
      </c>
      <c r="Y79" s="382">
        <v>0</v>
      </c>
    </row>
    <row r="80" spans="1:26" ht="13" thickBot="1" x14ac:dyDescent="0.3">
      <c r="A80" s="379" t="s">
        <v>117</v>
      </c>
      <c r="B80" s="374">
        <f t="shared" ref="B80:G80" si="12">(C79+B79)*(C78-B78)/2</f>
        <v>1.1000000000000001</v>
      </c>
      <c r="C80" s="375">
        <f t="shared" si="12"/>
        <v>0.8999999999999998</v>
      </c>
      <c r="D80" s="375">
        <f t="shared" si="12"/>
        <v>1.65</v>
      </c>
      <c r="E80" s="375">
        <f t="shared" si="12"/>
        <v>0.86000000000000021</v>
      </c>
      <c r="F80" s="375">
        <f t="shared" si="12"/>
        <v>5.52</v>
      </c>
      <c r="G80" s="375">
        <f t="shared" si="12"/>
        <v>0.23000000000000018</v>
      </c>
      <c r="H80" s="375">
        <f t="shared" ref="H80:V80" si="13">(I79+H79)*(I78-H78)/2</f>
        <v>0</v>
      </c>
      <c r="I80" s="375">
        <f t="shared" si="13"/>
        <v>0</v>
      </c>
      <c r="J80" s="375">
        <f>(K79+J79)*(K78-J78)/2</f>
        <v>0</v>
      </c>
      <c r="K80" s="375">
        <f t="shared" si="13"/>
        <v>0</v>
      </c>
      <c r="L80" s="375">
        <f t="shared" si="13"/>
        <v>0</v>
      </c>
      <c r="M80" s="375">
        <f t="shared" si="13"/>
        <v>0</v>
      </c>
      <c r="N80" s="375">
        <f t="shared" si="13"/>
        <v>0</v>
      </c>
      <c r="O80" s="375">
        <f t="shared" si="13"/>
        <v>0</v>
      </c>
      <c r="P80" s="375">
        <f t="shared" si="13"/>
        <v>0</v>
      </c>
      <c r="Q80" s="375">
        <f t="shared" si="13"/>
        <v>0</v>
      </c>
      <c r="R80" s="375">
        <f t="shared" si="13"/>
        <v>0</v>
      </c>
      <c r="S80" s="375">
        <f>(T79+S79)*(T78-S78)/2</f>
        <v>0</v>
      </c>
      <c r="T80" s="375">
        <f t="shared" si="13"/>
        <v>0</v>
      </c>
      <c r="U80" s="375">
        <f t="shared" si="13"/>
        <v>0</v>
      </c>
      <c r="V80" s="375">
        <f t="shared" si="13"/>
        <v>0</v>
      </c>
      <c r="W80" s="375">
        <f>(X79+W79)*(X78-W78)/2</f>
        <v>0</v>
      </c>
      <c r="X80" s="375">
        <f>(Y79+X79)*(Y78-X78)/2</f>
        <v>0</v>
      </c>
      <c r="Y80" s="369"/>
    </row>
    <row r="81" spans="1:26" ht="13" thickBot="1" x14ac:dyDescent="0.3">
      <c r="A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6" ht="13.5" thickBot="1" x14ac:dyDescent="0.35">
      <c r="A82" s="361" t="s">
        <v>329</v>
      </c>
      <c r="B82" s="359">
        <f>ROW(A82)</f>
        <v>82</v>
      </c>
      <c r="C82" s="363" t="s">
        <v>116</v>
      </c>
      <c r="D82" s="353">
        <f>SUM(B85:Y85)</f>
        <v>20.52</v>
      </c>
      <c r="E82" s="363" t="s">
        <v>115</v>
      </c>
      <c r="F82" s="354">
        <f>D82/g/J82</f>
        <v>80.451658433309802</v>
      </c>
      <c r="G82" s="363" t="s">
        <v>57</v>
      </c>
      <c r="H82" s="64">
        <f>H77*2</f>
        <v>4.8000000000000001E-2</v>
      </c>
      <c r="I82" s="363" t="s">
        <v>270</v>
      </c>
      <c r="J82" s="355">
        <f>H82-L82</f>
        <v>2.6000000000000002E-2</v>
      </c>
      <c r="K82" s="363" t="s">
        <v>271</v>
      </c>
      <c r="L82" s="64">
        <f>L77*2</f>
        <v>2.1999999999999999E-2</v>
      </c>
      <c r="M82" s="363" t="s">
        <v>58</v>
      </c>
      <c r="N82" s="65">
        <v>30</v>
      </c>
      <c r="O82" s="363" t="s">
        <v>60</v>
      </c>
      <c r="P82" s="65">
        <v>30</v>
      </c>
      <c r="Q82" s="363" t="s">
        <v>61</v>
      </c>
      <c r="R82" s="65">
        <v>70</v>
      </c>
      <c r="S82" s="363" t="s">
        <v>62</v>
      </c>
      <c r="T82" s="65">
        <v>30</v>
      </c>
      <c r="U82" s="363" t="s">
        <v>55</v>
      </c>
      <c r="V82" s="66" t="s">
        <v>118</v>
      </c>
      <c r="W82" s="463" t="s">
        <v>394</v>
      </c>
      <c r="X82" s="465">
        <v>1.7</v>
      </c>
      <c r="Y82" s="463" t="s">
        <v>393</v>
      </c>
      <c r="Z82" s="358">
        <v>3</v>
      </c>
    </row>
    <row r="83" spans="1:26" x14ac:dyDescent="0.25">
      <c r="A83" s="362" t="s">
        <v>33</v>
      </c>
      <c r="B83" s="370">
        <v>0</v>
      </c>
      <c r="C83" s="371">
        <v>0.2</v>
      </c>
      <c r="D83" s="371">
        <v>0.3</v>
      </c>
      <c r="E83" s="371">
        <v>0.6</v>
      </c>
      <c r="F83" s="371">
        <v>0.8</v>
      </c>
      <c r="G83" s="371">
        <v>2</v>
      </c>
      <c r="H83" s="371">
        <v>2.1</v>
      </c>
      <c r="I83" s="371">
        <v>2.1</v>
      </c>
      <c r="J83" s="371">
        <v>2.1</v>
      </c>
      <c r="K83" s="371">
        <v>2.1</v>
      </c>
      <c r="L83" s="371">
        <v>2.1</v>
      </c>
      <c r="M83" s="371">
        <v>2.1</v>
      </c>
      <c r="N83" s="371">
        <v>2.1</v>
      </c>
      <c r="O83" s="371">
        <v>2.1</v>
      </c>
      <c r="P83" s="371">
        <v>2.1</v>
      </c>
      <c r="Q83" s="371">
        <v>2.1</v>
      </c>
      <c r="R83" s="371">
        <v>2.1</v>
      </c>
      <c r="S83" s="371">
        <v>2.1</v>
      </c>
      <c r="T83" s="371">
        <v>2.1</v>
      </c>
      <c r="U83" s="371">
        <v>2.1</v>
      </c>
      <c r="V83" s="371">
        <v>2.1</v>
      </c>
      <c r="W83" s="371">
        <v>2.1</v>
      </c>
      <c r="X83" s="371">
        <v>2.1</v>
      </c>
      <c r="Y83" s="381">
        <v>1000</v>
      </c>
    </row>
    <row r="84" spans="1:26" x14ac:dyDescent="0.25">
      <c r="A84" s="378" t="s">
        <v>34</v>
      </c>
      <c r="B84" s="372">
        <f>B79*2</f>
        <v>0</v>
      </c>
      <c r="C84" s="373">
        <f t="shared" ref="C84:X84" si="14">C79*2</f>
        <v>22</v>
      </c>
      <c r="D84" s="373">
        <f t="shared" si="14"/>
        <v>14</v>
      </c>
      <c r="E84" s="373">
        <f t="shared" si="14"/>
        <v>8</v>
      </c>
      <c r="F84" s="373">
        <f t="shared" si="14"/>
        <v>9.1999999999999993</v>
      </c>
      <c r="G84" s="373">
        <f t="shared" si="14"/>
        <v>9.1999999999999993</v>
      </c>
      <c r="H84" s="373">
        <f t="shared" si="14"/>
        <v>0</v>
      </c>
      <c r="I84" s="373">
        <f t="shared" si="14"/>
        <v>0</v>
      </c>
      <c r="J84" s="373">
        <f t="shared" si="14"/>
        <v>0</v>
      </c>
      <c r="K84" s="373">
        <f t="shared" si="14"/>
        <v>0</v>
      </c>
      <c r="L84" s="373">
        <f t="shared" si="14"/>
        <v>0</v>
      </c>
      <c r="M84" s="373">
        <f t="shared" si="14"/>
        <v>0</v>
      </c>
      <c r="N84" s="373">
        <f t="shared" si="14"/>
        <v>0</v>
      </c>
      <c r="O84" s="373">
        <f t="shared" si="14"/>
        <v>0</v>
      </c>
      <c r="P84" s="373">
        <f t="shared" si="14"/>
        <v>0</v>
      </c>
      <c r="Q84" s="373">
        <f t="shared" si="14"/>
        <v>0</v>
      </c>
      <c r="R84" s="373">
        <f t="shared" si="14"/>
        <v>0</v>
      </c>
      <c r="S84" s="373">
        <f t="shared" si="14"/>
        <v>0</v>
      </c>
      <c r="T84" s="373">
        <f t="shared" si="14"/>
        <v>0</v>
      </c>
      <c r="U84" s="373">
        <f t="shared" si="14"/>
        <v>0</v>
      </c>
      <c r="V84" s="373">
        <f t="shared" si="14"/>
        <v>0</v>
      </c>
      <c r="W84" s="373">
        <f t="shared" si="14"/>
        <v>0</v>
      </c>
      <c r="X84" s="373">
        <f t="shared" si="14"/>
        <v>0</v>
      </c>
      <c r="Y84" s="382">
        <v>0</v>
      </c>
    </row>
    <row r="85" spans="1:26" ht="13" thickBot="1" x14ac:dyDescent="0.3">
      <c r="A85" s="379" t="s">
        <v>117</v>
      </c>
      <c r="B85" s="374">
        <f t="shared" ref="B85:X85" si="15">(C84+B84)*(C83-B83)/2</f>
        <v>2.2000000000000002</v>
      </c>
      <c r="C85" s="375">
        <f t="shared" si="15"/>
        <v>1.7999999999999996</v>
      </c>
      <c r="D85" s="375">
        <f t="shared" si="15"/>
        <v>3.3</v>
      </c>
      <c r="E85" s="375">
        <f t="shared" si="15"/>
        <v>1.7200000000000004</v>
      </c>
      <c r="F85" s="375">
        <f t="shared" si="15"/>
        <v>11.04</v>
      </c>
      <c r="G85" s="375">
        <f t="shared" si="15"/>
        <v>0.46000000000000035</v>
      </c>
      <c r="H85" s="375">
        <f t="shared" si="15"/>
        <v>0</v>
      </c>
      <c r="I85" s="375">
        <f t="shared" si="15"/>
        <v>0</v>
      </c>
      <c r="J85" s="375">
        <f t="shared" si="15"/>
        <v>0</v>
      </c>
      <c r="K85" s="375">
        <f t="shared" si="15"/>
        <v>0</v>
      </c>
      <c r="L85" s="375">
        <f t="shared" si="15"/>
        <v>0</v>
      </c>
      <c r="M85" s="375">
        <f t="shared" si="15"/>
        <v>0</v>
      </c>
      <c r="N85" s="375">
        <f t="shared" si="15"/>
        <v>0</v>
      </c>
      <c r="O85" s="375">
        <f t="shared" si="15"/>
        <v>0</v>
      </c>
      <c r="P85" s="375">
        <f t="shared" si="15"/>
        <v>0</v>
      </c>
      <c r="Q85" s="375">
        <f t="shared" si="15"/>
        <v>0</v>
      </c>
      <c r="R85" s="375">
        <f t="shared" si="15"/>
        <v>0</v>
      </c>
      <c r="S85" s="375">
        <f t="shared" si="15"/>
        <v>0</v>
      </c>
      <c r="T85" s="375">
        <f t="shared" si="15"/>
        <v>0</v>
      </c>
      <c r="U85" s="375">
        <f t="shared" si="15"/>
        <v>0</v>
      </c>
      <c r="V85" s="375">
        <f t="shared" si="15"/>
        <v>0</v>
      </c>
      <c r="W85" s="375">
        <f t="shared" si="15"/>
        <v>0</v>
      </c>
      <c r="X85" s="375">
        <f t="shared" si="15"/>
        <v>0</v>
      </c>
      <c r="Y85" s="369"/>
    </row>
    <row r="86" spans="1:26" ht="13" thickBot="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6" ht="13.5" thickBot="1" x14ac:dyDescent="0.35">
      <c r="A87" s="361" t="s">
        <v>330</v>
      </c>
      <c r="B87" s="359">
        <f>ROW(A87)</f>
        <v>87</v>
      </c>
      <c r="C87" s="363" t="s">
        <v>116</v>
      </c>
      <c r="D87" s="353">
        <f>SUM(B90:Y90)</f>
        <v>30.779999999999998</v>
      </c>
      <c r="E87" s="363" t="s">
        <v>115</v>
      </c>
      <c r="F87" s="354">
        <f>D87/g/J87</f>
        <v>80.451658433309774</v>
      </c>
      <c r="G87" s="363" t="s">
        <v>57</v>
      </c>
      <c r="H87" s="64">
        <f>H77*3</f>
        <v>7.2000000000000008E-2</v>
      </c>
      <c r="I87" s="363" t="s">
        <v>270</v>
      </c>
      <c r="J87" s="355">
        <f>H87-L87</f>
        <v>3.9000000000000007E-2</v>
      </c>
      <c r="K87" s="363" t="s">
        <v>271</v>
      </c>
      <c r="L87" s="64">
        <f>L77*3</f>
        <v>3.3000000000000002E-2</v>
      </c>
      <c r="M87" s="363" t="s">
        <v>58</v>
      </c>
      <c r="N87" s="65">
        <v>30</v>
      </c>
      <c r="O87" s="363" t="s">
        <v>60</v>
      </c>
      <c r="P87" s="65">
        <v>30</v>
      </c>
      <c r="Q87" s="363" t="s">
        <v>61</v>
      </c>
      <c r="R87" s="65">
        <v>70</v>
      </c>
      <c r="S87" s="363" t="s">
        <v>62</v>
      </c>
      <c r="T87" s="65">
        <v>40</v>
      </c>
      <c r="U87" s="363" t="s">
        <v>55</v>
      </c>
      <c r="V87" s="66" t="s">
        <v>118</v>
      </c>
      <c r="W87" s="463" t="s">
        <v>394</v>
      </c>
      <c r="X87" s="465">
        <v>1.7</v>
      </c>
      <c r="Y87" s="463" t="s">
        <v>393</v>
      </c>
      <c r="Z87" s="358">
        <v>3</v>
      </c>
    </row>
    <row r="88" spans="1:26" x14ac:dyDescent="0.25">
      <c r="A88" s="362" t="s">
        <v>33</v>
      </c>
      <c r="B88" s="370">
        <v>0</v>
      </c>
      <c r="C88" s="371">
        <v>0.2</v>
      </c>
      <c r="D88" s="371">
        <v>0.3</v>
      </c>
      <c r="E88" s="371">
        <v>0.6</v>
      </c>
      <c r="F88" s="371">
        <v>0.8</v>
      </c>
      <c r="G88" s="371">
        <v>2</v>
      </c>
      <c r="H88" s="371">
        <v>2.1</v>
      </c>
      <c r="I88" s="371">
        <v>2.1</v>
      </c>
      <c r="J88" s="371">
        <v>2.1</v>
      </c>
      <c r="K88" s="371">
        <v>2.1</v>
      </c>
      <c r="L88" s="371">
        <v>2.1</v>
      </c>
      <c r="M88" s="371">
        <v>2.1</v>
      </c>
      <c r="N88" s="371">
        <v>2.1</v>
      </c>
      <c r="O88" s="371">
        <v>2.1</v>
      </c>
      <c r="P88" s="371">
        <v>2.1</v>
      </c>
      <c r="Q88" s="371">
        <v>2.1</v>
      </c>
      <c r="R88" s="371">
        <v>2.1</v>
      </c>
      <c r="S88" s="371">
        <v>2.1</v>
      </c>
      <c r="T88" s="371">
        <v>2.1</v>
      </c>
      <c r="U88" s="371">
        <v>2.1</v>
      </c>
      <c r="V88" s="371">
        <v>2.1</v>
      </c>
      <c r="W88" s="371">
        <v>2.1</v>
      </c>
      <c r="X88" s="371">
        <v>2.1</v>
      </c>
      <c r="Y88" s="381">
        <v>1000</v>
      </c>
    </row>
    <row r="89" spans="1:26" x14ac:dyDescent="0.25">
      <c r="A89" s="378" t="s">
        <v>34</v>
      </c>
      <c r="B89" s="372">
        <f>B79*3</f>
        <v>0</v>
      </c>
      <c r="C89" s="373">
        <f t="shared" ref="C89:X89" si="16">C79*3</f>
        <v>33</v>
      </c>
      <c r="D89" s="373">
        <f t="shared" si="16"/>
        <v>21</v>
      </c>
      <c r="E89" s="373">
        <f t="shared" si="16"/>
        <v>12</v>
      </c>
      <c r="F89" s="373">
        <f t="shared" si="16"/>
        <v>13.799999999999999</v>
      </c>
      <c r="G89" s="373">
        <f t="shared" si="16"/>
        <v>13.799999999999999</v>
      </c>
      <c r="H89" s="373">
        <f t="shared" si="16"/>
        <v>0</v>
      </c>
      <c r="I89" s="373">
        <f t="shared" si="16"/>
        <v>0</v>
      </c>
      <c r="J89" s="373">
        <f t="shared" si="16"/>
        <v>0</v>
      </c>
      <c r="K89" s="373">
        <f t="shared" si="16"/>
        <v>0</v>
      </c>
      <c r="L89" s="373">
        <f t="shared" si="16"/>
        <v>0</v>
      </c>
      <c r="M89" s="373">
        <f t="shared" si="16"/>
        <v>0</v>
      </c>
      <c r="N89" s="373">
        <f t="shared" si="16"/>
        <v>0</v>
      </c>
      <c r="O89" s="373">
        <f t="shared" si="16"/>
        <v>0</v>
      </c>
      <c r="P89" s="373">
        <f t="shared" si="16"/>
        <v>0</v>
      </c>
      <c r="Q89" s="373">
        <f t="shared" si="16"/>
        <v>0</v>
      </c>
      <c r="R89" s="373">
        <f t="shared" si="16"/>
        <v>0</v>
      </c>
      <c r="S89" s="373">
        <f t="shared" si="16"/>
        <v>0</v>
      </c>
      <c r="T89" s="373">
        <f t="shared" si="16"/>
        <v>0</v>
      </c>
      <c r="U89" s="373">
        <f t="shared" si="16"/>
        <v>0</v>
      </c>
      <c r="V89" s="373">
        <f t="shared" si="16"/>
        <v>0</v>
      </c>
      <c r="W89" s="373">
        <f t="shared" si="16"/>
        <v>0</v>
      </c>
      <c r="X89" s="373">
        <f t="shared" si="16"/>
        <v>0</v>
      </c>
      <c r="Y89" s="382">
        <v>0</v>
      </c>
    </row>
    <row r="90" spans="1:26" ht="13" thickBot="1" x14ac:dyDescent="0.3">
      <c r="A90" s="379" t="s">
        <v>117</v>
      </c>
      <c r="B90" s="374">
        <f t="shared" ref="B90:X90" si="17">(C89+B89)*(C88-B88)/2</f>
        <v>3.3000000000000003</v>
      </c>
      <c r="C90" s="375">
        <f t="shared" si="17"/>
        <v>2.6999999999999993</v>
      </c>
      <c r="D90" s="375">
        <f t="shared" si="17"/>
        <v>4.95</v>
      </c>
      <c r="E90" s="375">
        <f t="shared" si="17"/>
        <v>2.5800000000000005</v>
      </c>
      <c r="F90" s="375">
        <f t="shared" si="17"/>
        <v>16.559999999999999</v>
      </c>
      <c r="G90" s="375">
        <f t="shared" si="17"/>
        <v>0.69000000000000061</v>
      </c>
      <c r="H90" s="375">
        <f t="shared" si="17"/>
        <v>0</v>
      </c>
      <c r="I90" s="375">
        <f t="shared" si="17"/>
        <v>0</v>
      </c>
      <c r="J90" s="375">
        <f t="shared" si="17"/>
        <v>0</v>
      </c>
      <c r="K90" s="375">
        <f t="shared" si="17"/>
        <v>0</v>
      </c>
      <c r="L90" s="375">
        <f t="shared" si="17"/>
        <v>0</v>
      </c>
      <c r="M90" s="375">
        <f t="shared" si="17"/>
        <v>0</v>
      </c>
      <c r="N90" s="375">
        <f t="shared" si="17"/>
        <v>0</v>
      </c>
      <c r="O90" s="375">
        <f t="shared" si="17"/>
        <v>0</v>
      </c>
      <c r="P90" s="375">
        <f t="shared" si="17"/>
        <v>0</v>
      </c>
      <c r="Q90" s="375">
        <f t="shared" si="17"/>
        <v>0</v>
      </c>
      <c r="R90" s="375">
        <f t="shared" si="17"/>
        <v>0</v>
      </c>
      <c r="S90" s="375">
        <f t="shared" si="17"/>
        <v>0</v>
      </c>
      <c r="T90" s="375">
        <f t="shared" si="17"/>
        <v>0</v>
      </c>
      <c r="U90" s="375">
        <f t="shared" si="17"/>
        <v>0</v>
      </c>
      <c r="V90" s="375">
        <f t="shared" si="17"/>
        <v>0</v>
      </c>
      <c r="W90" s="375">
        <f t="shared" si="17"/>
        <v>0</v>
      </c>
      <c r="X90" s="375">
        <f t="shared" si="17"/>
        <v>0</v>
      </c>
      <c r="Y90" s="369"/>
    </row>
    <row r="91" spans="1:26" ht="13" thickBot="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6" ht="13.5" thickBot="1" x14ac:dyDescent="0.35">
      <c r="A92" s="361" t="s">
        <v>541</v>
      </c>
      <c r="B92" s="359">
        <f>ROW(A92)</f>
        <v>92</v>
      </c>
      <c r="C92" s="363" t="s">
        <v>116</v>
      </c>
      <c r="D92" s="353">
        <f>SUM(B95:Y95)</f>
        <v>19.961989000000003</v>
      </c>
      <c r="E92" s="363" t="s">
        <v>115</v>
      </c>
      <c r="F92" s="354">
        <f>D92/g/J92</f>
        <v>118.30588744280873</v>
      </c>
      <c r="G92" s="363" t="s">
        <v>57</v>
      </c>
      <c r="H92" s="64">
        <v>2.8199999999999999E-2</v>
      </c>
      <c r="I92" s="363" t="s">
        <v>270</v>
      </c>
      <c r="J92" s="355">
        <f>H92-L92</f>
        <v>1.72E-2</v>
      </c>
      <c r="K92" s="363" t="s">
        <v>271</v>
      </c>
      <c r="L92" s="64">
        <v>1.0999999999999999E-2</v>
      </c>
      <c r="M92" s="363" t="s">
        <v>58</v>
      </c>
      <c r="N92" s="65">
        <v>30</v>
      </c>
      <c r="O92" s="363" t="s">
        <v>60</v>
      </c>
      <c r="P92" s="65">
        <v>30</v>
      </c>
      <c r="Q92" s="363" t="s">
        <v>61</v>
      </c>
      <c r="R92" s="65">
        <v>70</v>
      </c>
      <c r="S92" s="363" t="s">
        <v>62</v>
      </c>
      <c r="T92" s="65">
        <v>18</v>
      </c>
      <c r="U92" s="363" t="s">
        <v>55</v>
      </c>
      <c r="V92" s="66" t="s">
        <v>401</v>
      </c>
      <c r="W92" s="463" t="s">
        <v>394</v>
      </c>
      <c r="X92" s="465">
        <v>2.1</v>
      </c>
      <c r="Y92" s="463" t="s">
        <v>393</v>
      </c>
      <c r="Z92" s="358">
        <v>7</v>
      </c>
    </row>
    <row r="93" spans="1:26" x14ac:dyDescent="0.25">
      <c r="A93" s="362" t="s">
        <v>33</v>
      </c>
      <c r="B93" s="370">
        <v>0</v>
      </c>
      <c r="C93" s="472">
        <v>0.04</v>
      </c>
      <c r="D93" s="472">
        <v>0.11600000000000001</v>
      </c>
      <c r="E93" s="472">
        <v>0.21299999999999999</v>
      </c>
      <c r="F93" s="472">
        <v>0.28599999999999998</v>
      </c>
      <c r="G93" s="472">
        <v>0.32900000000000001</v>
      </c>
      <c r="H93" s="472">
        <v>0.36899999999999999</v>
      </c>
      <c r="I93" s="472">
        <v>0.42</v>
      </c>
      <c r="J93" s="472">
        <v>0.495</v>
      </c>
      <c r="K93" s="472">
        <v>0.59699999999999998</v>
      </c>
      <c r="L93" s="472">
        <v>1.7110000000000001</v>
      </c>
      <c r="M93" s="472">
        <v>1.8260000000000001</v>
      </c>
      <c r="N93" s="472">
        <v>1.917</v>
      </c>
      <c r="O93" s="472">
        <v>1.9750000000000001</v>
      </c>
      <c r="P93" s="472">
        <v>2.206</v>
      </c>
      <c r="Q93" s="472">
        <v>2.242</v>
      </c>
      <c r="R93" s="371">
        <v>2.5</v>
      </c>
      <c r="S93" s="371">
        <v>2.5</v>
      </c>
      <c r="T93" s="371">
        <v>2.5</v>
      </c>
      <c r="U93" s="371">
        <v>2.5</v>
      </c>
      <c r="V93" s="371">
        <v>2.5</v>
      </c>
      <c r="W93" s="371">
        <v>2.5</v>
      </c>
      <c r="X93" s="371">
        <v>2.5</v>
      </c>
      <c r="Y93" s="381">
        <v>1000</v>
      </c>
    </row>
    <row r="94" spans="1:26" x14ac:dyDescent="0.25">
      <c r="A94" s="378" t="s">
        <v>34</v>
      </c>
      <c r="B94" s="372">
        <v>0</v>
      </c>
      <c r="C94" s="472">
        <v>2.1110000000000002</v>
      </c>
      <c r="D94" s="472">
        <v>9.6850000000000005</v>
      </c>
      <c r="E94" s="472">
        <v>25</v>
      </c>
      <c r="F94" s="472">
        <v>15.738</v>
      </c>
      <c r="G94" s="472">
        <v>12.472</v>
      </c>
      <c r="H94" s="472">
        <v>10.67</v>
      </c>
      <c r="I94" s="472">
        <v>9.7129999999999992</v>
      </c>
      <c r="J94" s="472">
        <v>9.1780000000000008</v>
      </c>
      <c r="K94" s="472">
        <v>8.8960000000000008</v>
      </c>
      <c r="L94" s="472">
        <v>8.9250000000000007</v>
      </c>
      <c r="M94" s="472">
        <v>8.6989999999999998</v>
      </c>
      <c r="N94" s="472">
        <v>8.0519999999999996</v>
      </c>
      <c r="O94" s="472">
        <v>6.9539999999999997</v>
      </c>
      <c r="P94" s="472">
        <v>1.07</v>
      </c>
      <c r="Q94" s="472">
        <v>0</v>
      </c>
      <c r="R94" s="373">
        <v>0</v>
      </c>
      <c r="S94" s="373">
        <v>0</v>
      </c>
      <c r="T94" s="373">
        <v>0</v>
      </c>
      <c r="U94" s="373">
        <v>0</v>
      </c>
      <c r="V94" s="373">
        <v>0</v>
      </c>
      <c r="W94" s="373">
        <v>0</v>
      </c>
      <c r="X94" s="373">
        <v>0</v>
      </c>
      <c r="Y94" s="382">
        <v>0</v>
      </c>
    </row>
    <row r="95" spans="1:26" ht="13" thickBot="1" x14ac:dyDescent="0.3">
      <c r="A95" s="379" t="s">
        <v>117</v>
      </c>
      <c r="B95" s="374">
        <f t="shared" ref="B95:X95" si="18">(C94+B94)*(C93-B93)/2</f>
        <v>4.2220000000000008E-2</v>
      </c>
      <c r="C95" s="375">
        <f t="shared" si="18"/>
        <v>0.44824800000000009</v>
      </c>
      <c r="D95" s="375">
        <f t="shared" si="18"/>
        <v>1.6822225</v>
      </c>
      <c r="E95" s="375">
        <f t="shared" si="18"/>
        <v>1.4869369999999995</v>
      </c>
      <c r="F95" s="375">
        <f t="shared" si="18"/>
        <v>0.60651500000000058</v>
      </c>
      <c r="G95" s="375">
        <f t="shared" si="18"/>
        <v>0.46283999999999975</v>
      </c>
      <c r="H95" s="375">
        <f t="shared" si="18"/>
        <v>0.51976649999999991</v>
      </c>
      <c r="I95" s="375">
        <f t="shared" si="18"/>
        <v>0.7084125</v>
      </c>
      <c r="J95" s="375">
        <f t="shared" si="18"/>
        <v>0.92177399999999987</v>
      </c>
      <c r="K95" s="375">
        <f t="shared" si="18"/>
        <v>9.9262970000000017</v>
      </c>
      <c r="L95" s="375">
        <f t="shared" si="18"/>
        <v>1.0133799999999999</v>
      </c>
      <c r="M95" s="375">
        <f t="shared" si="18"/>
        <v>0.76217049999999964</v>
      </c>
      <c r="N95" s="375">
        <f t="shared" si="18"/>
        <v>0.43517400000000039</v>
      </c>
      <c r="O95" s="375">
        <f t="shared" si="18"/>
        <v>0.92677199999999937</v>
      </c>
      <c r="P95" s="375">
        <f t="shared" si="18"/>
        <v>1.9260000000000017E-2</v>
      </c>
      <c r="Q95" s="375">
        <f t="shared" si="18"/>
        <v>0</v>
      </c>
      <c r="R95" s="375">
        <f t="shared" si="18"/>
        <v>0</v>
      </c>
      <c r="S95" s="375">
        <f t="shared" si="18"/>
        <v>0</v>
      </c>
      <c r="T95" s="375">
        <f t="shared" si="18"/>
        <v>0</v>
      </c>
      <c r="U95" s="375">
        <f t="shared" si="18"/>
        <v>0</v>
      </c>
      <c r="V95" s="375">
        <f t="shared" si="18"/>
        <v>0</v>
      </c>
      <c r="W95" s="375">
        <f t="shared" si="18"/>
        <v>0</v>
      </c>
      <c r="X95" s="375">
        <f t="shared" si="18"/>
        <v>0</v>
      </c>
      <c r="Y95" s="369"/>
    </row>
    <row r="96" spans="1:26" ht="13" thickBot="1" x14ac:dyDescent="0.3">
      <c r="A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6" ht="13.5" thickBot="1" x14ac:dyDescent="0.35">
      <c r="A97" s="361" t="s">
        <v>539</v>
      </c>
      <c r="B97" s="359">
        <f>ROW(A97)</f>
        <v>97</v>
      </c>
      <c r="C97" s="363" t="s">
        <v>116</v>
      </c>
      <c r="D97" s="353">
        <f>SUM(B100:Y100)</f>
        <v>39.923978000000005</v>
      </c>
      <c r="E97" s="363" t="s">
        <v>115</v>
      </c>
      <c r="F97" s="354">
        <f>D97/g/J97</f>
        <v>118.30588744280873</v>
      </c>
      <c r="G97" s="363" t="s">
        <v>57</v>
      </c>
      <c r="H97" s="64">
        <f>H92*2</f>
        <v>5.6399999999999999E-2</v>
      </c>
      <c r="I97" s="363" t="s">
        <v>270</v>
      </c>
      <c r="J97" s="355">
        <f>H97-L97</f>
        <v>3.44E-2</v>
      </c>
      <c r="K97" s="363" t="s">
        <v>271</v>
      </c>
      <c r="L97" s="64">
        <f>L92*2</f>
        <v>2.1999999999999999E-2</v>
      </c>
      <c r="M97" s="363" t="s">
        <v>58</v>
      </c>
      <c r="N97" s="65">
        <v>30</v>
      </c>
      <c r="O97" s="363" t="s">
        <v>60</v>
      </c>
      <c r="P97" s="65">
        <v>30</v>
      </c>
      <c r="Q97" s="363" t="s">
        <v>61</v>
      </c>
      <c r="R97" s="65">
        <v>70</v>
      </c>
      <c r="S97" s="363" t="s">
        <v>62</v>
      </c>
      <c r="T97" s="65">
        <v>30</v>
      </c>
      <c r="U97" s="363" t="s">
        <v>55</v>
      </c>
      <c r="V97" s="66" t="s">
        <v>401</v>
      </c>
      <c r="W97" s="463" t="s">
        <v>394</v>
      </c>
      <c r="X97" s="465">
        <v>2.1</v>
      </c>
      <c r="Y97" s="463" t="s">
        <v>393</v>
      </c>
      <c r="Z97" s="358">
        <v>7</v>
      </c>
    </row>
    <row r="98" spans="1:26" x14ac:dyDescent="0.25">
      <c r="A98" s="362" t="s">
        <v>33</v>
      </c>
      <c r="B98" s="370">
        <v>0</v>
      </c>
      <c r="C98" s="371">
        <f>C93</f>
        <v>0.04</v>
      </c>
      <c r="D98" s="371">
        <f t="shared" ref="D98:X98" si="19">D93</f>
        <v>0.11600000000000001</v>
      </c>
      <c r="E98" s="371">
        <f t="shared" si="19"/>
        <v>0.21299999999999999</v>
      </c>
      <c r="F98" s="371">
        <f t="shared" si="19"/>
        <v>0.28599999999999998</v>
      </c>
      <c r="G98" s="371">
        <f t="shared" si="19"/>
        <v>0.32900000000000001</v>
      </c>
      <c r="H98" s="371">
        <f t="shared" si="19"/>
        <v>0.36899999999999999</v>
      </c>
      <c r="I98" s="371">
        <f t="shared" si="19"/>
        <v>0.42</v>
      </c>
      <c r="J98" s="371">
        <f t="shared" si="19"/>
        <v>0.495</v>
      </c>
      <c r="K98" s="371">
        <f t="shared" si="19"/>
        <v>0.59699999999999998</v>
      </c>
      <c r="L98" s="371">
        <f t="shared" si="19"/>
        <v>1.7110000000000001</v>
      </c>
      <c r="M98" s="371">
        <f t="shared" si="19"/>
        <v>1.8260000000000001</v>
      </c>
      <c r="N98" s="371">
        <f t="shared" si="19"/>
        <v>1.917</v>
      </c>
      <c r="O98" s="371">
        <f t="shared" si="19"/>
        <v>1.9750000000000001</v>
      </c>
      <c r="P98" s="371">
        <f t="shared" si="19"/>
        <v>2.206</v>
      </c>
      <c r="Q98" s="371">
        <f t="shared" si="19"/>
        <v>2.242</v>
      </c>
      <c r="R98" s="371">
        <f t="shared" si="19"/>
        <v>2.5</v>
      </c>
      <c r="S98" s="371">
        <f>S93</f>
        <v>2.5</v>
      </c>
      <c r="T98" s="371">
        <f t="shared" si="19"/>
        <v>2.5</v>
      </c>
      <c r="U98" s="371">
        <f t="shared" si="19"/>
        <v>2.5</v>
      </c>
      <c r="V98" s="371">
        <f t="shared" si="19"/>
        <v>2.5</v>
      </c>
      <c r="W98" s="371">
        <f t="shared" si="19"/>
        <v>2.5</v>
      </c>
      <c r="X98" s="371">
        <f t="shared" si="19"/>
        <v>2.5</v>
      </c>
      <c r="Y98" s="381">
        <v>1000</v>
      </c>
    </row>
    <row r="99" spans="1:26" x14ac:dyDescent="0.25">
      <c r="A99" s="378" t="s">
        <v>34</v>
      </c>
      <c r="B99" s="372">
        <f>B94*2</f>
        <v>0</v>
      </c>
      <c r="C99" s="373">
        <f t="shared" ref="C99:X99" si="20">C94*2</f>
        <v>4.2220000000000004</v>
      </c>
      <c r="D99" s="373">
        <f t="shared" si="20"/>
        <v>19.37</v>
      </c>
      <c r="E99" s="373">
        <f t="shared" si="20"/>
        <v>50</v>
      </c>
      <c r="F99" s="373">
        <f t="shared" si="20"/>
        <v>31.475999999999999</v>
      </c>
      <c r="G99" s="373">
        <f t="shared" si="20"/>
        <v>24.943999999999999</v>
      </c>
      <c r="H99" s="373">
        <f t="shared" si="20"/>
        <v>21.34</v>
      </c>
      <c r="I99" s="373">
        <f t="shared" si="20"/>
        <v>19.425999999999998</v>
      </c>
      <c r="J99" s="373">
        <f t="shared" si="20"/>
        <v>18.356000000000002</v>
      </c>
      <c r="K99" s="373">
        <f t="shared" si="20"/>
        <v>17.792000000000002</v>
      </c>
      <c r="L99" s="373">
        <f t="shared" si="20"/>
        <v>17.850000000000001</v>
      </c>
      <c r="M99" s="373">
        <f t="shared" si="20"/>
        <v>17.398</v>
      </c>
      <c r="N99" s="373">
        <f t="shared" si="20"/>
        <v>16.103999999999999</v>
      </c>
      <c r="O99" s="373">
        <f t="shared" si="20"/>
        <v>13.907999999999999</v>
      </c>
      <c r="P99" s="373">
        <f t="shared" si="20"/>
        <v>2.14</v>
      </c>
      <c r="Q99" s="373">
        <f t="shared" si="20"/>
        <v>0</v>
      </c>
      <c r="R99" s="373">
        <f t="shared" si="20"/>
        <v>0</v>
      </c>
      <c r="S99" s="373">
        <f t="shared" si="20"/>
        <v>0</v>
      </c>
      <c r="T99" s="373">
        <f t="shared" si="20"/>
        <v>0</v>
      </c>
      <c r="U99" s="373">
        <f t="shared" si="20"/>
        <v>0</v>
      </c>
      <c r="V99" s="373">
        <f t="shared" si="20"/>
        <v>0</v>
      </c>
      <c r="W99" s="373">
        <f t="shared" si="20"/>
        <v>0</v>
      </c>
      <c r="X99" s="373">
        <f t="shared" si="20"/>
        <v>0</v>
      </c>
      <c r="Y99" s="382">
        <v>0</v>
      </c>
    </row>
    <row r="100" spans="1:26" ht="13" thickBot="1" x14ac:dyDescent="0.3">
      <c r="A100" s="379" t="s">
        <v>117</v>
      </c>
      <c r="B100" s="374">
        <f t="shared" ref="B100:X100" si="21">(C99+B99)*(C98-B98)/2</f>
        <v>8.4440000000000015E-2</v>
      </c>
      <c r="C100" s="375">
        <f t="shared" si="21"/>
        <v>0.89649600000000018</v>
      </c>
      <c r="D100" s="375">
        <f t="shared" si="21"/>
        <v>3.3644449999999999</v>
      </c>
      <c r="E100" s="375">
        <f t="shared" si="21"/>
        <v>2.973873999999999</v>
      </c>
      <c r="F100" s="375">
        <f t="shared" si="21"/>
        <v>1.2130300000000012</v>
      </c>
      <c r="G100" s="375">
        <f t="shared" si="21"/>
        <v>0.9256799999999995</v>
      </c>
      <c r="H100" s="375">
        <f t="shared" si="21"/>
        <v>1.0395329999999998</v>
      </c>
      <c r="I100" s="375">
        <f t="shared" si="21"/>
        <v>1.416825</v>
      </c>
      <c r="J100" s="375">
        <f t="shared" si="21"/>
        <v>1.8435479999999997</v>
      </c>
      <c r="K100" s="375">
        <f t="shared" si="21"/>
        <v>19.852594000000003</v>
      </c>
      <c r="L100" s="375">
        <f t="shared" si="21"/>
        <v>2.0267599999999999</v>
      </c>
      <c r="M100" s="375">
        <f t="shared" si="21"/>
        <v>1.5243409999999993</v>
      </c>
      <c r="N100" s="375">
        <f t="shared" si="21"/>
        <v>0.87034800000000079</v>
      </c>
      <c r="O100" s="375">
        <f t="shared" si="21"/>
        <v>1.8535439999999987</v>
      </c>
      <c r="P100" s="375">
        <f t="shared" si="21"/>
        <v>3.8520000000000033E-2</v>
      </c>
      <c r="Q100" s="375">
        <f t="shared" si="21"/>
        <v>0</v>
      </c>
      <c r="R100" s="375">
        <f t="shared" si="21"/>
        <v>0</v>
      </c>
      <c r="S100" s="375">
        <f t="shared" si="21"/>
        <v>0</v>
      </c>
      <c r="T100" s="375">
        <f t="shared" si="21"/>
        <v>0</v>
      </c>
      <c r="U100" s="375">
        <f t="shared" si="21"/>
        <v>0</v>
      </c>
      <c r="V100" s="375">
        <f t="shared" si="21"/>
        <v>0</v>
      </c>
      <c r="W100" s="375">
        <f t="shared" si="21"/>
        <v>0</v>
      </c>
      <c r="X100" s="375">
        <f t="shared" si="21"/>
        <v>0</v>
      </c>
      <c r="Y100" s="369"/>
    </row>
    <row r="101" spans="1:26" ht="13" thickBot="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6" ht="13.5" thickBot="1" x14ac:dyDescent="0.35">
      <c r="A102" s="361" t="s">
        <v>540</v>
      </c>
      <c r="B102" s="359">
        <f>ROW(A102)</f>
        <v>102</v>
      </c>
      <c r="C102" s="363" t="s">
        <v>116</v>
      </c>
      <c r="D102" s="353">
        <f>SUM(B105:Y105)</f>
        <v>59.885967000000008</v>
      </c>
      <c r="E102" s="363" t="s">
        <v>115</v>
      </c>
      <c r="F102" s="354">
        <f>D102/g/J102</f>
        <v>118.30588744280874</v>
      </c>
      <c r="G102" s="363" t="s">
        <v>57</v>
      </c>
      <c r="H102" s="64">
        <f>H92*3</f>
        <v>8.4599999999999995E-2</v>
      </c>
      <c r="I102" s="363" t="s">
        <v>270</v>
      </c>
      <c r="J102" s="355">
        <f>H102-L102</f>
        <v>5.1599999999999993E-2</v>
      </c>
      <c r="K102" s="363" t="s">
        <v>271</v>
      </c>
      <c r="L102" s="64">
        <f>L92*3</f>
        <v>3.3000000000000002E-2</v>
      </c>
      <c r="M102" s="363" t="s">
        <v>58</v>
      </c>
      <c r="N102" s="65">
        <v>30</v>
      </c>
      <c r="O102" s="363" t="s">
        <v>60</v>
      </c>
      <c r="P102" s="65">
        <v>30</v>
      </c>
      <c r="Q102" s="363" t="s">
        <v>61</v>
      </c>
      <c r="R102" s="65">
        <v>70</v>
      </c>
      <c r="S102" s="363" t="s">
        <v>62</v>
      </c>
      <c r="T102" s="65">
        <v>40</v>
      </c>
      <c r="U102" s="363" t="s">
        <v>55</v>
      </c>
      <c r="V102" s="66" t="s">
        <v>401</v>
      </c>
      <c r="W102" s="463" t="s">
        <v>394</v>
      </c>
      <c r="X102" s="465">
        <v>2.1</v>
      </c>
      <c r="Y102" s="463" t="s">
        <v>393</v>
      </c>
      <c r="Z102" s="358">
        <v>7</v>
      </c>
    </row>
    <row r="103" spans="1:26" x14ac:dyDescent="0.25">
      <c r="A103" s="362" t="s">
        <v>33</v>
      </c>
      <c r="B103" s="370">
        <v>0</v>
      </c>
      <c r="C103" s="371">
        <f>C93</f>
        <v>0.04</v>
      </c>
      <c r="D103" s="371">
        <f t="shared" ref="D103:X103" si="22">D93</f>
        <v>0.11600000000000001</v>
      </c>
      <c r="E103" s="371">
        <f t="shared" si="22"/>
        <v>0.21299999999999999</v>
      </c>
      <c r="F103" s="371">
        <f t="shared" si="22"/>
        <v>0.28599999999999998</v>
      </c>
      <c r="G103" s="371">
        <f t="shared" si="22"/>
        <v>0.32900000000000001</v>
      </c>
      <c r="H103" s="371">
        <f t="shared" si="22"/>
        <v>0.36899999999999999</v>
      </c>
      <c r="I103" s="371">
        <f t="shared" si="22"/>
        <v>0.42</v>
      </c>
      <c r="J103" s="371">
        <f t="shared" si="22"/>
        <v>0.495</v>
      </c>
      <c r="K103" s="371">
        <f t="shared" si="22"/>
        <v>0.59699999999999998</v>
      </c>
      <c r="L103" s="371">
        <f t="shared" si="22"/>
        <v>1.7110000000000001</v>
      </c>
      <c r="M103" s="371">
        <f t="shared" si="22"/>
        <v>1.8260000000000001</v>
      </c>
      <c r="N103" s="371">
        <f t="shared" si="22"/>
        <v>1.917</v>
      </c>
      <c r="O103" s="371">
        <f t="shared" si="22"/>
        <v>1.9750000000000001</v>
      </c>
      <c r="P103" s="371">
        <f t="shared" si="22"/>
        <v>2.206</v>
      </c>
      <c r="Q103" s="371">
        <f t="shared" si="22"/>
        <v>2.242</v>
      </c>
      <c r="R103" s="371">
        <f t="shared" si="22"/>
        <v>2.5</v>
      </c>
      <c r="S103" s="371">
        <f t="shared" si="22"/>
        <v>2.5</v>
      </c>
      <c r="T103" s="371">
        <f t="shared" si="22"/>
        <v>2.5</v>
      </c>
      <c r="U103" s="371">
        <f t="shared" si="22"/>
        <v>2.5</v>
      </c>
      <c r="V103" s="371">
        <f t="shared" si="22"/>
        <v>2.5</v>
      </c>
      <c r="W103" s="371">
        <f t="shared" si="22"/>
        <v>2.5</v>
      </c>
      <c r="X103" s="371">
        <f t="shared" si="22"/>
        <v>2.5</v>
      </c>
      <c r="Y103" s="381">
        <v>1000</v>
      </c>
    </row>
    <row r="104" spans="1:26" x14ac:dyDescent="0.25">
      <c r="A104" s="378" t="s">
        <v>34</v>
      </c>
      <c r="B104" s="372">
        <f>B94*3</f>
        <v>0</v>
      </c>
      <c r="C104" s="373">
        <f t="shared" ref="C104:X104" si="23">C94*3</f>
        <v>6.3330000000000002</v>
      </c>
      <c r="D104" s="373">
        <f t="shared" si="23"/>
        <v>29.055</v>
      </c>
      <c r="E104" s="373">
        <f t="shared" si="23"/>
        <v>75</v>
      </c>
      <c r="F104" s="373">
        <f t="shared" si="23"/>
        <v>47.213999999999999</v>
      </c>
      <c r="G104" s="373">
        <f t="shared" si="23"/>
        <v>37.415999999999997</v>
      </c>
      <c r="H104" s="373">
        <f t="shared" si="23"/>
        <v>32.01</v>
      </c>
      <c r="I104" s="373">
        <f t="shared" si="23"/>
        <v>29.138999999999996</v>
      </c>
      <c r="J104" s="373">
        <f t="shared" si="23"/>
        <v>27.534000000000002</v>
      </c>
      <c r="K104" s="373">
        <f t="shared" si="23"/>
        <v>26.688000000000002</v>
      </c>
      <c r="L104" s="373">
        <f t="shared" si="23"/>
        <v>26.775000000000002</v>
      </c>
      <c r="M104" s="373">
        <f t="shared" si="23"/>
        <v>26.097000000000001</v>
      </c>
      <c r="N104" s="373">
        <f t="shared" si="23"/>
        <v>24.155999999999999</v>
      </c>
      <c r="O104" s="373">
        <f t="shared" si="23"/>
        <v>20.861999999999998</v>
      </c>
      <c r="P104" s="373">
        <f t="shared" si="23"/>
        <v>3.21</v>
      </c>
      <c r="Q104" s="373">
        <f t="shared" si="23"/>
        <v>0</v>
      </c>
      <c r="R104" s="373">
        <f t="shared" si="23"/>
        <v>0</v>
      </c>
      <c r="S104" s="373">
        <f t="shared" si="23"/>
        <v>0</v>
      </c>
      <c r="T104" s="373">
        <f t="shared" si="23"/>
        <v>0</v>
      </c>
      <c r="U104" s="373">
        <f t="shared" si="23"/>
        <v>0</v>
      </c>
      <c r="V104" s="373">
        <f t="shared" si="23"/>
        <v>0</v>
      </c>
      <c r="W104" s="373">
        <f t="shared" si="23"/>
        <v>0</v>
      </c>
      <c r="X104" s="373">
        <f t="shared" si="23"/>
        <v>0</v>
      </c>
      <c r="Y104" s="382">
        <v>0</v>
      </c>
    </row>
    <row r="105" spans="1:26" ht="13" thickBot="1" x14ac:dyDescent="0.3">
      <c r="A105" s="379" t="s">
        <v>117</v>
      </c>
      <c r="B105" s="374">
        <f t="shared" ref="B105:X105" si="24">(C104+B104)*(C103-B103)/2</f>
        <v>0.12665999999999999</v>
      </c>
      <c r="C105" s="375">
        <f t="shared" si="24"/>
        <v>1.3447440000000002</v>
      </c>
      <c r="D105" s="375">
        <f t="shared" si="24"/>
        <v>5.0466674999999999</v>
      </c>
      <c r="E105" s="375">
        <f t="shared" si="24"/>
        <v>4.4608109999999987</v>
      </c>
      <c r="F105" s="375">
        <f t="shared" si="24"/>
        <v>1.8195450000000015</v>
      </c>
      <c r="G105" s="375">
        <f t="shared" si="24"/>
        <v>1.3885199999999991</v>
      </c>
      <c r="H105" s="375">
        <f t="shared" si="24"/>
        <v>1.5592994999999996</v>
      </c>
      <c r="I105" s="375">
        <f t="shared" si="24"/>
        <v>2.1252375000000003</v>
      </c>
      <c r="J105" s="375">
        <f t="shared" si="24"/>
        <v>2.7653219999999998</v>
      </c>
      <c r="K105" s="375">
        <f t="shared" si="24"/>
        <v>29.778891000000009</v>
      </c>
      <c r="L105" s="375">
        <f t="shared" si="24"/>
        <v>3.0401399999999996</v>
      </c>
      <c r="M105" s="375">
        <f t="shared" si="24"/>
        <v>2.2865114999999991</v>
      </c>
      <c r="N105" s="375">
        <f t="shared" si="24"/>
        <v>1.3055220000000012</v>
      </c>
      <c r="O105" s="375">
        <f t="shared" si="24"/>
        <v>2.7803159999999982</v>
      </c>
      <c r="P105" s="375">
        <f t="shared" si="24"/>
        <v>5.7780000000000054E-2</v>
      </c>
      <c r="Q105" s="375">
        <f t="shared" si="24"/>
        <v>0</v>
      </c>
      <c r="R105" s="375">
        <f t="shared" si="24"/>
        <v>0</v>
      </c>
      <c r="S105" s="375">
        <f t="shared" si="24"/>
        <v>0</v>
      </c>
      <c r="T105" s="375">
        <f t="shared" si="24"/>
        <v>0</v>
      </c>
      <c r="U105" s="375">
        <f t="shared" si="24"/>
        <v>0</v>
      </c>
      <c r="V105" s="375">
        <f t="shared" si="24"/>
        <v>0</v>
      </c>
      <c r="W105" s="375">
        <f t="shared" si="24"/>
        <v>0</v>
      </c>
      <c r="X105" s="375">
        <f t="shared" si="24"/>
        <v>0</v>
      </c>
      <c r="Y105" s="369"/>
    </row>
    <row r="107" spans="1:26" ht="13.5" thickBot="1" x14ac:dyDescent="0.35">
      <c r="A107" s="6" t="s">
        <v>316</v>
      </c>
    </row>
    <row r="108" spans="1:26" ht="13.5" thickBot="1" x14ac:dyDescent="0.35">
      <c r="A108" s="361" t="s">
        <v>319</v>
      </c>
      <c r="B108" s="359">
        <f>ROW(A108)</f>
        <v>108</v>
      </c>
      <c r="C108" s="363" t="s">
        <v>116</v>
      </c>
      <c r="D108" s="353">
        <f>SUM(B111:Y111)</f>
        <v>24.269519000000003</v>
      </c>
      <c r="E108" s="363" t="s">
        <v>115</v>
      </c>
      <c r="F108" s="354">
        <f>D108/g/J108</f>
        <v>154.62231778797147</v>
      </c>
      <c r="G108" s="363" t="s">
        <v>57</v>
      </c>
      <c r="H108" s="64">
        <v>5.1999999999999998E-2</v>
      </c>
      <c r="I108" s="363" t="s">
        <v>270</v>
      </c>
      <c r="J108" s="355">
        <f>H108-L108</f>
        <v>1.6E-2</v>
      </c>
      <c r="K108" s="363" t="s">
        <v>271</v>
      </c>
      <c r="L108" s="64">
        <v>3.5999999999999997E-2</v>
      </c>
      <c r="M108" s="363" t="s">
        <v>58</v>
      </c>
      <c r="N108" s="396">
        <v>35</v>
      </c>
      <c r="O108" s="363" t="s">
        <v>60</v>
      </c>
      <c r="P108" s="396">
        <v>35</v>
      </c>
      <c r="Q108" s="363" t="s">
        <v>61</v>
      </c>
      <c r="R108" s="65">
        <v>69</v>
      </c>
      <c r="S108" s="363" t="s">
        <v>62</v>
      </c>
      <c r="T108" s="65">
        <v>24</v>
      </c>
      <c r="U108" s="363" t="s">
        <v>55</v>
      </c>
      <c r="V108" s="66" t="s">
        <v>399</v>
      </c>
      <c r="W108" s="463" t="s">
        <v>394</v>
      </c>
      <c r="X108" s="465">
        <v>1</v>
      </c>
      <c r="Y108" s="463" t="s">
        <v>393</v>
      </c>
      <c r="Z108" s="358">
        <v>13</v>
      </c>
    </row>
    <row r="109" spans="1:26" x14ac:dyDescent="0.25">
      <c r="A109" s="362" t="s">
        <v>33</v>
      </c>
      <c r="B109" s="370">
        <v>0</v>
      </c>
      <c r="C109" s="371">
        <v>8.0000000000000002E-3</v>
      </c>
      <c r="D109" s="371">
        <v>2.5999999999999999E-2</v>
      </c>
      <c r="E109" s="371">
        <v>3.7999999999999999E-2</v>
      </c>
      <c r="F109" s="371">
        <v>6.7000000000000004E-2</v>
      </c>
      <c r="G109" s="371">
        <v>0.10100000000000001</v>
      </c>
      <c r="H109" s="371">
        <v>0.33</v>
      </c>
      <c r="I109" s="371">
        <v>0.52800000000000002</v>
      </c>
      <c r="J109" s="371">
        <v>0.71599999999999997</v>
      </c>
      <c r="K109" s="371">
        <v>0.84099999999999997</v>
      </c>
      <c r="L109" s="371">
        <v>0.91200000000000003</v>
      </c>
      <c r="M109" s="371">
        <v>0.98699999999999999</v>
      </c>
      <c r="N109" s="371">
        <v>1.016</v>
      </c>
      <c r="O109" s="371">
        <v>1.0649999999999999</v>
      </c>
      <c r="P109" s="371">
        <v>1.087</v>
      </c>
      <c r="Q109" s="371">
        <v>2</v>
      </c>
      <c r="R109" s="371">
        <v>2</v>
      </c>
      <c r="S109" s="371">
        <v>2</v>
      </c>
      <c r="T109" s="371">
        <v>2</v>
      </c>
      <c r="U109" s="371">
        <v>2</v>
      </c>
      <c r="V109" s="371">
        <v>2</v>
      </c>
      <c r="W109" s="371">
        <v>2</v>
      </c>
      <c r="X109" s="371">
        <v>2</v>
      </c>
      <c r="Y109" s="381">
        <v>1000</v>
      </c>
    </row>
    <row r="110" spans="1:26" x14ac:dyDescent="0.25">
      <c r="A110" s="378" t="s">
        <v>34</v>
      </c>
      <c r="B110" s="372">
        <v>0</v>
      </c>
      <c r="C110" s="373">
        <v>18.292000000000002</v>
      </c>
      <c r="D110" s="373">
        <v>30</v>
      </c>
      <c r="E110" s="373">
        <v>30.792000000000002</v>
      </c>
      <c r="F110" s="373">
        <v>18.707999999999998</v>
      </c>
      <c r="G110" s="373">
        <v>21.875</v>
      </c>
      <c r="H110" s="373">
        <v>26.082999999999998</v>
      </c>
      <c r="I110" s="373">
        <v>28.042000000000002</v>
      </c>
      <c r="J110" s="373">
        <v>27.875</v>
      </c>
      <c r="K110" s="373">
        <v>23.542000000000002</v>
      </c>
      <c r="L110" s="373">
        <v>17.832999999999998</v>
      </c>
      <c r="M110" s="373">
        <v>7</v>
      </c>
      <c r="N110" s="373">
        <v>3.3330000000000002</v>
      </c>
      <c r="O110" s="373">
        <v>1.083</v>
      </c>
      <c r="P110" s="373">
        <v>0</v>
      </c>
      <c r="Q110" s="373">
        <v>0</v>
      </c>
      <c r="R110" s="373">
        <v>0</v>
      </c>
      <c r="S110" s="373">
        <v>0</v>
      </c>
      <c r="T110" s="373">
        <f>S110</f>
        <v>0</v>
      </c>
      <c r="U110" s="373">
        <f>T110</f>
        <v>0</v>
      </c>
      <c r="V110" s="373">
        <f>U110</f>
        <v>0</v>
      </c>
      <c r="W110" s="373">
        <f>V110</f>
        <v>0</v>
      </c>
      <c r="X110" s="373">
        <f>W110</f>
        <v>0</v>
      </c>
      <c r="Y110" s="382">
        <v>0</v>
      </c>
    </row>
    <row r="111" spans="1:26" ht="13" thickBot="1" x14ac:dyDescent="0.3">
      <c r="A111" s="379" t="s">
        <v>117</v>
      </c>
      <c r="B111" s="374">
        <f t="shared" ref="B111:V111" si="25">(C110+B110)*(C109-B109)/2</f>
        <v>7.3168000000000011E-2</v>
      </c>
      <c r="C111" s="375">
        <f t="shared" si="25"/>
        <v>0.43462799999999996</v>
      </c>
      <c r="D111" s="375">
        <f t="shared" si="25"/>
        <v>0.36475200000000002</v>
      </c>
      <c r="E111" s="375">
        <f t="shared" si="25"/>
        <v>0.71775000000000011</v>
      </c>
      <c r="F111" s="375">
        <f t="shared" si="25"/>
        <v>0.68991100000000005</v>
      </c>
      <c r="G111" s="375">
        <f t="shared" si="25"/>
        <v>5.4911909999999997</v>
      </c>
      <c r="H111" s="375">
        <f t="shared" si="25"/>
        <v>5.3583750000000006</v>
      </c>
      <c r="I111" s="375">
        <f t="shared" si="25"/>
        <v>5.2561979999999986</v>
      </c>
      <c r="J111" s="375">
        <f>(K110+J110)*(K109-J109)/2</f>
        <v>3.2135625000000001</v>
      </c>
      <c r="K111" s="375">
        <f t="shared" si="25"/>
        <v>1.4688125000000014</v>
      </c>
      <c r="L111" s="375">
        <f t="shared" si="25"/>
        <v>0.93123749999999939</v>
      </c>
      <c r="M111" s="375">
        <f t="shared" si="25"/>
        <v>0.14982850000000014</v>
      </c>
      <c r="N111" s="375">
        <f t="shared" si="25"/>
        <v>0.10819199999999986</v>
      </c>
      <c r="O111" s="375">
        <f t="shared" si="25"/>
        <v>1.191300000000001E-2</v>
      </c>
      <c r="P111" s="375">
        <f t="shared" si="25"/>
        <v>0</v>
      </c>
      <c r="Q111" s="375">
        <f t="shared" si="25"/>
        <v>0</v>
      </c>
      <c r="R111" s="375">
        <f t="shared" si="25"/>
        <v>0</v>
      </c>
      <c r="S111" s="375">
        <f>(T110+S110)*(T109-S109)/2</f>
        <v>0</v>
      </c>
      <c r="T111" s="375">
        <f t="shared" si="25"/>
        <v>0</v>
      </c>
      <c r="U111" s="375">
        <f t="shared" si="25"/>
        <v>0</v>
      </c>
      <c r="V111" s="375">
        <f t="shared" si="25"/>
        <v>0</v>
      </c>
      <c r="W111" s="375">
        <f>(X110+W110)*(X109-W109)/2</f>
        <v>0</v>
      </c>
      <c r="X111" s="375">
        <f>(Y110+X110)*(Y109-X109)/2</f>
        <v>0</v>
      </c>
      <c r="Y111" s="369"/>
    </row>
    <row r="112" spans="1:26" ht="13" thickBot="1" x14ac:dyDescent="0.3"/>
    <row r="113" spans="1:26" ht="13.5" thickBot="1" x14ac:dyDescent="0.35">
      <c r="A113" s="361" t="s">
        <v>417</v>
      </c>
      <c r="B113" s="359">
        <f>ROW(A113)</f>
        <v>113</v>
      </c>
      <c r="C113" s="363" t="s">
        <v>116</v>
      </c>
      <c r="D113" s="353">
        <f>SUM(B116:Y116)</f>
        <v>24.488898000000002</v>
      </c>
      <c r="E113" s="363" t="s">
        <v>115</v>
      </c>
      <c r="F113" s="354">
        <f>D113/g/J113</f>
        <v>121.771701350041</v>
      </c>
      <c r="G113" s="363" t="s">
        <v>57</v>
      </c>
      <c r="H113" s="64">
        <v>5.6500000000000002E-2</v>
      </c>
      <c r="I113" s="363" t="s">
        <v>270</v>
      </c>
      <c r="J113" s="355">
        <f>H113-L113</f>
        <v>2.0500000000000004E-2</v>
      </c>
      <c r="K113" s="363" t="s">
        <v>271</v>
      </c>
      <c r="L113" s="64">
        <v>3.5999999999999997E-2</v>
      </c>
      <c r="M113" s="363" t="s">
        <v>58</v>
      </c>
      <c r="N113" s="396">
        <v>35</v>
      </c>
      <c r="O113" s="363" t="s">
        <v>60</v>
      </c>
      <c r="P113" s="396">
        <v>35</v>
      </c>
      <c r="Q113" s="363" t="s">
        <v>61</v>
      </c>
      <c r="R113" s="65">
        <v>69</v>
      </c>
      <c r="S113" s="363" t="s">
        <v>62</v>
      </c>
      <c r="T113" s="65">
        <v>24</v>
      </c>
      <c r="U113" s="363" t="s">
        <v>55</v>
      </c>
      <c r="V113" s="66" t="s">
        <v>400</v>
      </c>
      <c r="W113" s="463" t="s">
        <v>394</v>
      </c>
      <c r="X113" s="465">
        <v>0.33</v>
      </c>
      <c r="Y113" s="463" t="s">
        <v>393</v>
      </c>
      <c r="Z113" s="358">
        <v>17</v>
      </c>
    </row>
    <row r="114" spans="1:26" x14ac:dyDescent="0.25">
      <c r="A114" s="362" t="s">
        <v>33</v>
      </c>
      <c r="B114" s="370">
        <v>0</v>
      </c>
      <c r="C114" s="371">
        <v>8.9999999999999993E-3</v>
      </c>
      <c r="D114" s="371">
        <v>1.2E-2</v>
      </c>
      <c r="E114" s="371">
        <v>2.3E-2</v>
      </c>
      <c r="F114" s="371">
        <v>2.7E-2</v>
      </c>
      <c r="G114" s="371">
        <v>4.7E-2</v>
      </c>
      <c r="H114" s="371">
        <v>9.1999999999999998E-2</v>
      </c>
      <c r="I114" s="371">
        <v>0.11799999999999999</v>
      </c>
      <c r="J114" s="371">
        <v>0.14099999999999999</v>
      </c>
      <c r="K114" s="371">
        <v>0.192</v>
      </c>
      <c r="L114" s="371">
        <v>0.222</v>
      </c>
      <c r="M114" s="371">
        <v>0.25</v>
      </c>
      <c r="N114" s="371">
        <v>0.26</v>
      </c>
      <c r="O114" s="371">
        <v>0.28100000000000003</v>
      </c>
      <c r="P114" s="371">
        <v>0.28699999999999998</v>
      </c>
      <c r="Q114" s="371">
        <v>0.30599999999999999</v>
      </c>
      <c r="R114" s="371">
        <v>0.314</v>
      </c>
      <c r="S114" s="371">
        <v>0.32600000000000001</v>
      </c>
      <c r="T114" s="371">
        <v>0.32900000000000001</v>
      </c>
      <c r="U114" s="371">
        <v>0.5</v>
      </c>
      <c r="V114" s="371">
        <v>1</v>
      </c>
      <c r="W114" s="371">
        <v>2</v>
      </c>
      <c r="X114" s="371">
        <v>2</v>
      </c>
      <c r="Y114" s="381">
        <v>1000</v>
      </c>
    </row>
    <row r="115" spans="1:26" x14ac:dyDescent="0.25">
      <c r="A115" s="378" t="s">
        <v>34</v>
      </c>
      <c r="B115" s="372">
        <v>0</v>
      </c>
      <c r="C115" s="373">
        <v>84.212999999999994</v>
      </c>
      <c r="D115" s="373">
        <v>95.099000000000004</v>
      </c>
      <c r="E115" s="373">
        <v>77.08</v>
      </c>
      <c r="F115" s="373">
        <v>68.697000000000003</v>
      </c>
      <c r="G115" s="373">
        <v>73.451999999999998</v>
      </c>
      <c r="H115" s="373">
        <v>81.834999999999994</v>
      </c>
      <c r="I115" s="373">
        <v>83.837000000000003</v>
      </c>
      <c r="J115" s="373">
        <v>86.465000000000003</v>
      </c>
      <c r="K115" s="373">
        <v>86.965999999999994</v>
      </c>
      <c r="L115" s="373">
        <v>85.338999999999999</v>
      </c>
      <c r="M115" s="373">
        <v>80.082999999999998</v>
      </c>
      <c r="N115" s="373">
        <v>78.331999999999994</v>
      </c>
      <c r="O115" s="373">
        <v>82.960999999999999</v>
      </c>
      <c r="P115" s="373">
        <v>78.206000000000003</v>
      </c>
      <c r="Q115" s="373">
        <v>24.776</v>
      </c>
      <c r="R115" s="373">
        <v>14.14</v>
      </c>
      <c r="S115" s="373">
        <v>8.5090000000000003</v>
      </c>
      <c r="T115" s="373">
        <v>0</v>
      </c>
      <c r="U115" s="373">
        <f>T115</f>
        <v>0</v>
      </c>
      <c r="V115" s="373">
        <f>U115</f>
        <v>0</v>
      </c>
      <c r="W115" s="373">
        <f>V115</f>
        <v>0</v>
      </c>
      <c r="X115" s="373">
        <f>W115</f>
        <v>0</v>
      </c>
      <c r="Y115" s="382">
        <v>0</v>
      </c>
    </row>
    <row r="116" spans="1:26" ht="13" thickBot="1" x14ac:dyDescent="0.3">
      <c r="A116" s="379" t="s">
        <v>117</v>
      </c>
      <c r="B116" s="374">
        <f t="shared" ref="B116:V116" si="26">(C115+B115)*(C114-B114)/2</f>
        <v>0.37895849999999992</v>
      </c>
      <c r="C116" s="375">
        <f t="shared" si="26"/>
        <v>0.2689680000000001</v>
      </c>
      <c r="D116" s="375">
        <f t="shared" si="26"/>
        <v>0.94698450000000001</v>
      </c>
      <c r="E116" s="375">
        <f t="shared" si="26"/>
        <v>0.29155399999999998</v>
      </c>
      <c r="F116" s="375">
        <f t="shared" si="26"/>
        <v>1.4214900000000001</v>
      </c>
      <c r="G116" s="375">
        <f t="shared" si="26"/>
        <v>3.4939574999999992</v>
      </c>
      <c r="H116" s="375">
        <f t="shared" si="26"/>
        <v>2.1537359999999994</v>
      </c>
      <c r="I116" s="375">
        <f t="shared" si="26"/>
        <v>1.9584729999999997</v>
      </c>
      <c r="J116" s="375">
        <f>(K115+J115)*(K114-J114)/2</f>
        <v>4.4224905000000012</v>
      </c>
      <c r="K116" s="375">
        <f t="shared" si="26"/>
        <v>2.5845750000000001</v>
      </c>
      <c r="L116" s="375">
        <f t="shared" si="26"/>
        <v>2.3159079999999999</v>
      </c>
      <c r="M116" s="375">
        <f t="shared" si="26"/>
        <v>0.79207500000000064</v>
      </c>
      <c r="N116" s="375">
        <f t="shared" si="26"/>
        <v>1.6935765000000016</v>
      </c>
      <c r="O116" s="375">
        <f t="shared" si="26"/>
        <v>0.48350099999999596</v>
      </c>
      <c r="P116" s="375">
        <f t="shared" si="26"/>
        <v>0.97832900000000089</v>
      </c>
      <c r="Q116" s="375">
        <f t="shared" si="26"/>
        <v>0.15566400000000014</v>
      </c>
      <c r="R116" s="375">
        <f t="shared" si="26"/>
        <v>0.13589400000000013</v>
      </c>
      <c r="S116" s="375">
        <f>(T115+S115)*(T114-S114)/2</f>
        <v>1.2763500000000013E-2</v>
      </c>
      <c r="T116" s="375">
        <f t="shared" si="26"/>
        <v>0</v>
      </c>
      <c r="U116" s="375">
        <f t="shared" si="26"/>
        <v>0</v>
      </c>
      <c r="V116" s="375">
        <f t="shared" si="26"/>
        <v>0</v>
      </c>
      <c r="W116" s="375">
        <f>(X115+W115)*(X114-W114)/2</f>
        <v>0</v>
      </c>
      <c r="X116" s="375">
        <f>(Y115+X115)*(Y114-X114)/2</f>
        <v>0</v>
      </c>
      <c r="Y116" s="369"/>
    </row>
    <row r="117" spans="1:26" ht="13" thickBot="1" x14ac:dyDescent="0.3"/>
    <row r="118" spans="1:26" ht="13.5" thickBot="1" x14ac:dyDescent="0.35">
      <c r="A118" s="361" t="s">
        <v>320</v>
      </c>
      <c r="B118" s="359">
        <f>ROW(A118)</f>
        <v>118</v>
      </c>
      <c r="C118" s="363" t="s">
        <v>116</v>
      </c>
      <c r="D118" s="353">
        <f>SUM(B121:Y121)</f>
        <v>26.083982500000001</v>
      </c>
      <c r="E118" s="363" t="s">
        <v>115</v>
      </c>
      <c r="F118" s="354">
        <f>D118/g/J118</f>
        <v>166.18235537716615</v>
      </c>
      <c r="G118" s="363" t="s">
        <v>57</v>
      </c>
      <c r="H118" s="64">
        <v>5.1999999999999998E-2</v>
      </c>
      <c r="I118" s="363" t="s">
        <v>270</v>
      </c>
      <c r="J118" s="355">
        <f>H118-L118</f>
        <v>1.6E-2</v>
      </c>
      <c r="K118" s="363" t="s">
        <v>271</v>
      </c>
      <c r="L118" s="64">
        <v>3.5999999999999997E-2</v>
      </c>
      <c r="M118" s="363" t="s">
        <v>58</v>
      </c>
      <c r="N118" s="396">
        <v>35</v>
      </c>
      <c r="O118" s="363" t="s">
        <v>60</v>
      </c>
      <c r="P118" s="396">
        <v>35</v>
      </c>
      <c r="Q118" s="363" t="s">
        <v>61</v>
      </c>
      <c r="R118" s="65">
        <v>69</v>
      </c>
      <c r="S118" s="363" t="s">
        <v>62</v>
      </c>
      <c r="T118" s="65">
        <v>24</v>
      </c>
      <c r="U118" s="363" t="s">
        <v>55</v>
      </c>
      <c r="V118" s="66" t="s">
        <v>399</v>
      </c>
      <c r="W118" s="463" t="s">
        <v>394</v>
      </c>
      <c r="X118" s="465">
        <v>0.85</v>
      </c>
      <c r="Y118" s="463" t="s">
        <v>393</v>
      </c>
      <c r="Z118" s="358">
        <v>15</v>
      </c>
    </row>
    <row r="119" spans="1:26" x14ac:dyDescent="0.25">
      <c r="A119" s="362" t="s">
        <v>33</v>
      </c>
      <c r="B119" s="370">
        <v>0</v>
      </c>
      <c r="C119" s="371">
        <v>0.02</v>
      </c>
      <c r="D119" s="371">
        <v>2.7E-2</v>
      </c>
      <c r="E119" s="371">
        <v>4.9000000000000002E-2</v>
      </c>
      <c r="F119" s="371">
        <v>0.113</v>
      </c>
      <c r="G119" s="371">
        <v>0.193</v>
      </c>
      <c r="H119" s="371">
        <v>0.28199999999999997</v>
      </c>
      <c r="I119" s="371">
        <v>0.5</v>
      </c>
      <c r="J119" s="371">
        <v>0.72699999999999998</v>
      </c>
      <c r="K119" s="371">
        <v>0.77100000000000002</v>
      </c>
      <c r="L119" s="371">
        <v>0.80700000000000005</v>
      </c>
      <c r="M119" s="371">
        <v>0.84</v>
      </c>
      <c r="N119" s="371">
        <v>0.87</v>
      </c>
      <c r="O119" s="371">
        <v>1</v>
      </c>
      <c r="P119" s="371">
        <v>1</v>
      </c>
      <c r="Q119" s="371">
        <v>1</v>
      </c>
      <c r="R119" s="371">
        <v>1</v>
      </c>
      <c r="S119" s="371">
        <v>1</v>
      </c>
      <c r="T119" s="371">
        <v>1</v>
      </c>
      <c r="U119" s="371">
        <v>1</v>
      </c>
      <c r="V119" s="371">
        <v>1</v>
      </c>
      <c r="W119" s="371">
        <v>1</v>
      </c>
      <c r="X119" s="371">
        <v>2</v>
      </c>
      <c r="Y119" s="381">
        <v>1000</v>
      </c>
    </row>
    <row r="120" spans="1:26" x14ac:dyDescent="0.25">
      <c r="A120" s="378" t="s">
        <v>34</v>
      </c>
      <c r="B120" s="372">
        <v>0</v>
      </c>
      <c r="C120" s="373">
        <v>43.823999999999998</v>
      </c>
      <c r="D120" s="373">
        <v>39.963999999999999</v>
      </c>
      <c r="E120" s="373">
        <v>26.780999999999999</v>
      </c>
      <c r="F120" s="373">
        <v>32.600999999999999</v>
      </c>
      <c r="G120" s="373">
        <v>34.738999999999997</v>
      </c>
      <c r="H120" s="373">
        <v>35.808</v>
      </c>
      <c r="I120" s="373">
        <v>34.442</v>
      </c>
      <c r="J120" s="373">
        <v>29.276</v>
      </c>
      <c r="K120" s="373">
        <v>22.742999999999999</v>
      </c>
      <c r="L120" s="373">
        <v>9.5609999999999999</v>
      </c>
      <c r="M120" s="373">
        <v>3.5630000000000002</v>
      </c>
      <c r="N120" s="373">
        <v>0</v>
      </c>
      <c r="O120" s="373">
        <v>0</v>
      </c>
      <c r="P120" s="373">
        <v>0</v>
      </c>
      <c r="Q120" s="373">
        <v>0</v>
      </c>
      <c r="R120" s="373">
        <v>0</v>
      </c>
      <c r="S120" s="373">
        <v>0</v>
      </c>
      <c r="T120" s="373">
        <f>S120</f>
        <v>0</v>
      </c>
      <c r="U120" s="373">
        <f>T120</f>
        <v>0</v>
      </c>
      <c r="V120" s="373">
        <f>U120</f>
        <v>0</v>
      </c>
      <c r="W120" s="373">
        <f>V120</f>
        <v>0</v>
      </c>
      <c r="X120" s="373">
        <f>W120</f>
        <v>0</v>
      </c>
      <c r="Y120" s="382">
        <v>0</v>
      </c>
    </row>
    <row r="121" spans="1:26" ht="13" thickBot="1" x14ac:dyDescent="0.3">
      <c r="A121" s="379" t="s">
        <v>117</v>
      </c>
      <c r="B121" s="374">
        <f t="shared" ref="B121:V121" si="27">(C120+B120)*(C119-B119)/2</f>
        <v>0.43823999999999996</v>
      </c>
      <c r="C121" s="375">
        <f t="shared" si="27"/>
        <v>0.29325799999999996</v>
      </c>
      <c r="D121" s="375">
        <f t="shared" si="27"/>
        <v>0.73419500000000015</v>
      </c>
      <c r="E121" s="375">
        <f t="shared" si="27"/>
        <v>1.9002239999999999</v>
      </c>
      <c r="F121" s="375">
        <f t="shared" si="27"/>
        <v>2.6936</v>
      </c>
      <c r="G121" s="375">
        <f t="shared" si="27"/>
        <v>3.1393414999999987</v>
      </c>
      <c r="H121" s="375">
        <f t="shared" si="27"/>
        <v>7.6572500000000012</v>
      </c>
      <c r="I121" s="375">
        <f t="shared" si="27"/>
        <v>7.2319930000000001</v>
      </c>
      <c r="J121" s="375">
        <f>(K120+J120)*(K119-J119)/2</f>
        <v>1.144418000000001</v>
      </c>
      <c r="K121" s="375">
        <f t="shared" si="27"/>
        <v>0.58147200000000054</v>
      </c>
      <c r="L121" s="375">
        <f t="shared" si="27"/>
        <v>0.21654599999999946</v>
      </c>
      <c r="M121" s="375">
        <f t="shared" si="27"/>
        <v>5.3445000000000048E-2</v>
      </c>
      <c r="N121" s="375">
        <f t="shared" si="27"/>
        <v>0</v>
      </c>
      <c r="O121" s="375">
        <f t="shared" si="27"/>
        <v>0</v>
      </c>
      <c r="P121" s="375">
        <f t="shared" si="27"/>
        <v>0</v>
      </c>
      <c r="Q121" s="375">
        <f t="shared" si="27"/>
        <v>0</v>
      </c>
      <c r="R121" s="375">
        <f t="shared" si="27"/>
        <v>0</v>
      </c>
      <c r="S121" s="375">
        <f>(T120+S120)*(T119-S119)/2</f>
        <v>0</v>
      </c>
      <c r="T121" s="375">
        <f t="shared" si="27"/>
        <v>0</v>
      </c>
      <c r="U121" s="375">
        <f t="shared" si="27"/>
        <v>0</v>
      </c>
      <c r="V121" s="375">
        <f t="shared" si="27"/>
        <v>0</v>
      </c>
      <c r="W121" s="375">
        <f>(X120+W120)*(X119-W119)/2</f>
        <v>0</v>
      </c>
      <c r="X121" s="375">
        <f>(Y120+X120)*(Y119-X119)/2</f>
        <v>0</v>
      </c>
      <c r="Y121" s="369"/>
    </row>
    <row r="122" spans="1:26" ht="13.5" thickBot="1" x14ac:dyDescent="0.35">
      <c r="A122" s="6" t="s">
        <v>389</v>
      </c>
    </row>
    <row r="123" spans="1:26" ht="13.5" thickBot="1" x14ac:dyDescent="0.35">
      <c r="A123" s="361" t="s">
        <v>390</v>
      </c>
      <c r="B123" s="359">
        <f>ROW(A123)</f>
        <v>123</v>
      </c>
      <c r="C123" s="363" t="s">
        <v>116</v>
      </c>
      <c r="D123" s="353">
        <f>SUM(B126:Y126)</f>
        <v>49.788765499999997</v>
      </c>
      <c r="E123" s="363" t="s">
        <v>115</v>
      </c>
      <c r="F123" s="354">
        <v>231</v>
      </c>
      <c r="G123" s="363" t="s">
        <v>57</v>
      </c>
      <c r="H123" s="64">
        <v>7.2999999999999995E-2</v>
      </c>
      <c r="I123" s="363" t="s">
        <v>270</v>
      </c>
      <c r="J123" s="355">
        <f>H123-L123</f>
        <v>2.7999999999999997E-2</v>
      </c>
      <c r="K123" s="363" t="s">
        <v>271</v>
      </c>
      <c r="L123" s="64">
        <v>4.4999999999999998E-2</v>
      </c>
      <c r="M123" s="363" t="s">
        <v>58</v>
      </c>
      <c r="N123" s="396">
        <v>50</v>
      </c>
      <c r="O123" s="363" t="s">
        <v>60</v>
      </c>
      <c r="P123" s="396">
        <v>50</v>
      </c>
      <c r="Q123" s="363" t="s">
        <v>61</v>
      </c>
      <c r="R123" s="65">
        <v>101</v>
      </c>
      <c r="S123" s="363" t="s">
        <v>62</v>
      </c>
      <c r="T123" s="65">
        <v>24</v>
      </c>
      <c r="U123" s="363" t="s">
        <v>55</v>
      </c>
      <c r="V123" s="66" t="s">
        <v>120</v>
      </c>
      <c r="W123" s="463" t="s">
        <v>394</v>
      </c>
      <c r="X123" s="465">
        <v>1</v>
      </c>
      <c r="Y123" s="463" t="s">
        <v>393</v>
      </c>
      <c r="Z123" s="358">
        <v>13</v>
      </c>
    </row>
    <row r="124" spans="1:26" x14ac:dyDescent="0.25">
      <c r="A124" s="362" t="s">
        <v>33</v>
      </c>
      <c r="B124" s="471">
        <v>0</v>
      </c>
      <c r="C124" s="471">
        <v>1E-3</v>
      </c>
      <c r="D124" s="471">
        <v>2.7E-2</v>
      </c>
      <c r="E124" s="471">
        <v>5.0999999999999997E-2</v>
      </c>
      <c r="F124" s="471">
        <v>0.06</v>
      </c>
      <c r="G124" s="471">
        <v>9.1999999999999998E-2</v>
      </c>
      <c r="H124" s="471">
        <v>0.11899999999999999</v>
      </c>
      <c r="I124" s="471">
        <v>0.17</v>
      </c>
      <c r="J124" s="471">
        <v>0.3</v>
      </c>
      <c r="K124" s="471">
        <v>0.46200000000000002</v>
      </c>
      <c r="L124" s="471">
        <v>0.56899999999999995</v>
      </c>
      <c r="M124" s="471">
        <v>0.67500000000000004</v>
      </c>
      <c r="N124" s="471">
        <v>0.77800000000000002</v>
      </c>
      <c r="O124" s="471">
        <v>0.84599999999999997</v>
      </c>
      <c r="P124" s="471">
        <v>0.91700000000000004</v>
      </c>
      <c r="Q124" s="471">
        <v>1.0089999999999999</v>
      </c>
      <c r="R124" s="471">
        <v>1.032</v>
      </c>
      <c r="S124" s="471">
        <v>1.0449999999999999</v>
      </c>
      <c r="T124" s="371">
        <v>2</v>
      </c>
      <c r="U124" s="371">
        <v>2</v>
      </c>
      <c r="V124" s="371">
        <v>2</v>
      </c>
      <c r="W124" s="371">
        <v>2</v>
      </c>
      <c r="X124" s="371">
        <v>2</v>
      </c>
      <c r="Y124" s="381">
        <v>1000</v>
      </c>
    </row>
    <row r="125" spans="1:26" x14ac:dyDescent="0.25">
      <c r="A125" s="378" t="s">
        <v>34</v>
      </c>
      <c r="B125" s="471">
        <v>0</v>
      </c>
      <c r="C125" s="471">
        <v>5.1449999999999996</v>
      </c>
      <c r="D125" s="471">
        <v>67.975999999999999</v>
      </c>
      <c r="E125" s="471">
        <v>53.807000000000002</v>
      </c>
      <c r="F125" s="471">
        <v>52.88</v>
      </c>
      <c r="G125" s="471">
        <v>55.915999999999997</v>
      </c>
      <c r="H125" s="471">
        <v>57.94</v>
      </c>
      <c r="I125" s="471">
        <v>59.710999999999999</v>
      </c>
      <c r="J125" s="471">
        <v>61.145000000000003</v>
      </c>
      <c r="K125" s="471">
        <v>58.951999999999998</v>
      </c>
      <c r="L125" s="471">
        <v>55.578000000000003</v>
      </c>
      <c r="M125" s="471">
        <v>52.204999999999998</v>
      </c>
      <c r="N125" s="471">
        <v>46.386000000000003</v>
      </c>
      <c r="O125" s="471">
        <v>38.119999999999997</v>
      </c>
      <c r="P125" s="471">
        <v>20.324999999999999</v>
      </c>
      <c r="Q125" s="471">
        <v>3.5419999999999998</v>
      </c>
      <c r="R125" s="471">
        <v>1.6020000000000001</v>
      </c>
      <c r="S125" s="471">
        <v>0</v>
      </c>
      <c r="T125" s="373">
        <f>S125</f>
        <v>0</v>
      </c>
      <c r="U125" s="373">
        <f>T125</f>
        <v>0</v>
      </c>
      <c r="V125" s="373">
        <f>U125</f>
        <v>0</v>
      </c>
      <c r="W125" s="373">
        <f>V125</f>
        <v>0</v>
      </c>
      <c r="X125" s="373">
        <f>W125</f>
        <v>0</v>
      </c>
      <c r="Y125" s="382">
        <v>0</v>
      </c>
    </row>
    <row r="126" spans="1:26" ht="13" thickBot="1" x14ac:dyDescent="0.3">
      <c r="A126" s="379" t="s">
        <v>117</v>
      </c>
      <c r="B126" s="374">
        <f t="shared" ref="B126:X126" si="28">(C125+B125)*(C124-B124)/2</f>
        <v>2.5724999999999997E-3</v>
      </c>
      <c r="C126" s="375">
        <f t="shared" si="28"/>
        <v>0.95057299999999989</v>
      </c>
      <c r="D126" s="375">
        <f t="shared" si="28"/>
        <v>1.4613959999999999</v>
      </c>
      <c r="E126" s="375">
        <f t="shared" si="28"/>
        <v>0.48009150000000012</v>
      </c>
      <c r="F126" s="375">
        <f t="shared" si="28"/>
        <v>1.7407359999999998</v>
      </c>
      <c r="G126" s="375">
        <f t="shared" si="28"/>
        <v>1.5370559999999998</v>
      </c>
      <c r="H126" s="375">
        <f t="shared" si="28"/>
        <v>3.0001005000000007</v>
      </c>
      <c r="I126" s="375">
        <f t="shared" si="28"/>
        <v>7.8556399999999984</v>
      </c>
      <c r="J126" s="375">
        <f t="shared" si="28"/>
        <v>9.727857000000002</v>
      </c>
      <c r="K126" s="375">
        <f t="shared" si="28"/>
        <v>6.1273549999999961</v>
      </c>
      <c r="L126" s="375">
        <f t="shared" si="28"/>
        <v>5.7124990000000055</v>
      </c>
      <c r="M126" s="375">
        <f t="shared" si="28"/>
        <v>5.0774364999999992</v>
      </c>
      <c r="N126" s="375">
        <f t="shared" si="28"/>
        <v>2.8732039999999976</v>
      </c>
      <c r="O126" s="375">
        <f t="shared" si="28"/>
        <v>2.0747975000000016</v>
      </c>
      <c r="P126" s="375">
        <f t="shared" si="28"/>
        <v>1.0978819999999982</v>
      </c>
      <c r="Q126" s="375">
        <f t="shared" si="28"/>
        <v>5.915600000000034E-2</v>
      </c>
      <c r="R126" s="375">
        <f t="shared" si="28"/>
        <v>1.0412999999999921E-2</v>
      </c>
      <c r="S126" s="375">
        <f t="shared" si="28"/>
        <v>0</v>
      </c>
      <c r="T126" s="375">
        <f t="shared" si="28"/>
        <v>0</v>
      </c>
      <c r="U126" s="375">
        <f t="shared" si="28"/>
        <v>0</v>
      </c>
      <c r="V126" s="375">
        <f t="shared" si="28"/>
        <v>0</v>
      </c>
      <c r="W126" s="375">
        <f t="shared" si="28"/>
        <v>0</v>
      </c>
      <c r="X126" s="375">
        <f t="shared" si="28"/>
        <v>0</v>
      </c>
      <c r="Y126" s="369"/>
    </row>
    <row r="127" spans="1:26" ht="13" thickBot="1" x14ac:dyDescent="0.3"/>
    <row r="128" spans="1:26" ht="13.5" thickBot="1" x14ac:dyDescent="0.35">
      <c r="A128" s="361" t="s">
        <v>391</v>
      </c>
      <c r="B128" s="359">
        <f>ROW(A128)</f>
        <v>128</v>
      </c>
      <c r="C128" s="363" t="s">
        <v>116</v>
      </c>
      <c r="D128" s="353">
        <f>SUM(B131:Y131)</f>
        <v>52.815674000000008</v>
      </c>
      <c r="E128" s="363" t="s">
        <v>115</v>
      </c>
      <c r="F128" s="354">
        <v>239</v>
      </c>
      <c r="G128" s="363" t="s">
        <v>57</v>
      </c>
      <c r="H128" s="64">
        <v>7.2999999999999995E-2</v>
      </c>
      <c r="I128" s="363" t="s">
        <v>270</v>
      </c>
      <c r="J128" s="355">
        <f>H128-L128</f>
        <v>2.8999999999999998E-2</v>
      </c>
      <c r="K128" s="363" t="s">
        <v>271</v>
      </c>
      <c r="L128" s="64">
        <v>4.3999999999999997E-2</v>
      </c>
      <c r="M128" s="363" t="s">
        <v>58</v>
      </c>
      <c r="N128" s="396">
        <v>50</v>
      </c>
      <c r="O128" s="363" t="s">
        <v>60</v>
      </c>
      <c r="P128" s="396">
        <v>50</v>
      </c>
      <c r="Q128" s="363" t="s">
        <v>61</v>
      </c>
      <c r="R128" s="65">
        <v>101</v>
      </c>
      <c r="S128" s="363" t="s">
        <v>62</v>
      </c>
      <c r="T128" s="65">
        <v>24</v>
      </c>
      <c r="U128" s="363" t="s">
        <v>55</v>
      </c>
      <c r="V128" s="66" t="s">
        <v>120</v>
      </c>
      <c r="W128" s="463" t="s">
        <v>394</v>
      </c>
      <c r="X128" s="465">
        <v>0.77</v>
      </c>
      <c r="Y128" s="463" t="s">
        <v>393</v>
      </c>
      <c r="Z128" s="358">
        <v>14</v>
      </c>
    </row>
    <row r="129" spans="1:26" x14ac:dyDescent="0.25">
      <c r="A129" s="362" t="s">
        <v>33</v>
      </c>
      <c r="B129" s="471">
        <v>0</v>
      </c>
      <c r="C129" s="471">
        <v>1E-3</v>
      </c>
      <c r="D129" s="471">
        <v>1.2999999999999999E-2</v>
      </c>
      <c r="E129" s="471">
        <v>2.3E-2</v>
      </c>
      <c r="F129" s="471">
        <v>5.1999999999999998E-2</v>
      </c>
      <c r="G129" s="471">
        <v>0.1</v>
      </c>
      <c r="H129" s="471">
        <v>0.379</v>
      </c>
      <c r="I129" s="471">
        <v>0.64100000000000001</v>
      </c>
      <c r="J129" s="471">
        <v>0.66500000000000004</v>
      </c>
      <c r="K129" s="471">
        <v>0.70599999999999996</v>
      </c>
      <c r="L129" s="471">
        <v>0.74399999999999999</v>
      </c>
      <c r="M129" s="471">
        <v>0.78700000000000003</v>
      </c>
      <c r="N129" s="471">
        <v>0.81599999999999995</v>
      </c>
      <c r="O129" s="371">
        <v>1</v>
      </c>
      <c r="P129" s="371">
        <v>1</v>
      </c>
      <c r="Q129" s="371">
        <v>1</v>
      </c>
      <c r="R129" s="371">
        <v>1</v>
      </c>
      <c r="S129" s="371">
        <v>1</v>
      </c>
      <c r="T129" s="371">
        <v>1</v>
      </c>
      <c r="U129" s="371">
        <v>1</v>
      </c>
      <c r="V129" s="371">
        <v>1</v>
      </c>
      <c r="W129" s="371">
        <v>2</v>
      </c>
      <c r="X129" s="371">
        <v>2</v>
      </c>
      <c r="Y129" s="381">
        <v>1000</v>
      </c>
    </row>
    <row r="130" spans="1:26" x14ac:dyDescent="0.25">
      <c r="A130" s="378" t="s">
        <v>34</v>
      </c>
      <c r="B130" s="471">
        <v>0</v>
      </c>
      <c r="C130" s="471">
        <v>8.3030000000000008</v>
      </c>
      <c r="D130" s="471">
        <v>85.68</v>
      </c>
      <c r="E130" s="471">
        <v>96.149000000000001</v>
      </c>
      <c r="F130" s="471">
        <v>78.820999999999998</v>
      </c>
      <c r="G130" s="471">
        <v>83.634</v>
      </c>
      <c r="H130" s="471">
        <v>77.858000000000004</v>
      </c>
      <c r="I130" s="471">
        <v>62.575000000000003</v>
      </c>
      <c r="J130" s="471">
        <v>55.716000000000001</v>
      </c>
      <c r="K130" s="471">
        <v>23.946999999999999</v>
      </c>
      <c r="L130" s="471">
        <v>9.1460000000000008</v>
      </c>
      <c r="M130" s="471">
        <v>2.7679999999999998</v>
      </c>
      <c r="N130" s="471">
        <v>0</v>
      </c>
      <c r="O130" s="373">
        <v>0</v>
      </c>
      <c r="P130" s="373">
        <v>0</v>
      </c>
      <c r="Q130" s="373">
        <v>0</v>
      </c>
      <c r="R130" s="373">
        <v>0</v>
      </c>
      <c r="S130" s="373">
        <v>0</v>
      </c>
      <c r="T130" s="373">
        <v>0</v>
      </c>
      <c r="U130" s="373">
        <v>0</v>
      </c>
      <c r="V130" s="373">
        <f>U130</f>
        <v>0</v>
      </c>
      <c r="W130" s="373">
        <f>V130</f>
        <v>0</v>
      </c>
      <c r="X130" s="373">
        <f>W130</f>
        <v>0</v>
      </c>
      <c r="Y130" s="382">
        <v>0</v>
      </c>
    </row>
    <row r="131" spans="1:26" ht="13" thickBot="1" x14ac:dyDescent="0.3">
      <c r="A131" s="379" t="s">
        <v>117</v>
      </c>
      <c r="B131" s="374">
        <f t="shared" ref="B131:X131" si="29">(C130+B130)*(C129-B129)/2</f>
        <v>4.1515000000000007E-3</v>
      </c>
      <c r="C131" s="375">
        <f t="shared" si="29"/>
        <v>0.56389800000000001</v>
      </c>
      <c r="D131" s="375">
        <f t="shared" si="29"/>
        <v>0.90914500000000009</v>
      </c>
      <c r="E131" s="375">
        <f t="shared" si="29"/>
        <v>2.5370649999999997</v>
      </c>
      <c r="F131" s="375">
        <f t="shared" si="29"/>
        <v>3.8989200000000004</v>
      </c>
      <c r="G131" s="375">
        <f t="shared" si="29"/>
        <v>22.528134000000005</v>
      </c>
      <c r="H131" s="375">
        <f t="shared" si="29"/>
        <v>18.396723000000001</v>
      </c>
      <c r="I131" s="375">
        <f t="shared" si="29"/>
        <v>1.4194920000000013</v>
      </c>
      <c r="J131" s="375">
        <f t="shared" si="29"/>
        <v>1.633091499999997</v>
      </c>
      <c r="K131" s="375">
        <f t="shared" si="29"/>
        <v>0.62876700000000063</v>
      </c>
      <c r="L131" s="375">
        <f t="shared" si="29"/>
        <v>0.25615100000000024</v>
      </c>
      <c r="M131" s="375">
        <f t="shared" si="29"/>
        <v>4.013599999999988E-2</v>
      </c>
      <c r="N131" s="375">
        <f t="shared" si="29"/>
        <v>0</v>
      </c>
      <c r="O131" s="375">
        <f t="shared" si="29"/>
        <v>0</v>
      </c>
      <c r="P131" s="375">
        <f t="shared" si="29"/>
        <v>0</v>
      </c>
      <c r="Q131" s="375">
        <f t="shared" si="29"/>
        <v>0</v>
      </c>
      <c r="R131" s="375">
        <f t="shared" si="29"/>
        <v>0</v>
      </c>
      <c r="S131" s="375">
        <f t="shared" si="29"/>
        <v>0</v>
      </c>
      <c r="T131" s="375">
        <f t="shared" si="29"/>
        <v>0</v>
      </c>
      <c r="U131" s="375">
        <f t="shared" si="29"/>
        <v>0</v>
      </c>
      <c r="V131" s="375">
        <f t="shared" si="29"/>
        <v>0</v>
      </c>
      <c r="W131" s="375">
        <f t="shared" si="29"/>
        <v>0</v>
      </c>
      <c r="X131" s="375">
        <f t="shared" si="29"/>
        <v>0</v>
      </c>
      <c r="Y131" s="369"/>
    </row>
    <row r="132" spans="1:26" ht="13.5" thickBot="1" x14ac:dyDescent="0.35">
      <c r="A132" s="6" t="s">
        <v>313</v>
      </c>
    </row>
    <row r="133" spans="1:26" ht="13.5" thickBot="1" x14ac:dyDescent="0.35">
      <c r="A133" s="361" t="s">
        <v>381</v>
      </c>
      <c r="B133" s="359">
        <f>ROW(A133)</f>
        <v>133</v>
      </c>
      <c r="C133" s="363" t="s">
        <v>116</v>
      </c>
      <c r="D133" s="353">
        <f>SUM(B136:Y136)</f>
        <v>41.835000000000015</v>
      </c>
      <c r="E133" s="363" t="s">
        <v>115</v>
      </c>
      <c r="F133" s="354">
        <f>D133/g/J133</f>
        <v>121.84359982525126</v>
      </c>
      <c r="G133" s="363" t="s">
        <v>57</v>
      </c>
      <c r="H133" s="64">
        <v>0.104</v>
      </c>
      <c r="I133" s="363" t="s">
        <v>270</v>
      </c>
      <c r="J133" s="355">
        <f>H133-L133</f>
        <v>3.4999999999999989E-2</v>
      </c>
      <c r="K133" s="363" t="s">
        <v>271</v>
      </c>
      <c r="L133" s="64">
        <v>6.9000000000000006E-2</v>
      </c>
      <c r="M133" s="363" t="s">
        <v>58</v>
      </c>
      <c r="N133" s="65">
        <v>49</v>
      </c>
      <c r="O133" s="363" t="s">
        <v>60</v>
      </c>
      <c r="P133" s="65">
        <v>49</v>
      </c>
      <c r="Q133" s="363" t="s">
        <v>61</v>
      </c>
      <c r="R133" s="65">
        <v>98</v>
      </c>
      <c r="S133" s="363" t="s">
        <v>62</v>
      </c>
      <c r="T133" s="65">
        <v>29</v>
      </c>
      <c r="U133" s="363" t="s">
        <v>55</v>
      </c>
      <c r="V133" s="66" t="s">
        <v>399</v>
      </c>
      <c r="W133" s="463" t="s">
        <v>394</v>
      </c>
      <c r="X133" s="465">
        <v>1.07</v>
      </c>
      <c r="Y133" s="463" t="s">
        <v>393</v>
      </c>
      <c r="Z133" s="358">
        <v>11</v>
      </c>
    </row>
    <row r="134" spans="1:26" x14ac:dyDescent="0.25">
      <c r="A134" s="362" t="s">
        <v>33</v>
      </c>
      <c r="B134" s="370">
        <v>0</v>
      </c>
      <c r="C134" s="371">
        <v>0.01</v>
      </c>
      <c r="D134" s="371">
        <v>0.02</v>
      </c>
      <c r="E134" s="371">
        <v>0.03</v>
      </c>
      <c r="F134" s="371">
        <v>0.04</v>
      </c>
      <c r="G134" s="371">
        <v>0.06</v>
      </c>
      <c r="H134" s="371">
        <v>7.0000000000000007E-2</v>
      </c>
      <c r="I134" s="371">
        <v>0.08</v>
      </c>
      <c r="J134" s="371">
        <v>0.1</v>
      </c>
      <c r="K134" s="371">
        <v>0.2</v>
      </c>
      <c r="L134" s="371">
        <v>0.3</v>
      </c>
      <c r="M134" s="371">
        <v>0.4</v>
      </c>
      <c r="N134" s="371">
        <v>0.5</v>
      </c>
      <c r="O134" s="371">
        <v>0.6</v>
      </c>
      <c r="P134" s="371">
        <v>0.7</v>
      </c>
      <c r="Q134" s="371">
        <v>0.8</v>
      </c>
      <c r="R134" s="371">
        <v>0.85</v>
      </c>
      <c r="S134" s="371">
        <v>0.92</v>
      </c>
      <c r="T134" s="371">
        <v>0.95</v>
      </c>
      <c r="U134" s="371">
        <v>0.99</v>
      </c>
      <c r="V134" s="371">
        <v>1.05</v>
      </c>
      <c r="W134" s="371">
        <v>1.05</v>
      </c>
      <c r="X134" s="371">
        <v>2</v>
      </c>
      <c r="Y134" s="381">
        <v>1000</v>
      </c>
    </row>
    <row r="135" spans="1:26" x14ac:dyDescent="0.25">
      <c r="A135" s="378" t="s">
        <v>34</v>
      </c>
      <c r="B135" s="372">
        <v>0</v>
      </c>
      <c r="C135" s="373">
        <v>12</v>
      </c>
      <c r="D135" s="373">
        <v>46</v>
      </c>
      <c r="E135" s="373">
        <v>75</v>
      </c>
      <c r="F135" s="373">
        <v>79</v>
      </c>
      <c r="G135" s="373">
        <v>77</v>
      </c>
      <c r="H135" s="373">
        <v>62</v>
      </c>
      <c r="I135" s="373">
        <v>32</v>
      </c>
      <c r="J135" s="373">
        <v>35</v>
      </c>
      <c r="K135" s="373">
        <v>38</v>
      </c>
      <c r="L135" s="373">
        <v>39</v>
      </c>
      <c r="M135" s="373">
        <v>41</v>
      </c>
      <c r="N135" s="373">
        <v>43</v>
      </c>
      <c r="O135" s="373">
        <v>43</v>
      </c>
      <c r="P135" s="373">
        <v>43</v>
      </c>
      <c r="Q135" s="373">
        <v>43</v>
      </c>
      <c r="R135" s="373">
        <v>47</v>
      </c>
      <c r="S135" s="373">
        <v>54</v>
      </c>
      <c r="T135" s="373">
        <v>32</v>
      </c>
      <c r="U135" s="373">
        <v>8</v>
      </c>
      <c r="V135" s="373">
        <v>0</v>
      </c>
      <c r="W135" s="373">
        <v>0</v>
      </c>
      <c r="X135" s="373">
        <v>0</v>
      </c>
      <c r="Y135" s="382">
        <v>0</v>
      </c>
    </row>
    <row r="136" spans="1:26" ht="13" thickBot="1" x14ac:dyDescent="0.3">
      <c r="A136" s="379" t="s">
        <v>117</v>
      </c>
      <c r="B136" s="374">
        <f t="shared" ref="B136:X136" si="30">(C135+B135)*(C134-B134)/2</f>
        <v>0.06</v>
      </c>
      <c r="C136" s="375">
        <f t="shared" si="30"/>
        <v>0.28999999999999998</v>
      </c>
      <c r="D136" s="375">
        <f t="shared" si="30"/>
        <v>0.60499999999999987</v>
      </c>
      <c r="E136" s="375">
        <f t="shared" si="30"/>
        <v>0.77000000000000013</v>
      </c>
      <c r="F136" s="375">
        <f t="shared" si="30"/>
        <v>1.5599999999999998</v>
      </c>
      <c r="G136" s="375">
        <f t="shared" si="30"/>
        <v>0.69500000000000062</v>
      </c>
      <c r="H136" s="375">
        <f t="shared" si="30"/>
        <v>0.46999999999999975</v>
      </c>
      <c r="I136" s="375">
        <f t="shared" si="30"/>
        <v>0.67000000000000015</v>
      </c>
      <c r="J136" s="375">
        <f t="shared" si="30"/>
        <v>3.6500000000000004</v>
      </c>
      <c r="K136" s="375">
        <f t="shared" si="30"/>
        <v>3.8499999999999992</v>
      </c>
      <c r="L136" s="375">
        <f t="shared" si="30"/>
        <v>4.0000000000000018</v>
      </c>
      <c r="M136" s="375">
        <f t="shared" si="30"/>
        <v>4.1999999999999993</v>
      </c>
      <c r="N136" s="375">
        <f t="shared" si="30"/>
        <v>4.2999999999999989</v>
      </c>
      <c r="O136" s="375">
        <f t="shared" si="30"/>
        <v>4.2999999999999989</v>
      </c>
      <c r="P136" s="375">
        <f t="shared" si="30"/>
        <v>4.3000000000000043</v>
      </c>
      <c r="Q136" s="375">
        <f t="shared" si="30"/>
        <v>2.2499999999999969</v>
      </c>
      <c r="R136" s="375">
        <f t="shared" si="30"/>
        <v>3.5350000000000033</v>
      </c>
      <c r="S136" s="375">
        <f t="shared" si="30"/>
        <v>1.2899999999999965</v>
      </c>
      <c r="T136" s="375">
        <f t="shared" si="30"/>
        <v>0.80000000000000071</v>
      </c>
      <c r="U136" s="375">
        <f t="shared" si="30"/>
        <v>0.24000000000000021</v>
      </c>
      <c r="V136" s="375">
        <f t="shared" si="30"/>
        <v>0</v>
      </c>
      <c r="W136" s="375">
        <f t="shared" si="30"/>
        <v>0</v>
      </c>
      <c r="X136" s="375">
        <f t="shared" si="30"/>
        <v>0</v>
      </c>
      <c r="Y136" s="369"/>
    </row>
    <row r="137" spans="1:26" ht="13" thickBot="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6" ht="13.5" thickBot="1" x14ac:dyDescent="0.35">
      <c r="A138" s="361" t="s">
        <v>382</v>
      </c>
      <c r="B138" s="359">
        <f>ROW(A138)</f>
        <v>138</v>
      </c>
      <c r="C138" s="363" t="s">
        <v>116</v>
      </c>
      <c r="D138" s="353">
        <f>SUM(B141:Y141)</f>
        <v>52.564999999999998</v>
      </c>
      <c r="E138" s="363" t="s">
        <v>115</v>
      </c>
      <c r="F138" s="354">
        <f>D138/g/J138</f>
        <v>167.44712028542301</v>
      </c>
      <c r="G138" s="363" t="s">
        <v>57</v>
      </c>
      <c r="H138" s="64">
        <v>0.10100000000000001</v>
      </c>
      <c r="I138" s="363" t="s">
        <v>270</v>
      </c>
      <c r="J138" s="355">
        <f>H138-L138</f>
        <v>3.2000000000000001E-2</v>
      </c>
      <c r="K138" s="363" t="s">
        <v>271</v>
      </c>
      <c r="L138" s="64">
        <v>6.9000000000000006E-2</v>
      </c>
      <c r="M138" s="363" t="s">
        <v>58</v>
      </c>
      <c r="N138" s="65">
        <v>49</v>
      </c>
      <c r="O138" s="363" t="s">
        <v>60</v>
      </c>
      <c r="P138" s="65">
        <v>49</v>
      </c>
      <c r="Q138" s="363" t="s">
        <v>61</v>
      </c>
      <c r="R138" s="65">
        <v>98</v>
      </c>
      <c r="S138" s="363" t="s">
        <v>62</v>
      </c>
      <c r="T138" s="65">
        <v>29</v>
      </c>
      <c r="U138" s="363" t="s">
        <v>55</v>
      </c>
      <c r="V138" s="66" t="s">
        <v>400</v>
      </c>
      <c r="W138" s="463" t="s">
        <v>394</v>
      </c>
      <c r="X138" s="465">
        <v>1.8</v>
      </c>
      <c r="Y138" s="463" t="s">
        <v>393</v>
      </c>
      <c r="Z138" s="358">
        <v>12</v>
      </c>
    </row>
    <row r="139" spans="1:26" x14ac:dyDescent="0.25">
      <c r="A139" s="362" t="s">
        <v>33</v>
      </c>
      <c r="B139" s="370">
        <v>0</v>
      </c>
      <c r="C139" s="371">
        <v>0.01</v>
      </c>
      <c r="D139" s="371">
        <v>0.03</v>
      </c>
      <c r="E139" s="371">
        <v>0.04</v>
      </c>
      <c r="F139" s="371">
        <v>0.05</v>
      </c>
      <c r="G139" s="371">
        <v>0.06</v>
      </c>
      <c r="H139" s="371">
        <v>7.0000000000000007E-2</v>
      </c>
      <c r="I139" s="371">
        <v>0.08</v>
      </c>
      <c r="J139" s="371">
        <v>0.09</v>
      </c>
      <c r="K139" s="371">
        <v>0.1</v>
      </c>
      <c r="L139" s="371">
        <v>0.2</v>
      </c>
      <c r="M139" s="371">
        <v>0.3</v>
      </c>
      <c r="N139" s="371">
        <v>0.4</v>
      </c>
      <c r="O139" s="371">
        <v>0.5</v>
      </c>
      <c r="P139" s="371">
        <v>0.7</v>
      </c>
      <c r="Q139" s="371">
        <v>0.8</v>
      </c>
      <c r="R139" s="371">
        <v>0.9</v>
      </c>
      <c r="S139" s="371">
        <v>1</v>
      </c>
      <c r="T139" s="371">
        <v>1.1000000000000001</v>
      </c>
      <c r="U139" s="371">
        <v>1.24</v>
      </c>
      <c r="V139" s="371">
        <v>1.3</v>
      </c>
      <c r="W139" s="371">
        <v>1.5</v>
      </c>
      <c r="X139" s="371">
        <v>2</v>
      </c>
      <c r="Y139" s="381">
        <v>1000</v>
      </c>
    </row>
    <row r="140" spans="1:26" x14ac:dyDescent="0.25">
      <c r="A140" s="378" t="s">
        <v>34</v>
      </c>
      <c r="B140" s="372">
        <v>0</v>
      </c>
      <c r="C140" s="373">
        <v>12</v>
      </c>
      <c r="D140" s="373">
        <v>41</v>
      </c>
      <c r="E140" s="373">
        <v>42</v>
      </c>
      <c r="F140" s="373">
        <v>42</v>
      </c>
      <c r="G140" s="373">
        <v>40</v>
      </c>
      <c r="H140" s="373">
        <v>34</v>
      </c>
      <c r="I140" s="373">
        <v>34</v>
      </c>
      <c r="J140" s="373">
        <v>35</v>
      </c>
      <c r="K140" s="373">
        <v>36</v>
      </c>
      <c r="L140" s="373">
        <v>40</v>
      </c>
      <c r="M140" s="373">
        <v>42</v>
      </c>
      <c r="N140" s="373">
        <v>43</v>
      </c>
      <c r="O140" s="373">
        <v>43</v>
      </c>
      <c r="P140" s="373">
        <v>43</v>
      </c>
      <c r="Q140" s="373">
        <v>42</v>
      </c>
      <c r="R140" s="373">
        <v>41</v>
      </c>
      <c r="S140" s="373">
        <v>40</v>
      </c>
      <c r="T140" s="373">
        <v>38</v>
      </c>
      <c r="U140" s="373">
        <v>37</v>
      </c>
      <c r="V140" s="373">
        <v>12</v>
      </c>
      <c r="W140" s="373">
        <v>0</v>
      </c>
      <c r="X140" s="373">
        <v>0</v>
      </c>
      <c r="Y140" s="382">
        <v>0</v>
      </c>
    </row>
    <row r="141" spans="1:26" ht="13" thickBot="1" x14ac:dyDescent="0.3">
      <c r="A141" s="379" t="s">
        <v>117</v>
      </c>
      <c r="B141" s="374">
        <f t="shared" ref="B141:X141" si="31">(C140+B140)*(C139-B139)/2</f>
        <v>0.06</v>
      </c>
      <c r="C141" s="375">
        <f t="shared" si="31"/>
        <v>0.52999999999999992</v>
      </c>
      <c r="D141" s="375">
        <f t="shared" si="31"/>
        <v>0.41500000000000009</v>
      </c>
      <c r="E141" s="375">
        <f t="shared" si="31"/>
        <v>0.4200000000000001</v>
      </c>
      <c r="F141" s="375">
        <f t="shared" si="31"/>
        <v>0.40999999999999981</v>
      </c>
      <c r="G141" s="375">
        <f t="shared" si="31"/>
        <v>0.37000000000000033</v>
      </c>
      <c r="H141" s="375">
        <f t="shared" si="31"/>
        <v>0.33999999999999986</v>
      </c>
      <c r="I141" s="375">
        <f t="shared" si="31"/>
        <v>0.34499999999999981</v>
      </c>
      <c r="J141" s="375">
        <f t="shared" si="31"/>
        <v>0.35500000000000032</v>
      </c>
      <c r="K141" s="375">
        <f t="shared" si="31"/>
        <v>3.8000000000000003</v>
      </c>
      <c r="L141" s="375">
        <f t="shared" si="31"/>
        <v>4.0999999999999988</v>
      </c>
      <c r="M141" s="375">
        <f t="shared" si="31"/>
        <v>4.2500000000000018</v>
      </c>
      <c r="N141" s="375">
        <f t="shared" si="31"/>
        <v>4.2999999999999989</v>
      </c>
      <c r="O141" s="375">
        <f t="shared" si="31"/>
        <v>8.5999999999999979</v>
      </c>
      <c r="P141" s="375">
        <f t="shared" si="31"/>
        <v>4.2500000000000036</v>
      </c>
      <c r="Q141" s="375">
        <f t="shared" si="31"/>
        <v>4.1499999999999995</v>
      </c>
      <c r="R141" s="375">
        <f t="shared" si="31"/>
        <v>4.0499999999999989</v>
      </c>
      <c r="S141" s="375">
        <f t="shared" si="31"/>
        <v>3.9000000000000035</v>
      </c>
      <c r="T141" s="375">
        <f t="shared" si="31"/>
        <v>5.2499999999999964</v>
      </c>
      <c r="U141" s="375">
        <f t="shared" si="31"/>
        <v>1.4700000000000013</v>
      </c>
      <c r="V141" s="375">
        <f t="shared" si="31"/>
        <v>1.1999999999999997</v>
      </c>
      <c r="W141" s="375">
        <f t="shared" si="31"/>
        <v>0</v>
      </c>
      <c r="X141" s="375">
        <f t="shared" si="31"/>
        <v>0</v>
      </c>
      <c r="Y141" s="369"/>
    </row>
    <row r="142" spans="1:26" ht="13" thickBot="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6" ht="13.5" thickBot="1" x14ac:dyDescent="0.35">
      <c r="A143" s="361" t="s">
        <v>383</v>
      </c>
      <c r="B143" s="359">
        <f>ROW(A143)</f>
        <v>143</v>
      </c>
      <c r="C143" s="363" t="s">
        <v>116</v>
      </c>
      <c r="D143" s="353">
        <f>SUM(B146:Y146)</f>
        <v>54.110016122119539</v>
      </c>
      <c r="E143" s="363" t="s">
        <v>115</v>
      </c>
      <c r="F143" s="354">
        <f>D143/g/J143</f>
        <v>146.69685764124625</v>
      </c>
      <c r="G143" s="363" t="s">
        <v>57</v>
      </c>
      <c r="H143" s="64">
        <v>0.10580000000000001</v>
      </c>
      <c r="I143" s="363" t="s">
        <v>270</v>
      </c>
      <c r="J143" s="355">
        <f>H143-L143</f>
        <v>3.7600000000000008E-2</v>
      </c>
      <c r="K143" s="363" t="s">
        <v>271</v>
      </c>
      <c r="L143" s="64">
        <v>6.8199999999999997E-2</v>
      </c>
      <c r="M143" s="363" t="s">
        <v>58</v>
      </c>
      <c r="N143" s="65">
        <v>49</v>
      </c>
      <c r="O143" s="363" t="s">
        <v>60</v>
      </c>
      <c r="P143" s="65">
        <v>49</v>
      </c>
      <c r="Q143" s="363" t="s">
        <v>61</v>
      </c>
      <c r="R143" s="65">
        <v>98</v>
      </c>
      <c r="S143" s="363" t="s">
        <v>62</v>
      </c>
      <c r="T143" s="65">
        <v>29</v>
      </c>
      <c r="U143" s="363" t="s">
        <v>55</v>
      </c>
      <c r="V143" s="66" t="s">
        <v>399</v>
      </c>
      <c r="W143" s="463" t="s">
        <v>394</v>
      </c>
      <c r="X143" s="465">
        <v>1.9</v>
      </c>
      <c r="Y143" s="463" t="s">
        <v>393</v>
      </c>
      <c r="Z143" s="358">
        <v>12</v>
      </c>
    </row>
    <row r="144" spans="1:26" x14ac:dyDescent="0.25">
      <c r="A144" s="362" t="s">
        <v>33</v>
      </c>
      <c r="B144" s="370">
        <v>0</v>
      </c>
      <c r="C144" s="371">
        <v>2.5000000000000001E-2</v>
      </c>
      <c r="D144" s="371">
        <v>0.05</v>
      </c>
      <c r="E144" s="371">
        <v>7.4999999999999997E-2</v>
      </c>
      <c r="F144" s="371">
        <v>0.1</v>
      </c>
      <c r="G144" s="371">
        <v>0.15</v>
      </c>
      <c r="H144" s="371">
        <v>0.17499999999999999</v>
      </c>
      <c r="I144" s="371">
        <v>0.2</v>
      </c>
      <c r="J144" s="371">
        <v>0.3</v>
      </c>
      <c r="K144" s="371">
        <v>0.4</v>
      </c>
      <c r="L144" s="371">
        <v>0.5</v>
      </c>
      <c r="M144" s="371">
        <v>0.6</v>
      </c>
      <c r="N144" s="371">
        <v>0.7</v>
      </c>
      <c r="O144" s="371">
        <v>0.8</v>
      </c>
      <c r="P144" s="371">
        <v>0.9</v>
      </c>
      <c r="Q144" s="371">
        <v>1.1000000000000001</v>
      </c>
      <c r="R144" s="371">
        <v>1.2</v>
      </c>
      <c r="S144" s="371">
        <v>1.6</v>
      </c>
      <c r="T144" s="371">
        <v>1.7</v>
      </c>
      <c r="U144" s="371">
        <v>1.8</v>
      </c>
      <c r="V144" s="371">
        <v>1.9</v>
      </c>
      <c r="W144" s="371">
        <v>1.9999</v>
      </c>
      <c r="X144" s="371">
        <v>2</v>
      </c>
      <c r="Y144" s="381">
        <v>1000</v>
      </c>
    </row>
    <row r="145" spans="1:26" x14ac:dyDescent="0.25">
      <c r="A145" s="378" t="s">
        <v>34</v>
      </c>
      <c r="B145" s="372">
        <v>0</v>
      </c>
      <c r="C145" s="376">
        <v>15.2574001848975</v>
      </c>
      <c r="D145" s="376">
        <v>26.377954255522496</v>
      </c>
      <c r="E145" s="376">
        <v>21.484910464447498</v>
      </c>
      <c r="F145" s="376">
        <v>24.020396792549999</v>
      </c>
      <c r="G145" s="376">
        <v>28.11276069054</v>
      </c>
      <c r="H145" s="376">
        <v>28.691029502212498</v>
      </c>
      <c r="I145" s="376">
        <v>29.180333881319996</v>
      </c>
      <c r="J145" s="376">
        <v>31.493409128009997</v>
      </c>
      <c r="K145" s="376">
        <v>32.560982318789996</v>
      </c>
      <c r="L145" s="376">
        <v>32.827875616484995</v>
      </c>
      <c r="M145" s="376">
        <v>32.649946751354996</v>
      </c>
      <c r="N145" s="376">
        <v>32.383053453659997</v>
      </c>
      <c r="O145" s="376">
        <v>32.249606804812501</v>
      </c>
      <c r="P145" s="376">
        <v>31.804784641987499</v>
      </c>
      <c r="Q145" s="376">
        <v>30.559282586077497</v>
      </c>
      <c r="R145" s="376">
        <v>30.069978206969999</v>
      </c>
      <c r="S145" s="376">
        <v>26.377954255522496</v>
      </c>
      <c r="T145" s="376">
        <v>24.865558901917499</v>
      </c>
      <c r="U145" s="376">
        <v>18.4601197572375</v>
      </c>
      <c r="V145" s="376">
        <v>7.5174945517424998</v>
      </c>
      <c r="W145" s="376">
        <v>1.3789487047575</v>
      </c>
      <c r="X145" s="373">
        <v>0</v>
      </c>
      <c r="Y145" s="382">
        <v>0</v>
      </c>
    </row>
    <row r="146" spans="1:26" ht="13" thickBot="1" x14ac:dyDescent="0.3">
      <c r="A146" s="379" t="s">
        <v>117</v>
      </c>
      <c r="B146" s="374">
        <f t="shared" ref="B146:V146" si="32">(C145+B145)*(C144-B144)/2</f>
        <v>0.19071750231121876</v>
      </c>
      <c r="C146" s="375">
        <f t="shared" si="32"/>
        <v>0.52044193050525001</v>
      </c>
      <c r="D146" s="375">
        <f t="shared" si="32"/>
        <v>0.5982858089996248</v>
      </c>
      <c r="E146" s="375">
        <f t="shared" si="32"/>
        <v>0.56881634071246889</v>
      </c>
      <c r="F146" s="375">
        <f t="shared" si="32"/>
        <v>1.3033289370772498</v>
      </c>
      <c r="G146" s="375">
        <f t="shared" si="32"/>
        <v>0.71004737740940616</v>
      </c>
      <c r="H146" s="375">
        <f t="shared" si="32"/>
        <v>0.72339204229415688</v>
      </c>
      <c r="I146" s="375">
        <f t="shared" si="32"/>
        <v>3.0336871504664993</v>
      </c>
      <c r="J146" s="375">
        <f>(K145+J145)*(K144-J144)/2</f>
        <v>3.2027195723400008</v>
      </c>
      <c r="K146" s="375">
        <f t="shared" si="32"/>
        <v>3.2694428967637483</v>
      </c>
      <c r="L146" s="375">
        <f t="shared" si="32"/>
        <v>3.2738911183919988</v>
      </c>
      <c r="M146" s="375">
        <f t="shared" si="32"/>
        <v>3.2516500102507484</v>
      </c>
      <c r="N146" s="375">
        <f t="shared" si="32"/>
        <v>3.2316330129236279</v>
      </c>
      <c r="O146" s="375">
        <f t="shared" si="32"/>
        <v>3.202719572339999</v>
      </c>
      <c r="P146" s="375">
        <f t="shared" si="32"/>
        <v>6.2364067228065014</v>
      </c>
      <c r="Q146" s="375">
        <f t="shared" si="32"/>
        <v>3.0314630396523707</v>
      </c>
      <c r="R146" s="375">
        <f t="shared" si="32"/>
        <v>11.289586492498502</v>
      </c>
      <c r="S146" s="375">
        <f>(T145+S145)*(T144-S144)/2</f>
        <v>2.5621756578719963</v>
      </c>
      <c r="T146" s="375">
        <f t="shared" si="32"/>
        <v>2.1662839329577519</v>
      </c>
      <c r="U146" s="375">
        <f t="shared" si="32"/>
        <v>1.2988807154489983</v>
      </c>
      <c r="V146" s="375">
        <f t="shared" si="32"/>
        <v>0.44437734066217544</v>
      </c>
      <c r="W146" s="375">
        <f>(X145+W145)*(X144-W144)/2</f>
        <v>6.894743523786741E-5</v>
      </c>
      <c r="X146" s="375">
        <f>(Y145+X145)*(Y144-X144)/2</f>
        <v>0</v>
      </c>
      <c r="Y146" s="369"/>
    </row>
    <row r="147" spans="1:26" ht="13" thickBot="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6" ht="13.5" thickBot="1" x14ac:dyDescent="0.35">
      <c r="A148" s="361" t="s">
        <v>545</v>
      </c>
      <c r="B148" s="359">
        <f>ROW(A148)</f>
        <v>148</v>
      </c>
      <c r="C148" s="363" t="s">
        <v>116</v>
      </c>
      <c r="D148" s="353">
        <f>SUM(B151:Y151)</f>
        <v>55.589492</v>
      </c>
      <c r="E148" s="363" t="s">
        <v>115</v>
      </c>
      <c r="F148" s="354">
        <f>D148/g/J148</f>
        <v>177.08171508664634</v>
      </c>
      <c r="G148" s="363" t="s">
        <v>57</v>
      </c>
      <c r="H148" s="64">
        <v>0.10199999999999999</v>
      </c>
      <c r="I148" s="363" t="s">
        <v>270</v>
      </c>
      <c r="J148" s="355">
        <f>H148-L148</f>
        <v>3.1999999999999987E-2</v>
      </c>
      <c r="K148" s="363" t="s">
        <v>271</v>
      </c>
      <c r="L148" s="64">
        <v>7.0000000000000007E-2</v>
      </c>
      <c r="M148" s="363" t="s">
        <v>58</v>
      </c>
      <c r="N148" s="65">
        <v>49</v>
      </c>
      <c r="O148" s="363" t="s">
        <v>60</v>
      </c>
      <c r="P148" s="65">
        <v>49</v>
      </c>
      <c r="Q148" s="363" t="s">
        <v>61</v>
      </c>
      <c r="R148" s="65">
        <v>98</v>
      </c>
      <c r="S148" s="363" t="s">
        <v>62</v>
      </c>
      <c r="T148" s="65">
        <v>29</v>
      </c>
      <c r="U148" s="363" t="s">
        <v>55</v>
      </c>
      <c r="V148" s="66" t="s">
        <v>400</v>
      </c>
      <c r="W148" s="463" t="s">
        <v>394</v>
      </c>
      <c r="X148" s="465">
        <v>0.45</v>
      </c>
      <c r="Y148" s="463" t="s">
        <v>393</v>
      </c>
      <c r="Z148" s="358">
        <v>12</v>
      </c>
    </row>
    <row r="149" spans="1:26" x14ac:dyDescent="0.25">
      <c r="A149" s="362" t="s">
        <v>33</v>
      </c>
      <c r="B149" s="370">
        <v>0</v>
      </c>
      <c r="C149" s="371">
        <v>1E-3</v>
      </c>
      <c r="D149" s="371">
        <v>2.3E-2</v>
      </c>
      <c r="E149" s="371">
        <v>0.05</v>
      </c>
      <c r="F149" s="371">
        <v>5.8999999999999997E-2</v>
      </c>
      <c r="G149" s="371">
        <v>9.5000000000000001E-2</v>
      </c>
      <c r="H149" s="371">
        <v>0.21199999999999999</v>
      </c>
      <c r="I149" s="371">
        <v>0.34399999999999997</v>
      </c>
      <c r="J149" s="371">
        <v>1.5669999999999999</v>
      </c>
      <c r="K149" s="371">
        <v>1.631</v>
      </c>
      <c r="L149" s="371">
        <v>1.663</v>
      </c>
      <c r="M149" s="371">
        <v>1.7849999999999999</v>
      </c>
      <c r="N149" s="371">
        <v>1.8280000000000001</v>
      </c>
      <c r="O149" s="371">
        <v>2</v>
      </c>
      <c r="P149" s="371">
        <v>2</v>
      </c>
      <c r="Q149" s="371">
        <v>2</v>
      </c>
      <c r="R149" s="371">
        <v>2</v>
      </c>
      <c r="S149" s="371">
        <v>2</v>
      </c>
      <c r="T149" s="371">
        <v>2</v>
      </c>
      <c r="U149" s="371">
        <v>2</v>
      </c>
      <c r="V149" s="371">
        <v>2</v>
      </c>
      <c r="W149" s="371">
        <v>2</v>
      </c>
      <c r="X149" s="371">
        <v>2</v>
      </c>
      <c r="Y149" s="381">
        <v>1000</v>
      </c>
    </row>
    <row r="150" spans="1:26" x14ac:dyDescent="0.25">
      <c r="A150" s="378" t="s">
        <v>34</v>
      </c>
      <c r="B150" s="372">
        <v>0</v>
      </c>
      <c r="C150" s="373">
        <v>3.4830000000000001</v>
      </c>
      <c r="D150" s="373">
        <v>64.052999999999997</v>
      </c>
      <c r="E150" s="373">
        <v>31.347000000000001</v>
      </c>
      <c r="F150" s="373">
        <v>28.459</v>
      </c>
      <c r="G150" s="373">
        <v>32.027000000000001</v>
      </c>
      <c r="H150" s="373">
        <v>36.189</v>
      </c>
      <c r="I150" s="373">
        <v>37.548999999999999</v>
      </c>
      <c r="J150" s="373">
        <v>26.164999999999999</v>
      </c>
      <c r="K150" s="373">
        <v>26.93</v>
      </c>
      <c r="L150" s="373">
        <v>25.315999999999999</v>
      </c>
      <c r="M150" s="373">
        <v>3.653</v>
      </c>
      <c r="N150" s="373">
        <v>0</v>
      </c>
      <c r="O150" s="373">
        <v>0</v>
      </c>
      <c r="P150" s="373">
        <v>0</v>
      </c>
      <c r="Q150" s="373">
        <v>0</v>
      </c>
      <c r="R150" s="373">
        <v>0</v>
      </c>
      <c r="S150" s="373">
        <v>0</v>
      </c>
      <c r="T150" s="373">
        <v>0</v>
      </c>
      <c r="U150" s="373">
        <v>0</v>
      </c>
      <c r="V150" s="373">
        <v>0</v>
      </c>
      <c r="W150" s="373">
        <v>0</v>
      </c>
      <c r="X150" s="373">
        <v>0</v>
      </c>
      <c r="Y150" s="382">
        <v>0</v>
      </c>
    </row>
    <row r="151" spans="1:26" ht="13" thickBot="1" x14ac:dyDescent="0.3">
      <c r="A151" s="379" t="s">
        <v>117</v>
      </c>
      <c r="B151" s="374">
        <f t="shared" ref="B151" si="33">(C150+B150)*(C149-B149)/2</f>
        <v>1.7415E-3</v>
      </c>
      <c r="C151" s="375">
        <f t="shared" ref="C151" si="34">(D150+C150)*(D149-C149)/2</f>
        <v>0.742896</v>
      </c>
      <c r="D151" s="375">
        <f t="shared" ref="D151" si="35">(E150+D150)*(E149-D149)/2</f>
        <v>1.2879000000000003</v>
      </c>
      <c r="E151" s="375">
        <f t="shared" ref="E151" si="36">(F150+E150)*(F149-E149)/2</f>
        <v>0.26912699999999984</v>
      </c>
      <c r="F151" s="375">
        <f t="shared" ref="F151" si="37">(G150+F150)*(G149-F149)/2</f>
        <v>1.0887480000000003</v>
      </c>
      <c r="G151" s="375">
        <f t="shared" ref="G151" si="38">(H150+G150)*(H149-G149)/2</f>
        <v>3.9906360000000003</v>
      </c>
      <c r="H151" s="375">
        <f t="shared" ref="H151" si="39">(I150+H150)*(I149-H149)/2</f>
        <v>4.8667079999999991</v>
      </c>
      <c r="I151" s="375">
        <f t="shared" ref="I151" si="40">(J150+I150)*(J149-I149)/2</f>
        <v>38.961110999999995</v>
      </c>
      <c r="J151" s="375">
        <f t="shared" ref="J151" si="41">(K150+J150)*(K149-J149)/2</f>
        <v>1.6990400000000014</v>
      </c>
      <c r="K151" s="375">
        <f t="shared" ref="K151" si="42">(L150+K150)*(L149-K149)/2</f>
        <v>0.83593600000000068</v>
      </c>
      <c r="L151" s="375">
        <f t="shared" ref="L151" si="43">(M150+L150)*(M149-L149)/2</f>
        <v>1.7671089999999983</v>
      </c>
      <c r="M151" s="375">
        <f t="shared" ref="M151" si="44">(N150+M150)*(N149-M149)/2</f>
        <v>7.8539500000000276E-2</v>
      </c>
      <c r="N151" s="375">
        <f t="shared" ref="N151" si="45">(O150+N150)*(O149-N149)/2</f>
        <v>0</v>
      </c>
      <c r="O151" s="375">
        <f t="shared" ref="O151" si="46">(P150+O150)*(P149-O149)/2</f>
        <v>0</v>
      </c>
      <c r="P151" s="375">
        <f t="shared" ref="P151" si="47">(Q150+P150)*(Q149-P149)/2</f>
        <v>0</v>
      </c>
      <c r="Q151" s="375">
        <f t="shared" ref="Q151" si="48">(R150+Q150)*(R149-Q149)/2</f>
        <v>0</v>
      </c>
      <c r="R151" s="375">
        <f t="shared" ref="R151" si="49">(S150+R150)*(S149-R149)/2</f>
        <v>0</v>
      </c>
      <c r="S151" s="375">
        <f t="shared" ref="S151" si="50">(T150+S150)*(T149-S149)/2</f>
        <v>0</v>
      </c>
      <c r="T151" s="375">
        <f t="shared" ref="T151" si="51">(U150+T150)*(U149-T149)/2</f>
        <v>0</v>
      </c>
      <c r="U151" s="375">
        <f t="shared" ref="U151" si="52">(V150+U150)*(V149-U149)/2</f>
        <v>0</v>
      </c>
      <c r="V151" s="375">
        <f t="shared" ref="V151" si="53">(W150+V150)*(W149-V149)/2</f>
        <v>0</v>
      </c>
      <c r="W151" s="375">
        <f t="shared" ref="W151" si="54">(X150+W150)*(X149-W149)/2</f>
        <v>0</v>
      </c>
      <c r="X151" s="375">
        <f t="shared" ref="X151" si="55">(Y150+X150)*(Y149-X149)/2</f>
        <v>0</v>
      </c>
      <c r="Y151" s="369"/>
    </row>
    <row r="152" spans="1:26" ht="13" thickBot="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6" ht="13.5" thickBot="1" x14ac:dyDescent="0.35">
      <c r="A153" s="361" t="s">
        <v>384</v>
      </c>
      <c r="B153" s="359">
        <f>ROW(A153)</f>
        <v>153</v>
      </c>
      <c r="C153" s="363" t="s">
        <v>116</v>
      </c>
      <c r="D153" s="353">
        <f>SUM(B156:Y156)</f>
        <v>55.705884500000003</v>
      </c>
      <c r="E153" s="363" t="s">
        <v>115</v>
      </c>
      <c r="F153" s="354">
        <f>D153/g/J153</f>
        <v>180.84329814241278</v>
      </c>
      <c r="G153" s="363" t="s">
        <v>57</v>
      </c>
      <c r="H153" s="64">
        <v>0.1062</v>
      </c>
      <c r="I153" s="363" t="s">
        <v>270</v>
      </c>
      <c r="J153" s="355">
        <f>H153-L153</f>
        <v>3.1400000000000011E-2</v>
      </c>
      <c r="K153" s="363" t="s">
        <v>271</v>
      </c>
      <c r="L153" s="64">
        <v>7.4799999999999991E-2</v>
      </c>
      <c r="M153" s="363" t="s">
        <v>58</v>
      </c>
      <c r="N153" s="65">
        <v>49</v>
      </c>
      <c r="O153" s="363" t="s">
        <v>60</v>
      </c>
      <c r="P153" s="65">
        <v>49</v>
      </c>
      <c r="Q153" s="363" t="s">
        <v>61</v>
      </c>
      <c r="R153" s="65">
        <v>98</v>
      </c>
      <c r="S153" s="363" t="s">
        <v>62</v>
      </c>
      <c r="T153" s="65">
        <v>29</v>
      </c>
      <c r="U153" s="363" t="s">
        <v>55</v>
      </c>
      <c r="V153" s="66" t="s">
        <v>400</v>
      </c>
      <c r="W153" s="463" t="s">
        <v>394</v>
      </c>
      <c r="X153" s="465">
        <v>0.45</v>
      </c>
      <c r="Y153" s="463" t="s">
        <v>393</v>
      </c>
      <c r="Z153" s="358">
        <v>14</v>
      </c>
    </row>
    <row r="154" spans="1:26" x14ac:dyDescent="0.25">
      <c r="A154" s="362" t="s">
        <v>33</v>
      </c>
      <c r="B154" s="370">
        <v>0</v>
      </c>
      <c r="C154" s="371">
        <v>1.2999999999999999E-2</v>
      </c>
      <c r="D154" s="371">
        <v>1.7000000000000001E-2</v>
      </c>
      <c r="E154" s="371">
        <v>0.04</v>
      </c>
      <c r="F154" s="371">
        <v>0.125</v>
      </c>
      <c r="G154" s="371">
        <v>0.17899999999999999</v>
      </c>
      <c r="H154" s="371">
        <v>0.222</v>
      </c>
      <c r="I154" s="371">
        <v>0.28899999999999998</v>
      </c>
      <c r="J154" s="371">
        <v>0.35399999999999998</v>
      </c>
      <c r="K154" s="371">
        <v>0.39400000000000002</v>
      </c>
      <c r="L154" s="371">
        <v>0.40600000000000003</v>
      </c>
      <c r="M154" s="371">
        <v>0.41599999999999998</v>
      </c>
      <c r="N154" s="371">
        <v>0.42299999999999999</v>
      </c>
      <c r="O154" s="371">
        <v>0.43099999999999999</v>
      </c>
      <c r="P154" s="371">
        <v>0.44700000000000001</v>
      </c>
      <c r="Q154" s="371">
        <v>0.45300000000000001</v>
      </c>
      <c r="R154" s="371">
        <v>0.45500000000000002</v>
      </c>
      <c r="S154" s="371">
        <v>0.45500000000000002</v>
      </c>
      <c r="T154" s="371">
        <v>0.45500000000000002</v>
      </c>
      <c r="U154" s="371">
        <v>0.45500000000000002</v>
      </c>
      <c r="V154" s="371">
        <v>0.45500000000000002</v>
      </c>
      <c r="W154" s="371">
        <v>0.45500000000000002</v>
      </c>
      <c r="X154" s="371">
        <v>2</v>
      </c>
      <c r="Y154" s="381">
        <v>1000</v>
      </c>
    </row>
    <row r="155" spans="1:26" x14ac:dyDescent="0.25">
      <c r="A155" s="378" t="s">
        <v>34</v>
      </c>
      <c r="B155" s="372">
        <v>0</v>
      </c>
      <c r="C155" s="373">
        <v>79.242000000000004</v>
      </c>
      <c r="D155" s="373">
        <v>90.427000000000007</v>
      </c>
      <c r="E155" s="373">
        <v>101.422</v>
      </c>
      <c r="F155" s="373">
        <v>127.583</v>
      </c>
      <c r="G155" s="373">
        <v>136.114</v>
      </c>
      <c r="H155" s="373">
        <v>139.905</v>
      </c>
      <c r="I155" s="373">
        <v>143.50700000000001</v>
      </c>
      <c r="J155" s="373">
        <v>138.578</v>
      </c>
      <c r="K155" s="373">
        <v>125.498</v>
      </c>
      <c r="L155" s="373">
        <v>123.602</v>
      </c>
      <c r="M155" s="373">
        <v>125.11799999999999</v>
      </c>
      <c r="N155" s="373">
        <v>130.047</v>
      </c>
      <c r="O155" s="373">
        <v>120.569</v>
      </c>
      <c r="P155" s="373">
        <v>25.591999999999999</v>
      </c>
      <c r="Q155" s="373">
        <v>8.7200000000000006</v>
      </c>
      <c r="R155" s="373">
        <v>0</v>
      </c>
      <c r="S155" s="373">
        <v>0</v>
      </c>
      <c r="T155" s="373">
        <v>0</v>
      </c>
      <c r="U155" s="373">
        <v>0</v>
      </c>
      <c r="V155" s="373">
        <v>0</v>
      </c>
      <c r="W155" s="373">
        <v>0</v>
      </c>
      <c r="X155" s="373">
        <v>0</v>
      </c>
      <c r="Y155" s="382">
        <v>0</v>
      </c>
    </row>
    <row r="156" spans="1:26" ht="13" thickBot="1" x14ac:dyDescent="0.3">
      <c r="A156" s="379" t="s">
        <v>117</v>
      </c>
      <c r="B156" s="374">
        <f t="shared" ref="B156:X156" si="56">(C155+B155)*(C154-B154)/2</f>
        <v>0.515073</v>
      </c>
      <c r="C156" s="375">
        <f t="shared" si="56"/>
        <v>0.3393380000000002</v>
      </c>
      <c r="D156" s="375">
        <f t="shared" si="56"/>
        <v>2.2062634999999999</v>
      </c>
      <c r="E156" s="375">
        <f t="shared" si="56"/>
        <v>9.7327124999999981</v>
      </c>
      <c r="F156" s="375">
        <f t="shared" si="56"/>
        <v>7.1198189999999988</v>
      </c>
      <c r="G156" s="375">
        <f t="shared" si="56"/>
        <v>5.9344085000000018</v>
      </c>
      <c r="H156" s="375">
        <f t="shared" si="56"/>
        <v>9.4943019999999976</v>
      </c>
      <c r="I156" s="375">
        <f t="shared" si="56"/>
        <v>9.167762500000002</v>
      </c>
      <c r="J156" s="375">
        <f t="shared" si="56"/>
        <v>5.2815200000000049</v>
      </c>
      <c r="K156" s="375">
        <f t="shared" si="56"/>
        <v>1.4946000000000015</v>
      </c>
      <c r="L156" s="375">
        <f t="shared" si="56"/>
        <v>1.2435999999999943</v>
      </c>
      <c r="M156" s="375">
        <f t="shared" si="56"/>
        <v>0.89307750000000075</v>
      </c>
      <c r="N156" s="375">
        <f t="shared" si="56"/>
        <v>1.0024640000000009</v>
      </c>
      <c r="O156" s="375">
        <f t="shared" si="56"/>
        <v>1.169288000000001</v>
      </c>
      <c r="P156" s="375">
        <f t="shared" si="56"/>
        <v>0.10293600000000008</v>
      </c>
      <c r="Q156" s="375">
        <f t="shared" si="56"/>
        <v>8.720000000000009E-3</v>
      </c>
      <c r="R156" s="375">
        <f t="shared" si="56"/>
        <v>0</v>
      </c>
      <c r="S156" s="375">
        <f t="shared" si="56"/>
        <v>0</v>
      </c>
      <c r="T156" s="375">
        <f t="shared" si="56"/>
        <v>0</v>
      </c>
      <c r="U156" s="375">
        <f t="shared" si="56"/>
        <v>0</v>
      </c>
      <c r="V156" s="375">
        <f t="shared" si="56"/>
        <v>0</v>
      </c>
      <c r="W156" s="375">
        <f t="shared" si="56"/>
        <v>0</v>
      </c>
      <c r="X156" s="375">
        <f t="shared" si="56"/>
        <v>0</v>
      </c>
      <c r="Y156" s="369"/>
    </row>
    <row r="157" spans="1:26" ht="13" thickBot="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6" ht="13.5" thickBot="1" x14ac:dyDescent="0.35">
      <c r="A158" s="361" t="s">
        <v>385</v>
      </c>
      <c r="B158" s="359">
        <f>ROW(A158)</f>
        <v>158</v>
      </c>
      <c r="C158" s="363" t="s">
        <v>116</v>
      </c>
      <c r="D158" s="353">
        <f>SUM(B161:Y161)</f>
        <v>57.190000000000005</v>
      </c>
      <c r="E158" s="363" t="s">
        <v>115</v>
      </c>
      <c r="F158" s="354">
        <f>D158/g/J158</f>
        <v>188.05695307618953</v>
      </c>
      <c r="G158" s="363" t="s">
        <v>57</v>
      </c>
      <c r="H158" s="64">
        <v>9.9000000000000005E-2</v>
      </c>
      <c r="I158" s="363" t="s">
        <v>270</v>
      </c>
      <c r="J158" s="355">
        <f>H158-L158</f>
        <v>3.1E-2</v>
      </c>
      <c r="K158" s="363" t="s">
        <v>271</v>
      </c>
      <c r="L158" s="64">
        <v>6.8000000000000005E-2</v>
      </c>
      <c r="M158" s="363" t="s">
        <v>58</v>
      </c>
      <c r="N158" s="65">
        <v>49</v>
      </c>
      <c r="O158" s="363" t="s">
        <v>60</v>
      </c>
      <c r="P158" s="65">
        <v>49</v>
      </c>
      <c r="Q158" s="363" t="s">
        <v>61</v>
      </c>
      <c r="R158" s="65">
        <v>98</v>
      </c>
      <c r="S158" s="363" t="s">
        <v>62</v>
      </c>
      <c r="T158" s="65">
        <v>29</v>
      </c>
      <c r="U158" s="363" t="s">
        <v>55</v>
      </c>
      <c r="V158" s="66" t="s">
        <v>400</v>
      </c>
      <c r="W158" s="463" t="s">
        <v>394</v>
      </c>
      <c r="X158" s="465">
        <v>0.96</v>
      </c>
      <c r="Y158" s="463" t="s">
        <v>393</v>
      </c>
      <c r="Z158" s="358">
        <v>12</v>
      </c>
    </row>
    <row r="159" spans="1:26" x14ac:dyDescent="0.25">
      <c r="A159" s="362" t="s">
        <v>33</v>
      </c>
      <c r="B159" s="370">
        <v>0</v>
      </c>
      <c r="C159" s="371">
        <v>0.01</v>
      </c>
      <c r="D159" s="371">
        <v>0.02</v>
      </c>
      <c r="E159" s="371">
        <v>0.03</v>
      </c>
      <c r="F159" s="371">
        <v>0.04</v>
      </c>
      <c r="G159" s="371">
        <v>7.0000000000000007E-2</v>
      </c>
      <c r="H159" s="371">
        <v>0.1</v>
      </c>
      <c r="I159" s="371">
        <v>0.2</v>
      </c>
      <c r="J159" s="371">
        <v>0.3</v>
      </c>
      <c r="K159" s="371">
        <v>0.4</v>
      </c>
      <c r="L159" s="371">
        <v>0.5</v>
      </c>
      <c r="M159" s="371">
        <v>0.6</v>
      </c>
      <c r="N159" s="371">
        <v>0.7</v>
      </c>
      <c r="O159" s="371">
        <v>0.87</v>
      </c>
      <c r="P159" s="371">
        <v>0.9</v>
      </c>
      <c r="Q159" s="371">
        <v>0.97</v>
      </c>
      <c r="R159" s="371">
        <v>0.97</v>
      </c>
      <c r="S159" s="371">
        <v>0.97</v>
      </c>
      <c r="T159" s="371">
        <v>0.97</v>
      </c>
      <c r="U159" s="371">
        <v>0.97</v>
      </c>
      <c r="V159" s="371">
        <v>0.97</v>
      </c>
      <c r="W159" s="371">
        <v>0.97</v>
      </c>
      <c r="X159" s="371">
        <v>2</v>
      </c>
      <c r="Y159" s="381">
        <v>1000</v>
      </c>
    </row>
    <row r="160" spans="1:26" x14ac:dyDescent="0.25">
      <c r="A160" s="378" t="s">
        <v>34</v>
      </c>
      <c r="B160" s="372">
        <v>0</v>
      </c>
      <c r="C160" s="373">
        <v>16</v>
      </c>
      <c r="D160" s="373">
        <v>62</v>
      </c>
      <c r="E160" s="373">
        <v>67</v>
      </c>
      <c r="F160" s="373">
        <v>71</v>
      </c>
      <c r="G160" s="373">
        <v>58</v>
      </c>
      <c r="H160" s="373">
        <v>63</v>
      </c>
      <c r="I160" s="373">
        <v>67</v>
      </c>
      <c r="J160" s="373">
        <v>69</v>
      </c>
      <c r="K160" s="373">
        <v>67</v>
      </c>
      <c r="L160" s="373">
        <v>65</v>
      </c>
      <c r="M160" s="373">
        <v>63</v>
      </c>
      <c r="N160" s="373">
        <v>61</v>
      </c>
      <c r="O160" s="373">
        <v>60</v>
      </c>
      <c r="P160" s="373">
        <v>23</v>
      </c>
      <c r="Q160" s="373">
        <v>0</v>
      </c>
      <c r="R160" s="373">
        <v>0</v>
      </c>
      <c r="S160" s="373">
        <v>0</v>
      </c>
      <c r="T160" s="373">
        <v>0</v>
      </c>
      <c r="U160" s="373">
        <v>0</v>
      </c>
      <c r="V160" s="373">
        <v>0</v>
      </c>
      <c r="W160" s="373">
        <v>0</v>
      </c>
      <c r="X160" s="373">
        <v>0</v>
      </c>
      <c r="Y160" s="382">
        <v>0</v>
      </c>
    </row>
    <row r="161" spans="1:26" ht="13" thickBot="1" x14ac:dyDescent="0.3">
      <c r="A161" s="379" t="s">
        <v>117</v>
      </c>
      <c r="B161" s="374">
        <f t="shared" ref="B161:X161" si="57">(C160+B160)*(C159-B159)/2</f>
        <v>0.08</v>
      </c>
      <c r="C161" s="375">
        <f t="shared" si="57"/>
        <v>0.39</v>
      </c>
      <c r="D161" s="375">
        <f t="shared" si="57"/>
        <v>0.64499999999999991</v>
      </c>
      <c r="E161" s="375">
        <f t="shared" si="57"/>
        <v>0.69000000000000017</v>
      </c>
      <c r="F161" s="375">
        <f t="shared" si="57"/>
        <v>1.9350000000000003</v>
      </c>
      <c r="G161" s="375">
        <f t="shared" si="57"/>
        <v>1.8149999999999999</v>
      </c>
      <c r="H161" s="375">
        <f t="shared" si="57"/>
        <v>6.5</v>
      </c>
      <c r="I161" s="375">
        <f t="shared" si="57"/>
        <v>6.7999999999999989</v>
      </c>
      <c r="J161" s="375">
        <f t="shared" si="57"/>
        <v>6.8000000000000025</v>
      </c>
      <c r="K161" s="375">
        <f t="shared" si="57"/>
        <v>6.5999999999999988</v>
      </c>
      <c r="L161" s="375">
        <f t="shared" si="57"/>
        <v>6.3999999999999986</v>
      </c>
      <c r="M161" s="375">
        <f t="shared" si="57"/>
        <v>6.1999999999999984</v>
      </c>
      <c r="N161" s="375">
        <f t="shared" si="57"/>
        <v>10.285000000000002</v>
      </c>
      <c r="O161" s="375">
        <f t="shared" si="57"/>
        <v>1.245000000000001</v>
      </c>
      <c r="P161" s="375">
        <f t="shared" si="57"/>
        <v>0.80499999999999949</v>
      </c>
      <c r="Q161" s="375">
        <f t="shared" si="57"/>
        <v>0</v>
      </c>
      <c r="R161" s="375">
        <f t="shared" si="57"/>
        <v>0</v>
      </c>
      <c r="S161" s="375">
        <f t="shared" si="57"/>
        <v>0</v>
      </c>
      <c r="T161" s="375">
        <f t="shared" si="57"/>
        <v>0</v>
      </c>
      <c r="U161" s="375">
        <f t="shared" si="57"/>
        <v>0</v>
      </c>
      <c r="V161" s="375">
        <f t="shared" si="57"/>
        <v>0</v>
      </c>
      <c r="W161" s="375">
        <f t="shared" si="57"/>
        <v>0</v>
      </c>
      <c r="X161" s="375">
        <f t="shared" si="57"/>
        <v>0</v>
      </c>
      <c r="Y161" s="369"/>
    </row>
    <row r="162" spans="1:26" ht="13.5" thickBot="1" x14ac:dyDescent="0.35">
      <c r="A162" s="6" t="s">
        <v>314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6" ht="13.5" thickBot="1" x14ac:dyDescent="0.35">
      <c r="A163" s="361" t="s">
        <v>321</v>
      </c>
      <c r="B163" s="359">
        <f>ROW(A163)</f>
        <v>163</v>
      </c>
      <c r="C163" s="363" t="s">
        <v>116</v>
      </c>
      <c r="D163" s="353">
        <f>SUM(B166:Y166)</f>
        <v>59.702267000000006</v>
      </c>
      <c r="E163" s="363" t="s">
        <v>115</v>
      </c>
      <c r="F163" s="354">
        <f>D163/g/J163</f>
        <v>190.77924771281306</v>
      </c>
      <c r="G163" s="363" t="s">
        <v>57</v>
      </c>
      <c r="H163" s="64">
        <v>9.3899999999999997E-2</v>
      </c>
      <c r="I163" s="363" t="s">
        <v>270</v>
      </c>
      <c r="J163" s="355">
        <f>H163-L163</f>
        <v>3.1899999999999998E-2</v>
      </c>
      <c r="K163" s="363" t="s">
        <v>271</v>
      </c>
      <c r="L163" s="64">
        <f>0.095-0.033</f>
        <v>6.2E-2</v>
      </c>
      <c r="M163" s="363" t="s">
        <v>58</v>
      </c>
      <c r="N163" s="396">
        <v>66.5</v>
      </c>
      <c r="O163" s="363" t="s">
        <v>60</v>
      </c>
      <c r="P163" s="396">
        <v>66.5</v>
      </c>
      <c r="Q163" s="363" t="s">
        <v>61</v>
      </c>
      <c r="R163" s="65">
        <v>133</v>
      </c>
      <c r="S163" s="363" t="s">
        <v>62</v>
      </c>
      <c r="T163" s="65">
        <v>24</v>
      </c>
      <c r="U163" s="363" t="s">
        <v>55</v>
      </c>
      <c r="V163" s="66" t="s">
        <v>399</v>
      </c>
      <c r="W163" s="463" t="s">
        <v>394</v>
      </c>
      <c r="X163" s="465">
        <v>1.2</v>
      </c>
      <c r="Y163" s="463" t="s">
        <v>393</v>
      </c>
      <c r="Z163" s="358">
        <v>13</v>
      </c>
    </row>
    <row r="164" spans="1:26" x14ac:dyDescent="0.25">
      <c r="A164" s="362" t="s">
        <v>33</v>
      </c>
      <c r="B164" s="370">
        <v>0</v>
      </c>
      <c r="C164" s="371">
        <v>1.4999999999999999E-2</v>
      </c>
      <c r="D164" s="371">
        <v>2.1999999999999999E-2</v>
      </c>
      <c r="E164" s="371">
        <v>6.4000000000000001E-2</v>
      </c>
      <c r="F164" s="371">
        <v>0.11799999999999999</v>
      </c>
      <c r="G164" s="371">
        <v>0.34200000000000003</v>
      </c>
      <c r="H164" s="371">
        <v>0.53600000000000003</v>
      </c>
      <c r="I164" s="371">
        <v>0.74299999999999999</v>
      </c>
      <c r="J164" s="371">
        <v>0.88400000000000001</v>
      </c>
      <c r="K164" s="371">
        <v>0.97599999999999998</v>
      </c>
      <c r="L164" s="371">
        <v>1.0960000000000001</v>
      </c>
      <c r="M164" s="371">
        <v>1.246</v>
      </c>
      <c r="N164" s="371">
        <v>1.298</v>
      </c>
      <c r="O164" s="371">
        <v>2</v>
      </c>
      <c r="P164" s="371">
        <v>2</v>
      </c>
      <c r="Q164" s="371">
        <v>2</v>
      </c>
      <c r="R164" s="371">
        <v>2</v>
      </c>
      <c r="S164" s="371">
        <v>2</v>
      </c>
      <c r="T164" s="371">
        <v>2</v>
      </c>
      <c r="U164" s="371">
        <v>2</v>
      </c>
      <c r="V164" s="371">
        <v>2</v>
      </c>
      <c r="W164" s="371">
        <v>2</v>
      </c>
      <c r="X164" s="371">
        <f t="shared" ref="T164:X165" si="58">W164</f>
        <v>2</v>
      </c>
      <c r="Y164" s="381">
        <v>1000</v>
      </c>
    </row>
    <row r="165" spans="1:26" x14ac:dyDescent="0.25">
      <c r="A165" s="378" t="s">
        <v>34</v>
      </c>
      <c r="B165" s="372">
        <v>0</v>
      </c>
      <c r="C165" s="373">
        <v>64.981999999999999</v>
      </c>
      <c r="D165" s="373">
        <v>69.516000000000005</v>
      </c>
      <c r="E165" s="373">
        <v>55.536999999999999</v>
      </c>
      <c r="F165" s="373">
        <v>62.81</v>
      </c>
      <c r="G165" s="373">
        <v>62.149000000000001</v>
      </c>
      <c r="H165" s="373">
        <v>59.41</v>
      </c>
      <c r="I165" s="373">
        <v>53.837000000000003</v>
      </c>
      <c r="J165" s="373">
        <v>46.942</v>
      </c>
      <c r="K165" s="373">
        <v>40.046999999999997</v>
      </c>
      <c r="L165" s="373">
        <v>12.561999999999999</v>
      </c>
      <c r="M165" s="373">
        <v>2.0779999999999998</v>
      </c>
      <c r="N165" s="373">
        <v>0</v>
      </c>
      <c r="O165" s="373">
        <v>0</v>
      </c>
      <c r="P165" s="373">
        <v>0</v>
      </c>
      <c r="Q165" s="373">
        <v>0</v>
      </c>
      <c r="R165" s="373">
        <v>0</v>
      </c>
      <c r="S165" s="373">
        <v>0</v>
      </c>
      <c r="T165" s="373">
        <f t="shared" si="58"/>
        <v>0</v>
      </c>
      <c r="U165" s="373">
        <f t="shared" si="58"/>
        <v>0</v>
      </c>
      <c r="V165" s="373">
        <f t="shared" si="58"/>
        <v>0</v>
      </c>
      <c r="W165" s="373">
        <f t="shared" si="58"/>
        <v>0</v>
      </c>
      <c r="X165" s="373">
        <f t="shared" si="58"/>
        <v>0</v>
      </c>
      <c r="Y165" s="382">
        <v>0</v>
      </c>
    </row>
    <row r="166" spans="1:26" ht="13" thickBot="1" x14ac:dyDescent="0.3">
      <c r="A166" s="379" t="s">
        <v>117</v>
      </c>
      <c r="B166" s="374">
        <f t="shared" ref="B166:V166" si="59">(C165+B165)*(C164-B164)/2</f>
        <v>0.48736499999999999</v>
      </c>
      <c r="C166" s="375">
        <f t="shared" si="59"/>
        <v>0.47074299999999991</v>
      </c>
      <c r="D166" s="375">
        <f t="shared" si="59"/>
        <v>2.6261130000000001</v>
      </c>
      <c r="E166" s="375">
        <f t="shared" si="59"/>
        <v>3.1953689999999999</v>
      </c>
      <c r="F166" s="375">
        <f t="shared" si="59"/>
        <v>13.995408000000003</v>
      </c>
      <c r="G166" s="375">
        <f t="shared" si="59"/>
        <v>11.791223</v>
      </c>
      <c r="H166" s="375">
        <f t="shared" si="59"/>
        <v>11.721064499999997</v>
      </c>
      <c r="I166" s="375">
        <f t="shared" si="59"/>
        <v>7.1049195000000003</v>
      </c>
      <c r="J166" s="375">
        <f>(K165+J165)*(K164-J164)/2</f>
        <v>4.0014939999999992</v>
      </c>
      <c r="K166" s="375">
        <f t="shared" si="59"/>
        <v>3.1565400000000023</v>
      </c>
      <c r="L166" s="375">
        <f t="shared" si="59"/>
        <v>1.0979999999999992</v>
      </c>
      <c r="M166" s="375">
        <f t="shared" si="59"/>
        <v>5.4028000000000041E-2</v>
      </c>
      <c r="N166" s="375">
        <f t="shared" si="59"/>
        <v>0</v>
      </c>
      <c r="O166" s="375">
        <f t="shared" si="59"/>
        <v>0</v>
      </c>
      <c r="P166" s="375">
        <f t="shared" si="59"/>
        <v>0</v>
      </c>
      <c r="Q166" s="375">
        <f t="shared" si="59"/>
        <v>0</v>
      </c>
      <c r="R166" s="375">
        <f t="shared" si="59"/>
        <v>0</v>
      </c>
      <c r="S166" s="375">
        <f>(T165+S165)*(T164-S164)/2</f>
        <v>0</v>
      </c>
      <c r="T166" s="375">
        <f t="shared" si="59"/>
        <v>0</v>
      </c>
      <c r="U166" s="375">
        <f t="shared" si="59"/>
        <v>0</v>
      </c>
      <c r="V166" s="375">
        <f t="shared" si="59"/>
        <v>0</v>
      </c>
      <c r="W166" s="375">
        <f>(X165+W165)*(X164-W164)/2</f>
        <v>0</v>
      </c>
      <c r="X166" s="375">
        <f>(Y165+X165)*(Y164-X164)/2</f>
        <v>0</v>
      </c>
      <c r="Y166" s="369"/>
    </row>
    <row r="167" spans="1:26" ht="13" thickBot="1" x14ac:dyDescent="0.3"/>
    <row r="168" spans="1:26" ht="13.5" thickBot="1" x14ac:dyDescent="0.35">
      <c r="A168" s="361" t="s">
        <v>322</v>
      </c>
      <c r="B168" s="359">
        <f>ROW(A168)</f>
        <v>168</v>
      </c>
      <c r="C168" s="363" t="s">
        <v>116</v>
      </c>
      <c r="D168" s="353">
        <f>SUM(B171:Y171)</f>
        <v>68.380602999999994</v>
      </c>
      <c r="E168" s="363" t="s">
        <v>115</v>
      </c>
      <c r="F168" s="354">
        <f>D168/g/J168</f>
        <v>134.04807300243078</v>
      </c>
      <c r="G168" s="363" t="s">
        <v>57</v>
      </c>
      <c r="H168" s="64">
        <v>0.1075</v>
      </c>
      <c r="I168" s="363" t="s">
        <v>270</v>
      </c>
      <c r="J168" s="355">
        <f>H168-L168</f>
        <v>5.1999999999999998E-2</v>
      </c>
      <c r="K168" s="363" t="s">
        <v>271</v>
      </c>
      <c r="L168" s="64">
        <v>5.5500000000000001E-2</v>
      </c>
      <c r="M168" s="363" t="s">
        <v>58</v>
      </c>
      <c r="N168" s="396">
        <v>66.5</v>
      </c>
      <c r="O168" s="363" t="s">
        <v>60</v>
      </c>
      <c r="P168" s="396">
        <v>66.5</v>
      </c>
      <c r="Q168" s="363" t="s">
        <v>61</v>
      </c>
      <c r="R168" s="65">
        <v>133</v>
      </c>
      <c r="S168" s="363" t="s">
        <v>62</v>
      </c>
      <c r="T168" s="65">
        <v>24</v>
      </c>
      <c r="U168" s="363" t="s">
        <v>55</v>
      </c>
      <c r="V168" s="66" t="s">
        <v>399</v>
      </c>
      <c r="W168" s="463" t="s">
        <v>394</v>
      </c>
      <c r="X168" s="465">
        <v>0.86</v>
      </c>
      <c r="Y168" s="463" t="s">
        <v>393</v>
      </c>
      <c r="Z168" s="358">
        <v>13</v>
      </c>
    </row>
    <row r="169" spans="1:26" x14ac:dyDescent="0.25">
      <c r="A169" s="362" t="s">
        <v>33</v>
      </c>
      <c r="B169" s="370">
        <v>0</v>
      </c>
      <c r="C169" s="371">
        <v>5.0000000000000001E-3</v>
      </c>
      <c r="D169" s="371">
        <v>1.2999999999999999E-2</v>
      </c>
      <c r="E169" s="371">
        <v>2.1999999999999999E-2</v>
      </c>
      <c r="F169" s="371">
        <v>4.2999999999999997E-2</v>
      </c>
      <c r="G169" s="371">
        <v>0.11899999999999999</v>
      </c>
      <c r="H169" s="371">
        <v>0.19800000000000001</v>
      </c>
      <c r="I169" s="371">
        <v>0.26700000000000002</v>
      </c>
      <c r="J169" s="371">
        <v>0.34300000000000003</v>
      </c>
      <c r="K169" s="371">
        <v>0.40400000000000003</v>
      </c>
      <c r="L169" s="371">
        <v>0.498</v>
      </c>
      <c r="M169" s="371">
        <v>0.55500000000000005</v>
      </c>
      <c r="N169" s="371">
        <v>0.622</v>
      </c>
      <c r="O169" s="371">
        <v>0.66300000000000003</v>
      </c>
      <c r="P169" s="371">
        <v>0.70399999999999996</v>
      </c>
      <c r="Q169" s="371">
        <v>0.72899999999999998</v>
      </c>
      <c r="R169" s="371">
        <v>0.747</v>
      </c>
      <c r="S169" s="371">
        <v>0.76800000000000002</v>
      </c>
      <c r="T169" s="371">
        <v>0.82099999999999995</v>
      </c>
      <c r="U169" s="371">
        <v>0.85199999999999998</v>
      </c>
      <c r="V169" s="371">
        <v>0.89200000000000002</v>
      </c>
      <c r="W169" s="371">
        <v>1</v>
      </c>
      <c r="X169" s="371">
        <v>2</v>
      </c>
      <c r="Y169" s="381">
        <v>1000</v>
      </c>
    </row>
    <row r="170" spans="1:26" x14ac:dyDescent="0.25">
      <c r="A170" s="378" t="s">
        <v>34</v>
      </c>
      <c r="B170" s="372">
        <v>0</v>
      </c>
      <c r="C170" s="373">
        <v>60</v>
      </c>
      <c r="D170" s="373">
        <v>89.007000000000005</v>
      </c>
      <c r="E170" s="373">
        <v>96.290999999999997</v>
      </c>
      <c r="F170" s="373">
        <v>81.721999999999994</v>
      </c>
      <c r="G170" s="373">
        <v>85.563000000000002</v>
      </c>
      <c r="H170" s="373">
        <v>87.947000000000003</v>
      </c>
      <c r="I170" s="373">
        <v>89.272000000000006</v>
      </c>
      <c r="J170" s="373">
        <v>89.933999999999997</v>
      </c>
      <c r="K170" s="373">
        <v>90.861000000000004</v>
      </c>
      <c r="L170" s="373">
        <v>91.522999999999996</v>
      </c>
      <c r="M170" s="373">
        <v>89.668999999999997</v>
      </c>
      <c r="N170" s="373">
        <v>83.974000000000004</v>
      </c>
      <c r="O170" s="373">
        <v>80.53</v>
      </c>
      <c r="P170" s="373">
        <v>78.94</v>
      </c>
      <c r="Q170" s="373">
        <v>74.171999999999997</v>
      </c>
      <c r="R170" s="373">
        <v>66.887</v>
      </c>
      <c r="S170" s="373">
        <v>53.774999999999999</v>
      </c>
      <c r="T170" s="373">
        <v>18.542999999999999</v>
      </c>
      <c r="U170" s="373">
        <v>7.8150000000000004</v>
      </c>
      <c r="V170" s="373">
        <v>2.1190000000000002</v>
      </c>
      <c r="W170" s="373">
        <v>0</v>
      </c>
      <c r="X170" s="373">
        <v>0</v>
      </c>
      <c r="Y170" s="382">
        <v>0</v>
      </c>
    </row>
    <row r="171" spans="1:26" ht="13" thickBot="1" x14ac:dyDescent="0.3">
      <c r="A171" s="379" t="s">
        <v>117</v>
      </c>
      <c r="B171" s="374">
        <f t="shared" ref="B171:X171" si="60">(C170+B170)*(C169-B169)/2</f>
        <v>0.15</v>
      </c>
      <c r="C171" s="375">
        <f t="shared" si="60"/>
        <v>0.596028</v>
      </c>
      <c r="D171" s="375">
        <f t="shared" si="60"/>
        <v>0.83384099999999994</v>
      </c>
      <c r="E171" s="375">
        <f t="shared" si="60"/>
        <v>1.8691364999999995</v>
      </c>
      <c r="F171" s="375">
        <f t="shared" si="60"/>
        <v>6.3568299999999995</v>
      </c>
      <c r="G171" s="375">
        <f t="shared" si="60"/>
        <v>6.8536450000000011</v>
      </c>
      <c r="H171" s="375">
        <f t="shared" si="60"/>
        <v>6.1140555000000001</v>
      </c>
      <c r="I171" s="375">
        <f t="shared" si="60"/>
        <v>6.8098280000000013</v>
      </c>
      <c r="J171" s="375">
        <f t="shared" si="60"/>
        <v>5.5142475000000006</v>
      </c>
      <c r="K171" s="375">
        <f t="shared" si="60"/>
        <v>8.5720479999999988</v>
      </c>
      <c r="L171" s="375">
        <f t="shared" si="60"/>
        <v>5.1639720000000047</v>
      </c>
      <c r="M171" s="375">
        <f t="shared" si="60"/>
        <v>5.8170404999999956</v>
      </c>
      <c r="N171" s="375">
        <f t="shared" si="60"/>
        <v>3.3723320000000032</v>
      </c>
      <c r="O171" s="375">
        <f t="shared" si="60"/>
        <v>3.2691349999999941</v>
      </c>
      <c r="P171" s="375">
        <f t="shared" si="60"/>
        <v>1.9139000000000017</v>
      </c>
      <c r="Q171" s="375">
        <f t="shared" si="60"/>
        <v>1.2695310000000011</v>
      </c>
      <c r="R171" s="375">
        <f t="shared" si="60"/>
        <v>1.2669510000000013</v>
      </c>
      <c r="S171" s="375">
        <f t="shared" si="60"/>
        <v>1.9164269999999977</v>
      </c>
      <c r="T171" s="375">
        <f t="shared" si="60"/>
        <v>0.40854900000000038</v>
      </c>
      <c r="U171" s="375">
        <f t="shared" si="60"/>
        <v>0.19868000000000019</v>
      </c>
      <c r="V171" s="375">
        <f t="shared" si="60"/>
        <v>0.114426</v>
      </c>
      <c r="W171" s="375">
        <f t="shared" si="60"/>
        <v>0</v>
      </c>
      <c r="X171" s="375">
        <f t="shared" si="60"/>
        <v>0</v>
      </c>
      <c r="Y171" s="369"/>
    </row>
    <row r="172" spans="1:26" ht="13" thickBot="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6" ht="13.5" thickBot="1" x14ac:dyDescent="0.35">
      <c r="A173" s="361" t="s">
        <v>323</v>
      </c>
      <c r="B173" s="359">
        <f>ROW(A173)</f>
        <v>173</v>
      </c>
      <c r="C173" s="363" t="s">
        <v>116</v>
      </c>
      <c r="D173" s="353">
        <f>SUM(B176:Y176)</f>
        <v>67.985428500000012</v>
      </c>
      <c r="E173" s="363" t="s">
        <v>115</v>
      </c>
      <c r="F173" s="354">
        <f>D173/g/J173</f>
        <v>181.89545859519862</v>
      </c>
      <c r="G173" s="363" t="s">
        <v>57</v>
      </c>
      <c r="H173" s="64">
        <v>9.1799999999999993E-2</v>
      </c>
      <c r="I173" s="363" t="s">
        <v>270</v>
      </c>
      <c r="J173" s="355">
        <f>H173-L173</f>
        <v>3.8099999999999988E-2</v>
      </c>
      <c r="K173" s="363" t="s">
        <v>271</v>
      </c>
      <c r="L173" s="64">
        <v>5.3700000000000005E-2</v>
      </c>
      <c r="M173" s="363" t="s">
        <v>58</v>
      </c>
      <c r="N173" s="396">
        <v>66.5</v>
      </c>
      <c r="O173" s="363" t="s">
        <v>60</v>
      </c>
      <c r="P173" s="396">
        <v>66.5</v>
      </c>
      <c r="Q173" s="363" t="s">
        <v>61</v>
      </c>
      <c r="R173" s="65">
        <v>133</v>
      </c>
      <c r="S173" s="363" t="s">
        <v>62</v>
      </c>
      <c r="T173" s="65">
        <v>24</v>
      </c>
      <c r="U173" s="363" t="s">
        <v>55</v>
      </c>
      <c r="V173" s="66" t="s">
        <v>399</v>
      </c>
      <c r="W173" s="463" t="s">
        <v>394</v>
      </c>
      <c r="X173" s="465">
        <v>0.33</v>
      </c>
      <c r="Y173" s="463" t="s">
        <v>393</v>
      </c>
      <c r="Z173" s="358">
        <v>15</v>
      </c>
    </row>
    <row r="174" spans="1:26" x14ac:dyDescent="0.25">
      <c r="A174" s="362" t="s">
        <v>33</v>
      </c>
      <c r="B174" s="370">
        <v>0</v>
      </c>
      <c r="C174" s="371">
        <v>4.0000000000000001E-3</v>
      </c>
      <c r="D174" s="371">
        <v>7.0000000000000001E-3</v>
      </c>
      <c r="E174" s="371">
        <v>0.01</v>
      </c>
      <c r="F174" s="371">
        <v>2.1999999999999999E-2</v>
      </c>
      <c r="G174" s="371">
        <v>2.8000000000000001E-2</v>
      </c>
      <c r="H174" s="371">
        <v>4.1000000000000002E-2</v>
      </c>
      <c r="I174" s="371">
        <v>5.8000000000000003E-2</v>
      </c>
      <c r="J174" s="371">
        <v>7.6999999999999999E-2</v>
      </c>
      <c r="K174" s="371">
        <v>8.8999999999999996E-2</v>
      </c>
      <c r="L174" s="371">
        <v>9.7000000000000003E-2</v>
      </c>
      <c r="M174" s="371">
        <v>0.11899999999999999</v>
      </c>
      <c r="N174" s="371">
        <v>0.14699999999999999</v>
      </c>
      <c r="O174" s="371">
        <v>0.17699999999999999</v>
      </c>
      <c r="P174" s="371">
        <v>0.20699999999999999</v>
      </c>
      <c r="Q174" s="371">
        <v>0.253</v>
      </c>
      <c r="R174" s="371">
        <v>0.25900000000000001</v>
      </c>
      <c r="S174" s="371">
        <v>0.27200000000000002</v>
      </c>
      <c r="T174" s="371">
        <v>0.28000000000000003</v>
      </c>
      <c r="U174" s="371">
        <v>0.28599999999999998</v>
      </c>
      <c r="V174" s="371">
        <v>0.29399999999999998</v>
      </c>
      <c r="W174" s="371">
        <v>0.32800000000000001</v>
      </c>
      <c r="X174" s="371">
        <v>2</v>
      </c>
      <c r="Y174" s="381">
        <v>1000</v>
      </c>
    </row>
    <row r="175" spans="1:26" x14ac:dyDescent="0.25">
      <c r="A175" s="378" t="s">
        <v>34</v>
      </c>
      <c r="B175" s="372">
        <v>0</v>
      </c>
      <c r="C175" s="376">
        <v>100.52800000000001</v>
      </c>
      <c r="D175" s="376">
        <v>197.49299999999999</v>
      </c>
      <c r="E175" s="376">
        <v>222.03200000000001</v>
      </c>
      <c r="F175" s="376">
        <v>241.42500000000001</v>
      </c>
      <c r="G175" s="376">
        <v>237.863</v>
      </c>
      <c r="H175" s="376">
        <v>239.446</v>
      </c>
      <c r="I175" s="376">
        <v>252.50700000000001</v>
      </c>
      <c r="J175" s="376">
        <v>263.98399999999998</v>
      </c>
      <c r="K175" s="376">
        <v>275.46199999999999</v>
      </c>
      <c r="L175" s="376">
        <v>271.50400000000002</v>
      </c>
      <c r="M175" s="376">
        <v>278.62799999999999</v>
      </c>
      <c r="N175" s="376">
        <v>281.39800000000002</v>
      </c>
      <c r="O175" s="376">
        <v>272.29599999999999</v>
      </c>
      <c r="P175" s="376">
        <v>258.44299999999998</v>
      </c>
      <c r="Q175" s="376">
        <v>218.47</v>
      </c>
      <c r="R175" s="376">
        <v>188.786</v>
      </c>
      <c r="S175" s="376">
        <v>74.802000000000007</v>
      </c>
      <c r="T175" s="376">
        <v>31.265999999999998</v>
      </c>
      <c r="U175" s="376">
        <v>15.831</v>
      </c>
      <c r="V175" s="376">
        <v>8.7070000000000007</v>
      </c>
      <c r="W175" s="376">
        <v>0</v>
      </c>
      <c r="X175" s="373">
        <v>0</v>
      </c>
      <c r="Y175" s="382">
        <v>0</v>
      </c>
    </row>
    <row r="176" spans="1:26" ht="13" thickBot="1" x14ac:dyDescent="0.3">
      <c r="A176" s="379" t="s">
        <v>117</v>
      </c>
      <c r="B176" s="374">
        <f t="shared" ref="B176:X176" si="61">(C175+B175)*(C174-B174)/2</f>
        <v>0.20105600000000001</v>
      </c>
      <c r="C176" s="375">
        <f t="shared" si="61"/>
        <v>0.44703150000000003</v>
      </c>
      <c r="D176" s="375">
        <f t="shared" si="61"/>
        <v>0.6292875</v>
      </c>
      <c r="E176" s="375">
        <f t="shared" si="61"/>
        <v>2.7807419999999996</v>
      </c>
      <c r="F176" s="375">
        <f t="shared" si="61"/>
        <v>1.4378640000000005</v>
      </c>
      <c r="G176" s="375">
        <f t="shared" si="61"/>
        <v>3.1025084999999999</v>
      </c>
      <c r="H176" s="375">
        <f t="shared" si="61"/>
        <v>4.1816005000000001</v>
      </c>
      <c r="I176" s="375">
        <f t="shared" si="61"/>
        <v>4.9066644999999989</v>
      </c>
      <c r="J176" s="375">
        <f t="shared" si="61"/>
        <v>3.2366759999999988</v>
      </c>
      <c r="K176" s="375">
        <f t="shared" si="61"/>
        <v>2.187864000000002</v>
      </c>
      <c r="L176" s="375">
        <f t="shared" si="61"/>
        <v>6.0514519999999985</v>
      </c>
      <c r="M176" s="375">
        <f t="shared" si="61"/>
        <v>7.8403640000000001</v>
      </c>
      <c r="N176" s="375">
        <f t="shared" si="61"/>
        <v>8.3054099999999984</v>
      </c>
      <c r="O176" s="375">
        <f t="shared" si="61"/>
        <v>7.9610850000000006</v>
      </c>
      <c r="P176" s="375">
        <f t="shared" si="61"/>
        <v>10.968999000000004</v>
      </c>
      <c r="Q176" s="375">
        <f t="shared" si="61"/>
        <v>1.2217680000000011</v>
      </c>
      <c r="R176" s="375">
        <f t="shared" si="61"/>
        <v>1.7133220000000016</v>
      </c>
      <c r="S176" s="375">
        <f t="shared" si="61"/>
        <v>0.42427200000000043</v>
      </c>
      <c r="T176" s="375">
        <f t="shared" si="61"/>
        <v>0.14129099999999881</v>
      </c>
      <c r="U176" s="375">
        <f t="shared" si="61"/>
        <v>9.8152000000000086E-2</v>
      </c>
      <c r="V176" s="375">
        <f t="shared" si="61"/>
        <v>0.14801900000000015</v>
      </c>
      <c r="W176" s="375">
        <f t="shared" si="61"/>
        <v>0</v>
      </c>
      <c r="X176" s="375">
        <f t="shared" si="61"/>
        <v>0</v>
      </c>
      <c r="Y176" s="369"/>
    </row>
    <row r="177" spans="1:26" ht="13" thickBot="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6" ht="13.5" thickBot="1" x14ac:dyDescent="0.35">
      <c r="A178" s="361" t="s">
        <v>324</v>
      </c>
      <c r="B178" s="359">
        <f>ROW(A178)</f>
        <v>178</v>
      </c>
      <c r="C178" s="363" t="s">
        <v>116</v>
      </c>
      <c r="D178" s="353">
        <f>SUM(B181:Y181)</f>
        <v>73.557381500000005</v>
      </c>
      <c r="E178" s="363" t="s">
        <v>115</v>
      </c>
      <c r="F178" s="354">
        <f>D178/g/J178</f>
        <v>156.86619302308719</v>
      </c>
      <c r="G178" s="363" t="s">
        <v>57</v>
      </c>
      <c r="H178" s="64">
        <v>0.1022</v>
      </c>
      <c r="I178" s="363" t="s">
        <v>270</v>
      </c>
      <c r="J178" s="355">
        <f>H178-L178</f>
        <v>4.7800000000000002E-2</v>
      </c>
      <c r="K178" s="363" t="s">
        <v>271</v>
      </c>
      <c r="L178" s="64">
        <v>5.4399999999999997E-2</v>
      </c>
      <c r="M178" s="363" t="s">
        <v>58</v>
      </c>
      <c r="N178" s="396">
        <v>66.5</v>
      </c>
      <c r="O178" s="363" t="s">
        <v>60</v>
      </c>
      <c r="P178" s="396">
        <v>66.5</v>
      </c>
      <c r="Q178" s="363" t="s">
        <v>61</v>
      </c>
      <c r="R178" s="65">
        <v>133</v>
      </c>
      <c r="S178" s="363" t="s">
        <v>62</v>
      </c>
      <c r="T178" s="65">
        <v>24</v>
      </c>
      <c r="U178" s="363" t="s">
        <v>55</v>
      </c>
      <c r="V178" s="66" t="s">
        <v>399</v>
      </c>
      <c r="W178" s="463" t="s">
        <v>394</v>
      </c>
      <c r="X178" s="465">
        <v>2.36</v>
      </c>
      <c r="Y178" s="463" t="s">
        <v>393</v>
      </c>
      <c r="Z178" s="358">
        <v>6</v>
      </c>
    </row>
    <row r="179" spans="1:26" x14ac:dyDescent="0.25">
      <c r="A179" s="362" t="s">
        <v>33</v>
      </c>
      <c r="B179" s="370">
        <v>0</v>
      </c>
      <c r="C179" s="371">
        <v>1.4E-2</v>
      </c>
      <c r="D179" s="371">
        <v>5.6000000000000001E-2</v>
      </c>
      <c r="E179" s="371">
        <v>9.1999999999999998E-2</v>
      </c>
      <c r="F179" s="371">
        <v>0.16</v>
      </c>
      <c r="G179" s="371">
        <v>0.23200000000000001</v>
      </c>
      <c r="H179" s="371">
        <v>0.36299999999999999</v>
      </c>
      <c r="I179" s="371">
        <v>0.499</v>
      </c>
      <c r="J179" s="371">
        <v>0.65500000000000003</v>
      </c>
      <c r="K179" s="371">
        <v>0.84299999999999997</v>
      </c>
      <c r="L179" s="371">
        <v>1.216</v>
      </c>
      <c r="M179" s="371">
        <v>1.3680000000000001</v>
      </c>
      <c r="N179" s="371">
        <v>1.54</v>
      </c>
      <c r="O179" s="371">
        <v>1.675</v>
      </c>
      <c r="P179" s="371">
        <v>1.861</v>
      </c>
      <c r="Q179" s="371">
        <v>2.0129999999999999</v>
      </c>
      <c r="R179" s="371">
        <v>2.1589999999999998</v>
      </c>
      <c r="S179" s="371">
        <v>2.302</v>
      </c>
      <c r="T179" s="371">
        <v>2.4620000000000002</v>
      </c>
      <c r="U179" s="371">
        <v>2.5979999999999999</v>
      </c>
      <c r="V179" s="371">
        <v>2.5979999999999999</v>
      </c>
      <c r="W179" s="371">
        <v>2.5979999999999999</v>
      </c>
      <c r="X179" s="371">
        <v>2.5979999999999999</v>
      </c>
      <c r="Y179" s="381">
        <v>1000</v>
      </c>
    </row>
    <row r="180" spans="1:26" x14ac:dyDescent="0.25">
      <c r="A180" s="378" t="s">
        <v>34</v>
      </c>
      <c r="B180" s="372">
        <v>0</v>
      </c>
      <c r="C180" s="376">
        <v>54.222000000000001</v>
      </c>
      <c r="D180" s="376">
        <v>43.456000000000003</v>
      </c>
      <c r="E180" s="376">
        <v>50.185000000000002</v>
      </c>
      <c r="F180" s="376">
        <v>54.063000000000002</v>
      </c>
      <c r="G180" s="376">
        <v>48.363999999999997</v>
      </c>
      <c r="H180" s="376">
        <v>45.752000000000002</v>
      </c>
      <c r="I180" s="376">
        <v>43.14</v>
      </c>
      <c r="J180" s="376">
        <v>40.29</v>
      </c>
      <c r="K180" s="376">
        <v>37.835999999999999</v>
      </c>
      <c r="L180" s="376">
        <v>32.612000000000002</v>
      </c>
      <c r="M180" s="376">
        <v>30.317</v>
      </c>
      <c r="N180" s="376">
        <v>26.359000000000002</v>
      </c>
      <c r="O180" s="376">
        <v>23.509</v>
      </c>
      <c r="P180" s="376">
        <v>19.077000000000002</v>
      </c>
      <c r="Q180" s="376">
        <v>14.565</v>
      </c>
      <c r="R180" s="376">
        <v>10.053000000000001</v>
      </c>
      <c r="S180" s="376">
        <v>4.8280000000000003</v>
      </c>
      <c r="T180" s="376">
        <v>1.504</v>
      </c>
      <c r="U180" s="373">
        <v>0</v>
      </c>
      <c r="V180" s="373">
        <v>0</v>
      </c>
      <c r="W180" s="373">
        <v>0</v>
      </c>
      <c r="X180" s="373">
        <v>0</v>
      </c>
      <c r="Y180" s="382">
        <v>0</v>
      </c>
    </row>
    <row r="181" spans="1:26" ht="13" thickBot="1" x14ac:dyDescent="0.3">
      <c r="A181" s="379" t="s">
        <v>117</v>
      </c>
      <c r="B181" s="374">
        <f t="shared" ref="B181:X181" si="62">(C180+B180)*(C179-B179)/2</f>
        <v>0.379554</v>
      </c>
      <c r="C181" s="375">
        <f t="shared" si="62"/>
        <v>2.0512380000000001</v>
      </c>
      <c r="D181" s="375">
        <f t="shared" si="62"/>
        <v>1.685538</v>
      </c>
      <c r="E181" s="375">
        <f t="shared" si="62"/>
        <v>3.5444320000000005</v>
      </c>
      <c r="F181" s="375">
        <f t="shared" si="62"/>
        <v>3.6873720000000003</v>
      </c>
      <c r="G181" s="375">
        <f t="shared" si="62"/>
        <v>6.1645979999999989</v>
      </c>
      <c r="H181" s="375">
        <f t="shared" si="62"/>
        <v>6.0446559999999998</v>
      </c>
      <c r="I181" s="375">
        <f t="shared" si="62"/>
        <v>6.5075400000000014</v>
      </c>
      <c r="J181" s="375">
        <f t="shared" si="62"/>
        <v>7.343843999999998</v>
      </c>
      <c r="K181" s="375">
        <f t="shared" si="62"/>
        <v>13.138552000000001</v>
      </c>
      <c r="L181" s="375">
        <f t="shared" si="62"/>
        <v>4.7826040000000045</v>
      </c>
      <c r="M181" s="375">
        <f t="shared" si="62"/>
        <v>4.8741359999999982</v>
      </c>
      <c r="N181" s="375">
        <f t="shared" si="62"/>
        <v>3.3660900000000002</v>
      </c>
      <c r="O181" s="375">
        <f t="shared" si="62"/>
        <v>3.9604979999999985</v>
      </c>
      <c r="P181" s="375">
        <f t="shared" si="62"/>
        <v>2.5567919999999988</v>
      </c>
      <c r="Q181" s="375">
        <f t="shared" si="62"/>
        <v>1.797113999999999</v>
      </c>
      <c r="R181" s="375">
        <f t="shared" si="62"/>
        <v>1.0639915000000018</v>
      </c>
      <c r="S181" s="375">
        <f t="shared" si="62"/>
        <v>0.50656000000000045</v>
      </c>
      <c r="T181" s="375">
        <f t="shared" si="62"/>
        <v>0.10227199999999975</v>
      </c>
      <c r="U181" s="375">
        <f t="shared" si="62"/>
        <v>0</v>
      </c>
      <c r="V181" s="375">
        <f t="shared" si="62"/>
        <v>0</v>
      </c>
      <c r="W181" s="375">
        <f t="shared" si="62"/>
        <v>0</v>
      </c>
      <c r="X181" s="375">
        <f t="shared" si="62"/>
        <v>0</v>
      </c>
      <c r="Y181" s="369"/>
    </row>
    <row r="182" spans="1:26" ht="13" thickBot="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6" ht="13.5" thickBot="1" x14ac:dyDescent="0.35">
      <c r="A183" s="361" t="s">
        <v>325</v>
      </c>
      <c r="B183" s="359">
        <f>ROW(A183)</f>
        <v>183</v>
      </c>
      <c r="C183" s="363" t="s">
        <v>116</v>
      </c>
      <c r="D183" s="353">
        <f>SUM(B186:Y186)</f>
        <v>73.169517999999997</v>
      </c>
      <c r="E183" s="363" t="s">
        <v>115</v>
      </c>
      <c r="F183" s="354">
        <f>D183/g/J183</f>
        <v>177.58729673316827</v>
      </c>
      <c r="G183" s="363" t="s">
        <v>57</v>
      </c>
      <c r="H183" s="64">
        <v>9.6000000000000002E-2</v>
      </c>
      <c r="I183" s="363" t="s">
        <v>270</v>
      </c>
      <c r="J183" s="355">
        <f>H183-L183</f>
        <v>4.2000000000000003E-2</v>
      </c>
      <c r="K183" s="363" t="s">
        <v>271</v>
      </c>
      <c r="L183" s="64">
        <v>5.3999999999999999E-2</v>
      </c>
      <c r="M183" s="363" t="s">
        <v>58</v>
      </c>
      <c r="N183" s="396">
        <v>66.5</v>
      </c>
      <c r="O183" s="363" t="s">
        <v>60</v>
      </c>
      <c r="P183" s="396">
        <v>66.5</v>
      </c>
      <c r="Q183" s="363" t="s">
        <v>61</v>
      </c>
      <c r="R183" s="65">
        <v>133</v>
      </c>
      <c r="S183" s="363" t="s">
        <v>62</v>
      </c>
      <c r="T183" s="65">
        <v>24</v>
      </c>
      <c r="U183" s="363" t="s">
        <v>55</v>
      </c>
      <c r="V183" s="66" t="s">
        <v>399</v>
      </c>
      <c r="W183" s="463" t="s">
        <v>394</v>
      </c>
      <c r="X183" s="465">
        <v>0.87</v>
      </c>
      <c r="Y183" s="463" t="s">
        <v>393</v>
      </c>
      <c r="Z183" s="358">
        <v>15</v>
      </c>
    </row>
    <row r="184" spans="1:26" x14ac:dyDescent="0.25">
      <c r="A184" s="362" t="s">
        <v>33</v>
      </c>
      <c r="B184" s="370">
        <v>0</v>
      </c>
      <c r="C184" s="371">
        <v>0.01</v>
      </c>
      <c r="D184" s="371">
        <v>2.3E-2</v>
      </c>
      <c r="E184" s="371">
        <v>0.04</v>
      </c>
      <c r="F184" s="371">
        <v>0.11799999999999999</v>
      </c>
      <c r="G184" s="371">
        <v>0.28299999999999997</v>
      </c>
      <c r="H184" s="371">
        <v>0.51</v>
      </c>
      <c r="I184" s="371">
        <v>0.68799999999999994</v>
      </c>
      <c r="J184" s="371">
        <v>0.78700000000000003</v>
      </c>
      <c r="K184" s="371">
        <v>0.85199999999999998</v>
      </c>
      <c r="L184" s="371">
        <v>0.873</v>
      </c>
      <c r="M184" s="371">
        <v>0.873</v>
      </c>
      <c r="N184" s="371">
        <v>0.873</v>
      </c>
      <c r="O184" s="371">
        <v>0.873</v>
      </c>
      <c r="P184" s="371">
        <v>0.873</v>
      </c>
      <c r="Q184" s="371">
        <v>0.873</v>
      </c>
      <c r="R184" s="371">
        <v>0.873</v>
      </c>
      <c r="S184" s="371">
        <v>0.873</v>
      </c>
      <c r="T184" s="371">
        <v>0.873</v>
      </c>
      <c r="U184" s="371">
        <v>0.873</v>
      </c>
      <c r="V184" s="371">
        <v>0.873</v>
      </c>
      <c r="W184" s="371">
        <v>0.873</v>
      </c>
      <c r="X184" s="371">
        <v>2</v>
      </c>
      <c r="Y184" s="381">
        <v>1000</v>
      </c>
    </row>
    <row r="185" spans="1:26" x14ac:dyDescent="0.25">
      <c r="A185" s="378" t="s">
        <v>34</v>
      </c>
      <c r="B185" s="372">
        <v>0</v>
      </c>
      <c r="C185" s="376">
        <v>76.073999999999998</v>
      </c>
      <c r="D185" s="376">
        <v>100.185</v>
      </c>
      <c r="E185" s="376">
        <v>92.424999999999997</v>
      </c>
      <c r="F185" s="376">
        <v>100.878</v>
      </c>
      <c r="G185" s="376">
        <v>102.402</v>
      </c>
      <c r="H185" s="376">
        <v>96.442999999999998</v>
      </c>
      <c r="I185" s="376">
        <v>87.436000000000007</v>
      </c>
      <c r="J185" s="376">
        <v>25.911999999999999</v>
      </c>
      <c r="K185" s="376">
        <v>7.2060000000000004</v>
      </c>
      <c r="L185" s="373">
        <v>0</v>
      </c>
      <c r="M185" s="373">
        <v>0</v>
      </c>
      <c r="N185" s="373">
        <v>0</v>
      </c>
      <c r="O185" s="373">
        <v>0</v>
      </c>
      <c r="P185" s="373">
        <v>0</v>
      </c>
      <c r="Q185" s="373">
        <v>0</v>
      </c>
      <c r="R185" s="373">
        <v>0</v>
      </c>
      <c r="S185" s="373">
        <v>0</v>
      </c>
      <c r="T185" s="373">
        <v>0</v>
      </c>
      <c r="U185" s="373">
        <v>0</v>
      </c>
      <c r="V185" s="373">
        <v>0</v>
      </c>
      <c r="W185" s="373">
        <v>0</v>
      </c>
      <c r="X185" s="373">
        <v>0</v>
      </c>
      <c r="Y185" s="382">
        <v>0</v>
      </c>
    </row>
    <row r="186" spans="1:26" ht="13" thickBot="1" x14ac:dyDescent="0.3">
      <c r="A186" s="379" t="s">
        <v>117</v>
      </c>
      <c r="B186" s="374">
        <f t="shared" ref="B186:X186" si="63">(C185+B185)*(C184-B184)/2</f>
        <v>0.38036999999999999</v>
      </c>
      <c r="C186" s="375">
        <f t="shared" si="63"/>
        <v>1.1456835000000001</v>
      </c>
      <c r="D186" s="375">
        <f t="shared" si="63"/>
        <v>1.6371850000000003</v>
      </c>
      <c r="E186" s="375">
        <f t="shared" si="63"/>
        <v>7.5388169999999981</v>
      </c>
      <c r="F186" s="375">
        <f t="shared" si="63"/>
        <v>16.770599999999998</v>
      </c>
      <c r="G186" s="375">
        <f t="shared" si="63"/>
        <v>22.568907500000002</v>
      </c>
      <c r="H186" s="375">
        <f t="shared" si="63"/>
        <v>16.365230999999994</v>
      </c>
      <c r="I186" s="375">
        <f t="shared" si="63"/>
        <v>5.6107260000000059</v>
      </c>
      <c r="J186" s="375">
        <f t="shared" si="63"/>
        <v>1.0763349999999992</v>
      </c>
      <c r="K186" s="375">
        <f t="shared" si="63"/>
        <v>7.5663000000000077E-2</v>
      </c>
      <c r="L186" s="375">
        <f t="shared" si="63"/>
        <v>0</v>
      </c>
      <c r="M186" s="375">
        <f t="shared" si="63"/>
        <v>0</v>
      </c>
      <c r="N186" s="375">
        <f t="shared" si="63"/>
        <v>0</v>
      </c>
      <c r="O186" s="375">
        <f t="shared" si="63"/>
        <v>0</v>
      </c>
      <c r="P186" s="375">
        <f t="shared" si="63"/>
        <v>0</v>
      </c>
      <c r="Q186" s="375">
        <f t="shared" si="63"/>
        <v>0</v>
      </c>
      <c r="R186" s="375">
        <f t="shared" si="63"/>
        <v>0</v>
      </c>
      <c r="S186" s="375">
        <f t="shared" si="63"/>
        <v>0</v>
      </c>
      <c r="T186" s="375">
        <f t="shared" si="63"/>
        <v>0</v>
      </c>
      <c r="U186" s="375">
        <f t="shared" si="63"/>
        <v>0</v>
      </c>
      <c r="V186" s="375">
        <f t="shared" si="63"/>
        <v>0</v>
      </c>
      <c r="W186" s="375">
        <f t="shared" si="63"/>
        <v>0</v>
      </c>
      <c r="X186" s="375">
        <f t="shared" si="63"/>
        <v>0</v>
      </c>
      <c r="Y186" s="369"/>
    </row>
    <row r="187" spans="1:26" ht="13" thickBot="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6" ht="13.5" thickBot="1" x14ac:dyDescent="0.35">
      <c r="A188" s="361" t="s">
        <v>326</v>
      </c>
      <c r="B188" s="359">
        <f>ROW(A188)</f>
        <v>188</v>
      </c>
      <c r="C188" s="363" t="s">
        <v>116</v>
      </c>
      <c r="D188" s="353">
        <f>SUM(B191:Y191)</f>
        <v>75.254384000000016</v>
      </c>
      <c r="E188" s="363" t="s">
        <v>115</v>
      </c>
      <c r="F188" s="354">
        <f>D188/g/J188</f>
        <v>232.46033422914161</v>
      </c>
      <c r="G188" s="363" t="s">
        <v>57</v>
      </c>
      <c r="H188" s="64">
        <v>9.5000000000000001E-2</v>
      </c>
      <c r="I188" s="363" t="s">
        <v>270</v>
      </c>
      <c r="J188" s="355">
        <f>H188-L188</f>
        <v>3.3000000000000002E-2</v>
      </c>
      <c r="K188" s="363" t="s">
        <v>271</v>
      </c>
      <c r="L188" s="64">
        <f>0.095-0.033</f>
        <v>6.2E-2</v>
      </c>
      <c r="M188" s="363" t="s">
        <v>58</v>
      </c>
      <c r="N188" s="396">
        <v>66.5</v>
      </c>
      <c r="O188" s="363" t="s">
        <v>60</v>
      </c>
      <c r="P188" s="396">
        <v>66.5</v>
      </c>
      <c r="Q188" s="363" t="s">
        <v>61</v>
      </c>
      <c r="R188" s="65">
        <v>133</v>
      </c>
      <c r="S188" s="363" t="s">
        <v>62</v>
      </c>
      <c r="T188" s="65">
        <v>24</v>
      </c>
      <c r="U188" s="363" t="s">
        <v>55</v>
      </c>
      <c r="V188" s="66" t="s">
        <v>399</v>
      </c>
      <c r="W188" s="463" t="s">
        <v>394</v>
      </c>
      <c r="X188" s="465">
        <v>1.5</v>
      </c>
      <c r="Y188" s="463" t="s">
        <v>393</v>
      </c>
      <c r="Z188" s="358">
        <v>12</v>
      </c>
    </row>
    <row r="189" spans="1:26" x14ac:dyDescent="0.25">
      <c r="A189" s="362" t="s">
        <v>33</v>
      </c>
      <c r="B189" s="370">
        <v>0</v>
      </c>
      <c r="C189" s="371">
        <v>0.02</v>
      </c>
      <c r="D189" s="371">
        <v>3.1E-2</v>
      </c>
      <c r="E189" s="371">
        <v>6.2E-2</v>
      </c>
      <c r="F189" s="371">
        <v>0.11700000000000001</v>
      </c>
      <c r="G189" s="371">
        <v>1.2110000000000001</v>
      </c>
      <c r="H189" s="371">
        <v>1.3759999999999999</v>
      </c>
      <c r="I189" s="371">
        <v>1.456</v>
      </c>
      <c r="J189" s="371">
        <v>1.532</v>
      </c>
      <c r="K189" s="371">
        <v>1.577</v>
      </c>
      <c r="L189" s="371">
        <v>2</v>
      </c>
      <c r="M189" s="371">
        <v>2</v>
      </c>
      <c r="N189" s="371">
        <v>2</v>
      </c>
      <c r="O189" s="371">
        <v>2</v>
      </c>
      <c r="P189" s="371">
        <v>2</v>
      </c>
      <c r="Q189" s="371">
        <v>2</v>
      </c>
      <c r="R189" s="371">
        <v>2</v>
      </c>
      <c r="S189" s="371">
        <v>2</v>
      </c>
      <c r="T189" s="371">
        <v>2</v>
      </c>
      <c r="U189" s="371">
        <v>2</v>
      </c>
      <c r="V189" s="371">
        <v>2</v>
      </c>
      <c r="W189" s="371">
        <v>2</v>
      </c>
      <c r="X189" s="371">
        <f t="shared" ref="T189:X190" si="64">W189</f>
        <v>2</v>
      </c>
      <c r="Y189" s="381">
        <v>1000</v>
      </c>
    </row>
    <row r="190" spans="1:26" x14ac:dyDescent="0.25">
      <c r="A190" s="378" t="s">
        <v>34</v>
      </c>
      <c r="B190" s="372">
        <v>0</v>
      </c>
      <c r="C190" s="373">
        <v>75.924000000000007</v>
      </c>
      <c r="D190" s="373">
        <v>84.147999999999996</v>
      </c>
      <c r="E190" s="373">
        <v>70.441000000000003</v>
      </c>
      <c r="F190" s="373">
        <v>73.659000000000006</v>
      </c>
      <c r="G190" s="373">
        <v>38.737000000000002</v>
      </c>
      <c r="H190" s="373">
        <v>14.779</v>
      </c>
      <c r="I190" s="373">
        <v>7.2709999999999999</v>
      </c>
      <c r="J190" s="373">
        <v>3.3370000000000002</v>
      </c>
      <c r="K190" s="373">
        <v>0</v>
      </c>
      <c r="L190" s="373">
        <v>0</v>
      </c>
      <c r="M190" s="373">
        <v>0</v>
      </c>
      <c r="N190" s="373">
        <v>0</v>
      </c>
      <c r="O190" s="373">
        <v>0</v>
      </c>
      <c r="P190" s="373">
        <v>0</v>
      </c>
      <c r="Q190" s="373">
        <v>0</v>
      </c>
      <c r="R190" s="373">
        <v>0</v>
      </c>
      <c r="S190" s="373">
        <v>0</v>
      </c>
      <c r="T190" s="373">
        <f t="shared" si="64"/>
        <v>0</v>
      </c>
      <c r="U190" s="373">
        <f t="shared" si="64"/>
        <v>0</v>
      </c>
      <c r="V190" s="373">
        <f t="shared" si="64"/>
        <v>0</v>
      </c>
      <c r="W190" s="373">
        <f t="shared" si="64"/>
        <v>0</v>
      </c>
      <c r="X190" s="373">
        <f t="shared" si="64"/>
        <v>0</v>
      </c>
      <c r="Y190" s="382">
        <v>0</v>
      </c>
    </row>
    <row r="191" spans="1:26" ht="13" thickBot="1" x14ac:dyDescent="0.3">
      <c r="A191" s="379" t="s">
        <v>117</v>
      </c>
      <c r="B191" s="374">
        <f t="shared" ref="B191:V191" si="65">(C190+B190)*(C189-B189)/2</f>
        <v>0.75924000000000014</v>
      </c>
      <c r="C191" s="375">
        <f t="shared" si="65"/>
        <v>0.88039599999999996</v>
      </c>
      <c r="D191" s="375">
        <f t="shared" si="65"/>
        <v>2.3961294999999998</v>
      </c>
      <c r="E191" s="375">
        <f t="shared" si="65"/>
        <v>3.9627500000000011</v>
      </c>
      <c r="F191" s="375">
        <f t="shared" si="65"/>
        <v>61.480612000000015</v>
      </c>
      <c r="G191" s="375">
        <f t="shared" si="65"/>
        <v>4.4150699999999956</v>
      </c>
      <c r="H191" s="375">
        <f t="shared" si="65"/>
        <v>0.88200000000000078</v>
      </c>
      <c r="I191" s="375">
        <f t="shared" si="65"/>
        <v>0.40310400000000035</v>
      </c>
      <c r="J191" s="375">
        <f>(K190+J190)*(K189-J189)/2</f>
        <v>7.5082499999999885E-2</v>
      </c>
      <c r="K191" s="375">
        <f t="shared" si="65"/>
        <v>0</v>
      </c>
      <c r="L191" s="375">
        <f t="shared" si="65"/>
        <v>0</v>
      </c>
      <c r="M191" s="375">
        <f t="shared" si="65"/>
        <v>0</v>
      </c>
      <c r="N191" s="375">
        <f t="shared" si="65"/>
        <v>0</v>
      </c>
      <c r="O191" s="375">
        <f t="shared" si="65"/>
        <v>0</v>
      </c>
      <c r="P191" s="375">
        <f t="shared" si="65"/>
        <v>0</v>
      </c>
      <c r="Q191" s="375">
        <f t="shared" si="65"/>
        <v>0</v>
      </c>
      <c r="R191" s="375">
        <f t="shared" si="65"/>
        <v>0</v>
      </c>
      <c r="S191" s="375">
        <f>(T190+S190)*(T189-S189)/2</f>
        <v>0</v>
      </c>
      <c r="T191" s="375">
        <f t="shared" si="65"/>
        <v>0</v>
      </c>
      <c r="U191" s="375">
        <f t="shared" si="65"/>
        <v>0</v>
      </c>
      <c r="V191" s="375">
        <f t="shared" si="65"/>
        <v>0</v>
      </c>
      <c r="W191" s="375">
        <f>(X190+W190)*(X189-W189)/2</f>
        <v>0</v>
      </c>
      <c r="X191" s="375">
        <f>(Y190+X190)*(Y189-X189)/2</f>
        <v>0</v>
      </c>
      <c r="Y191" s="369"/>
    </row>
    <row r="192" spans="1:26" ht="13.5" thickBot="1" x14ac:dyDescent="0.35">
      <c r="A192" s="6" t="s">
        <v>373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6" ht="13.5" thickBot="1" x14ac:dyDescent="0.35">
      <c r="A193" s="361" t="s">
        <v>536</v>
      </c>
      <c r="B193" s="359">
        <f>ROW(A193)</f>
        <v>193</v>
      </c>
      <c r="C193" s="363" t="s">
        <v>116</v>
      </c>
      <c r="D193" s="353">
        <f>SUM(B196:Y196)</f>
        <v>141.04999999999998</v>
      </c>
      <c r="E193" s="363" t="s">
        <v>115</v>
      </c>
      <c r="F193" s="354">
        <f>D193/g/J193</f>
        <v>186.24592648930721</v>
      </c>
      <c r="G193" s="363" t="s">
        <v>57</v>
      </c>
      <c r="H193" s="64">
        <v>0.16189999999999999</v>
      </c>
      <c r="I193" s="363" t="s">
        <v>270</v>
      </c>
      <c r="J193" s="355">
        <f>H193-L193</f>
        <v>7.7199999999999991E-2</v>
      </c>
      <c r="K193" s="363" t="s">
        <v>271</v>
      </c>
      <c r="L193" s="64">
        <v>8.4699999999999998E-2</v>
      </c>
      <c r="M193" s="363" t="s">
        <v>58</v>
      </c>
      <c r="N193" s="65">
        <v>114</v>
      </c>
      <c r="O193" s="363" t="s">
        <v>60</v>
      </c>
      <c r="P193" s="65">
        <v>114</v>
      </c>
      <c r="Q193" s="363" t="s">
        <v>61</v>
      </c>
      <c r="R193" s="65">
        <v>228</v>
      </c>
      <c r="S193" s="363" t="s">
        <v>62</v>
      </c>
      <c r="T193" s="65">
        <v>24</v>
      </c>
      <c r="U193" s="363" t="s">
        <v>55</v>
      </c>
      <c r="V193" s="66" t="s">
        <v>120</v>
      </c>
      <c r="W193" s="463" t="s">
        <v>394</v>
      </c>
      <c r="X193" s="465">
        <v>0.96</v>
      </c>
      <c r="Y193" s="463" t="s">
        <v>393</v>
      </c>
      <c r="Z193" s="358">
        <v>15</v>
      </c>
    </row>
    <row r="194" spans="1:26" x14ac:dyDescent="0.25">
      <c r="A194" s="362" t="s">
        <v>33</v>
      </c>
      <c r="B194" s="370">
        <v>0</v>
      </c>
      <c r="C194" s="371">
        <v>0.02</v>
      </c>
      <c r="D194" s="371">
        <v>0.03</v>
      </c>
      <c r="E194" s="371">
        <v>0.05</v>
      </c>
      <c r="F194" s="371">
        <v>0.6</v>
      </c>
      <c r="G194" s="371">
        <v>0.67</v>
      </c>
      <c r="H194" s="371">
        <v>0.7</v>
      </c>
      <c r="I194" s="371">
        <v>0.8</v>
      </c>
      <c r="J194" s="371">
        <v>0.9</v>
      </c>
      <c r="K194" s="371">
        <v>1.05</v>
      </c>
      <c r="L194" s="371">
        <f t="shared" ref="L194:W194" si="66">K194</f>
        <v>1.05</v>
      </c>
      <c r="M194" s="371">
        <f t="shared" si="66"/>
        <v>1.05</v>
      </c>
      <c r="N194" s="371">
        <f t="shared" si="66"/>
        <v>1.05</v>
      </c>
      <c r="O194" s="371">
        <f t="shared" si="66"/>
        <v>1.05</v>
      </c>
      <c r="P194" s="371">
        <f t="shared" si="66"/>
        <v>1.05</v>
      </c>
      <c r="Q194" s="371">
        <f t="shared" si="66"/>
        <v>1.05</v>
      </c>
      <c r="R194" s="371">
        <f t="shared" si="66"/>
        <v>1.05</v>
      </c>
      <c r="S194" s="371">
        <f t="shared" si="66"/>
        <v>1.05</v>
      </c>
      <c r="T194" s="371">
        <f t="shared" si="66"/>
        <v>1.05</v>
      </c>
      <c r="U194" s="371">
        <f t="shared" si="66"/>
        <v>1.05</v>
      </c>
      <c r="V194" s="371">
        <f t="shared" si="66"/>
        <v>1.05</v>
      </c>
      <c r="W194" s="371">
        <f t="shared" si="66"/>
        <v>1.05</v>
      </c>
      <c r="X194" s="371">
        <v>2</v>
      </c>
      <c r="Y194" s="381">
        <v>1000</v>
      </c>
    </row>
    <row r="195" spans="1:26" x14ac:dyDescent="0.25">
      <c r="A195" s="378" t="s">
        <v>34</v>
      </c>
      <c r="B195" s="372">
        <v>0</v>
      </c>
      <c r="C195" s="373">
        <v>350</v>
      </c>
      <c r="D195" s="373">
        <v>250</v>
      </c>
      <c r="E195" s="373">
        <v>210</v>
      </c>
      <c r="F195" s="373">
        <v>150</v>
      </c>
      <c r="G195" s="373">
        <v>140</v>
      </c>
      <c r="H195" s="373">
        <v>130</v>
      </c>
      <c r="I195" s="373">
        <v>65</v>
      </c>
      <c r="J195" s="373">
        <v>30</v>
      </c>
      <c r="K195" s="373">
        <v>0</v>
      </c>
      <c r="L195" s="373">
        <v>0</v>
      </c>
      <c r="M195" s="373">
        <v>0</v>
      </c>
      <c r="N195" s="373">
        <v>0</v>
      </c>
      <c r="O195" s="373">
        <v>0</v>
      </c>
      <c r="P195" s="373">
        <v>0</v>
      </c>
      <c r="Q195" s="373">
        <v>0</v>
      </c>
      <c r="R195" s="373">
        <v>0</v>
      </c>
      <c r="S195" s="373">
        <f t="shared" ref="S195:X195" si="67">R195</f>
        <v>0</v>
      </c>
      <c r="T195" s="373">
        <f t="shared" si="67"/>
        <v>0</v>
      </c>
      <c r="U195" s="373">
        <f t="shared" si="67"/>
        <v>0</v>
      </c>
      <c r="V195" s="373">
        <f t="shared" si="67"/>
        <v>0</v>
      </c>
      <c r="W195" s="373">
        <f t="shared" si="67"/>
        <v>0</v>
      </c>
      <c r="X195" s="373">
        <f t="shared" si="67"/>
        <v>0</v>
      </c>
      <c r="Y195" s="382">
        <v>0</v>
      </c>
    </row>
    <row r="196" spans="1:26" ht="13" thickBot="1" x14ac:dyDescent="0.3">
      <c r="A196" s="379" t="s">
        <v>117</v>
      </c>
      <c r="B196" s="374">
        <f t="shared" ref="B196:X196" si="68">(C195+B195)*(C194-B194)/2</f>
        <v>3.5</v>
      </c>
      <c r="C196" s="375">
        <f t="shared" si="68"/>
        <v>2.9999999999999996</v>
      </c>
      <c r="D196" s="375">
        <f t="shared" si="68"/>
        <v>4.6000000000000005</v>
      </c>
      <c r="E196" s="375">
        <f t="shared" si="68"/>
        <v>98.999999999999986</v>
      </c>
      <c r="F196" s="375">
        <f t="shared" si="68"/>
        <v>10.150000000000009</v>
      </c>
      <c r="G196" s="375">
        <f t="shared" si="68"/>
        <v>4.0499999999999883</v>
      </c>
      <c r="H196" s="375">
        <f t="shared" si="68"/>
        <v>9.7500000000000089</v>
      </c>
      <c r="I196" s="375">
        <f t="shared" si="68"/>
        <v>4.7499999999999991</v>
      </c>
      <c r="J196" s="375">
        <f t="shared" si="68"/>
        <v>2.2500000000000004</v>
      </c>
      <c r="K196" s="375">
        <f t="shared" si="68"/>
        <v>0</v>
      </c>
      <c r="L196" s="375">
        <f t="shared" si="68"/>
        <v>0</v>
      </c>
      <c r="M196" s="375">
        <f t="shared" si="68"/>
        <v>0</v>
      </c>
      <c r="N196" s="375">
        <f t="shared" si="68"/>
        <v>0</v>
      </c>
      <c r="O196" s="375">
        <f t="shared" si="68"/>
        <v>0</v>
      </c>
      <c r="P196" s="375">
        <f t="shared" si="68"/>
        <v>0</v>
      </c>
      <c r="Q196" s="375">
        <f t="shared" si="68"/>
        <v>0</v>
      </c>
      <c r="R196" s="375">
        <f t="shared" si="68"/>
        <v>0</v>
      </c>
      <c r="S196" s="375">
        <f t="shared" si="68"/>
        <v>0</v>
      </c>
      <c r="T196" s="375">
        <f t="shared" si="68"/>
        <v>0</v>
      </c>
      <c r="U196" s="375">
        <f t="shared" si="68"/>
        <v>0</v>
      </c>
      <c r="V196" s="375">
        <f t="shared" si="68"/>
        <v>0</v>
      </c>
      <c r="W196" s="375">
        <f t="shared" si="68"/>
        <v>0</v>
      </c>
      <c r="X196" s="375">
        <f t="shared" si="68"/>
        <v>0</v>
      </c>
      <c r="Y196" s="369"/>
    </row>
    <row r="197" spans="1:26" ht="13" thickBot="1" x14ac:dyDescent="0.3">
      <c r="A197" s="12" t="s">
        <v>546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6" ht="13.5" thickBot="1" x14ac:dyDescent="0.35">
      <c r="A198" s="361" t="s">
        <v>549</v>
      </c>
      <c r="B198" s="359">
        <f>ROW(A198)</f>
        <v>198</v>
      </c>
      <c r="C198" s="363" t="s">
        <v>116</v>
      </c>
      <c r="D198" s="353">
        <f>SUM(B201:Y201)</f>
        <v>142.44</v>
      </c>
      <c r="E198" s="363" t="s">
        <v>115</v>
      </c>
      <c r="F198" s="354">
        <f>D198/g/J198</f>
        <v>192.06187401906058</v>
      </c>
      <c r="G198" s="363" t="s">
        <v>57</v>
      </c>
      <c r="H198" s="64">
        <v>0.15989999999999999</v>
      </c>
      <c r="I198" s="363" t="s">
        <v>270</v>
      </c>
      <c r="J198" s="355">
        <f>H198-L198</f>
        <v>7.5599999999999987E-2</v>
      </c>
      <c r="K198" s="363" t="s">
        <v>271</v>
      </c>
      <c r="L198" s="64">
        <v>8.43E-2</v>
      </c>
      <c r="M198" s="363" t="s">
        <v>58</v>
      </c>
      <c r="N198" s="65">
        <v>114</v>
      </c>
      <c r="O198" s="363" t="s">
        <v>60</v>
      </c>
      <c r="P198" s="65">
        <v>114</v>
      </c>
      <c r="Q198" s="363" t="s">
        <v>61</v>
      </c>
      <c r="R198" s="65">
        <v>228</v>
      </c>
      <c r="S198" s="363" t="s">
        <v>62</v>
      </c>
      <c r="T198" s="65">
        <v>24</v>
      </c>
      <c r="U198" s="363" t="s">
        <v>55</v>
      </c>
      <c r="V198" s="66" t="s">
        <v>401</v>
      </c>
      <c r="W198" s="463" t="s">
        <v>394</v>
      </c>
      <c r="X198" s="465">
        <v>0.97</v>
      </c>
      <c r="Y198" s="463" t="s">
        <v>393</v>
      </c>
      <c r="Z198" s="358"/>
    </row>
    <row r="199" spans="1:26" x14ac:dyDescent="0.25">
      <c r="A199" s="362" t="s">
        <v>33</v>
      </c>
      <c r="B199" s="370">
        <v>0</v>
      </c>
      <c r="C199" s="371">
        <v>0.02</v>
      </c>
      <c r="D199" s="371">
        <v>0.04</v>
      </c>
      <c r="E199" s="371">
        <v>0.62</v>
      </c>
      <c r="F199" s="371">
        <v>0.66</v>
      </c>
      <c r="G199" s="371">
        <v>0.68</v>
      </c>
      <c r="H199" s="371">
        <v>0.8</v>
      </c>
      <c r="I199" s="371">
        <v>0.84</v>
      </c>
      <c r="J199" s="371">
        <v>0.88</v>
      </c>
      <c r="K199" s="371">
        <v>0.92</v>
      </c>
      <c r="L199" s="371">
        <v>0.96</v>
      </c>
      <c r="M199" s="371">
        <v>1</v>
      </c>
      <c r="N199" s="371">
        <v>1.08</v>
      </c>
      <c r="O199" s="371">
        <v>2</v>
      </c>
      <c r="P199" s="371">
        <v>2</v>
      </c>
      <c r="Q199" s="371">
        <v>2</v>
      </c>
      <c r="R199" s="371">
        <v>2</v>
      </c>
      <c r="S199" s="371">
        <f t="shared" ref="S199:X200" si="69">R199</f>
        <v>2</v>
      </c>
      <c r="T199" s="371">
        <f t="shared" si="69"/>
        <v>2</v>
      </c>
      <c r="U199" s="371">
        <f t="shared" si="69"/>
        <v>2</v>
      </c>
      <c r="V199" s="371">
        <f t="shared" si="69"/>
        <v>2</v>
      </c>
      <c r="W199" s="371">
        <f t="shared" si="69"/>
        <v>2</v>
      </c>
      <c r="X199" s="371">
        <f t="shared" si="69"/>
        <v>2</v>
      </c>
      <c r="Y199" s="381">
        <v>1000</v>
      </c>
    </row>
    <row r="200" spans="1:26" x14ac:dyDescent="0.25">
      <c r="A200" s="378" t="s">
        <v>34</v>
      </c>
      <c r="B200" s="372">
        <v>0</v>
      </c>
      <c r="C200" s="373">
        <v>250</v>
      </c>
      <c r="D200" s="373">
        <v>210</v>
      </c>
      <c r="E200" s="373">
        <v>160</v>
      </c>
      <c r="F200" s="373">
        <v>150</v>
      </c>
      <c r="G200" s="373">
        <v>142</v>
      </c>
      <c r="H200" s="373">
        <v>62</v>
      </c>
      <c r="I200" s="373">
        <v>48</v>
      </c>
      <c r="J200" s="373">
        <v>34</v>
      </c>
      <c r="K200" s="373">
        <v>24</v>
      </c>
      <c r="L200" s="373">
        <v>15</v>
      </c>
      <c r="M200" s="373">
        <v>10</v>
      </c>
      <c r="N200" s="373">
        <v>0</v>
      </c>
      <c r="O200" s="373">
        <v>0</v>
      </c>
      <c r="P200" s="373">
        <v>0</v>
      </c>
      <c r="Q200" s="373">
        <v>0</v>
      </c>
      <c r="R200" s="373">
        <v>0</v>
      </c>
      <c r="S200" s="373">
        <f t="shared" si="69"/>
        <v>0</v>
      </c>
      <c r="T200" s="373">
        <f t="shared" si="69"/>
        <v>0</v>
      </c>
      <c r="U200" s="373">
        <f t="shared" si="69"/>
        <v>0</v>
      </c>
      <c r="V200" s="373">
        <f t="shared" si="69"/>
        <v>0</v>
      </c>
      <c r="W200" s="373">
        <f t="shared" si="69"/>
        <v>0</v>
      </c>
      <c r="X200" s="373">
        <f t="shared" si="69"/>
        <v>0</v>
      </c>
      <c r="Y200" s="382">
        <v>0</v>
      </c>
    </row>
    <row r="201" spans="1:26" ht="13" thickBot="1" x14ac:dyDescent="0.3">
      <c r="A201" s="379" t="s">
        <v>117</v>
      </c>
      <c r="B201" s="374">
        <f t="shared" ref="B201:X201" si="70">(C200+B200)*(C199-B199)/2</f>
        <v>2.5</v>
      </c>
      <c r="C201" s="375">
        <f t="shared" si="70"/>
        <v>4.6000000000000005</v>
      </c>
      <c r="D201" s="375">
        <f t="shared" si="70"/>
        <v>107.3</v>
      </c>
      <c r="E201" s="375">
        <f t="shared" si="70"/>
        <v>6.2000000000000055</v>
      </c>
      <c r="F201" s="375">
        <f t="shared" si="70"/>
        <v>2.9200000000000026</v>
      </c>
      <c r="G201" s="375">
        <f t="shared" si="70"/>
        <v>12.24</v>
      </c>
      <c r="H201" s="375">
        <f t="shared" si="70"/>
        <v>2.1999999999999957</v>
      </c>
      <c r="I201" s="375">
        <f t="shared" si="70"/>
        <v>1.6400000000000015</v>
      </c>
      <c r="J201" s="375">
        <f t="shared" si="70"/>
        <v>1.160000000000001</v>
      </c>
      <c r="K201" s="375">
        <f t="shared" si="70"/>
        <v>0.77999999999999847</v>
      </c>
      <c r="L201" s="375">
        <f t="shared" si="70"/>
        <v>0.50000000000000044</v>
      </c>
      <c r="M201" s="375">
        <f t="shared" si="70"/>
        <v>0.40000000000000036</v>
      </c>
      <c r="N201" s="375">
        <f t="shared" si="70"/>
        <v>0</v>
      </c>
      <c r="O201" s="375">
        <f t="shared" si="70"/>
        <v>0</v>
      </c>
      <c r="P201" s="375">
        <f t="shared" si="70"/>
        <v>0</v>
      </c>
      <c r="Q201" s="375">
        <f t="shared" si="70"/>
        <v>0</v>
      </c>
      <c r="R201" s="375">
        <f t="shared" si="70"/>
        <v>0</v>
      </c>
      <c r="S201" s="375">
        <f t="shared" si="70"/>
        <v>0</v>
      </c>
      <c r="T201" s="375">
        <f t="shared" si="70"/>
        <v>0</v>
      </c>
      <c r="U201" s="375">
        <f t="shared" si="70"/>
        <v>0</v>
      </c>
      <c r="V201" s="375">
        <f t="shared" si="70"/>
        <v>0</v>
      </c>
      <c r="W201" s="375">
        <f t="shared" si="70"/>
        <v>0</v>
      </c>
      <c r="X201" s="375">
        <f t="shared" si="70"/>
        <v>0</v>
      </c>
      <c r="Y201" s="369"/>
    </row>
    <row r="202" spans="1:26" ht="13" thickBot="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6" ht="13.5" thickBot="1" x14ac:dyDescent="0.35">
      <c r="A203" s="361" t="s">
        <v>538</v>
      </c>
      <c r="B203" s="359">
        <f>ROW(A203)</f>
        <v>203</v>
      </c>
      <c r="C203" s="363" t="s">
        <v>116</v>
      </c>
      <c r="D203" s="353">
        <f>SUM(B206:Y206)</f>
        <v>143.08845000000002</v>
      </c>
      <c r="E203" s="363" t="s">
        <v>115</v>
      </c>
      <c r="F203" s="354">
        <f>D203/g/J203</f>
        <v>168.23504721190514</v>
      </c>
      <c r="G203" s="363" t="s">
        <v>57</v>
      </c>
      <c r="H203" s="64">
        <v>0.17249999999999999</v>
      </c>
      <c r="I203" s="363" t="s">
        <v>270</v>
      </c>
      <c r="J203" s="355">
        <f>H203-L203</f>
        <v>8.6699999999999985E-2</v>
      </c>
      <c r="K203" s="363" t="s">
        <v>271</v>
      </c>
      <c r="L203" s="64">
        <v>8.5800000000000001E-2</v>
      </c>
      <c r="M203" s="363" t="s">
        <v>58</v>
      </c>
      <c r="N203" s="65">
        <v>114</v>
      </c>
      <c r="O203" s="363" t="s">
        <v>60</v>
      </c>
      <c r="P203" s="65">
        <v>114</v>
      </c>
      <c r="Q203" s="363" t="s">
        <v>61</v>
      </c>
      <c r="R203" s="65">
        <v>228</v>
      </c>
      <c r="S203" s="363" t="s">
        <v>62</v>
      </c>
      <c r="T203" s="65">
        <v>24</v>
      </c>
      <c r="U203" s="363" t="s">
        <v>55</v>
      </c>
      <c r="V203" s="66" t="s">
        <v>120</v>
      </c>
      <c r="W203" s="463" t="s">
        <v>394</v>
      </c>
      <c r="X203" s="465">
        <v>0.97</v>
      </c>
      <c r="Y203" s="463" t="s">
        <v>393</v>
      </c>
      <c r="Z203" s="358">
        <v>11</v>
      </c>
    </row>
    <row r="204" spans="1:26" x14ac:dyDescent="0.25">
      <c r="A204" s="362" t="s">
        <v>33</v>
      </c>
      <c r="B204" s="370">
        <v>0</v>
      </c>
      <c r="C204" s="371">
        <v>8.0000000000000002E-3</v>
      </c>
      <c r="D204" s="371">
        <v>1.2999999999999999E-2</v>
      </c>
      <c r="E204" s="371">
        <v>2.1999999999999999E-2</v>
      </c>
      <c r="F204" s="371">
        <v>3.5000000000000003E-2</v>
      </c>
      <c r="G204" s="371">
        <v>6.3E-2</v>
      </c>
      <c r="H204" s="371">
        <v>0.10299999999999999</v>
      </c>
      <c r="I204" s="371">
        <v>0.19600000000000001</v>
      </c>
      <c r="J204" s="371">
        <v>0.311</v>
      </c>
      <c r="K204" s="371">
        <v>0.47399999999999998</v>
      </c>
      <c r="L204" s="371">
        <v>0.56399999999999995</v>
      </c>
      <c r="M204" s="371">
        <v>0.76200000000000001</v>
      </c>
      <c r="N204" s="371">
        <v>0.85799999999999998</v>
      </c>
      <c r="O204" s="371">
        <v>0.92800000000000005</v>
      </c>
      <c r="P204" s="371">
        <v>1.038</v>
      </c>
      <c r="Q204" s="371">
        <v>1.08</v>
      </c>
      <c r="R204" s="371">
        <v>1.131</v>
      </c>
      <c r="S204" s="371">
        <v>1.1850000000000001</v>
      </c>
      <c r="T204" s="371">
        <v>1.224</v>
      </c>
      <c r="U204" s="371">
        <v>1.258</v>
      </c>
      <c r="V204" s="371">
        <v>1.4</v>
      </c>
      <c r="W204" s="371">
        <v>1.4410000000000001</v>
      </c>
      <c r="X204" s="371">
        <v>2</v>
      </c>
      <c r="Y204" s="381">
        <v>1000</v>
      </c>
    </row>
    <row r="205" spans="1:26" x14ac:dyDescent="0.25">
      <c r="A205" s="378" t="s">
        <v>34</v>
      </c>
      <c r="B205" s="372">
        <v>0</v>
      </c>
      <c r="C205" s="373">
        <v>168.643</v>
      </c>
      <c r="D205" s="373">
        <v>177.339</v>
      </c>
      <c r="E205" s="373">
        <v>177.86600000000001</v>
      </c>
      <c r="F205" s="373">
        <v>171.27799999999999</v>
      </c>
      <c r="G205" s="373">
        <v>157.839</v>
      </c>
      <c r="H205" s="373">
        <v>154.941</v>
      </c>
      <c r="I205" s="373">
        <v>148.88</v>
      </c>
      <c r="J205" s="373">
        <v>144.137</v>
      </c>
      <c r="K205" s="373">
        <v>138.07599999999999</v>
      </c>
      <c r="L205" s="373">
        <v>135.70500000000001</v>
      </c>
      <c r="M205" s="373">
        <v>125.955</v>
      </c>
      <c r="N205" s="373">
        <v>116.733</v>
      </c>
      <c r="O205" s="373">
        <v>101.71299999999999</v>
      </c>
      <c r="P205" s="373">
        <v>57.444000000000003</v>
      </c>
      <c r="Q205" s="373">
        <v>42.688000000000002</v>
      </c>
      <c r="R205" s="373">
        <v>31.884</v>
      </c>
      <c r="S205" s="373">
        <v>17.655000000000001</v>
      </c>
      <c r="T205" s="373">
        <v>9.4860000000000007</v>
      </c>
      <c r="U205" s="373">
        <v>5.27</v>
      </c>
      <c r="V205" s="373">
        <v>0.79100000000000004</v>
      </c>
      <c r="W205" s="373">
        <v>0</v>
      </c>
      <c r="X205" s="373">
        <f>W205</f>
        <v>0</v>
      </c>
      <c r="Y205" s="382">
        <v>0</v>
      </c>
    </row>
    <row r="206" spans="1:26" ht="13" thickBot="1" x14ac:dyDescent="0.3">
      <c r="A206" s="379" t="s">
        <v>117</v>
      </c>
      <c r="B206" s="374">
        <f t="shared" ref="B206:X206" si="71">(C205+B205)*(C204-B204)/2</f>
        <v>0.67457200000000006</v>
      </c>
      <c r="C206" s="375">
        <f t="shared" si="71"/>
        <v>0.86495499999999981</v>
      </c>
      <c r="D206" s="375">
        <f t="shared" si="71"/>
        <v>1.5984225000000001</v>
      </c>
      <c r="E206" s="375">
        <f t="shared" si="71"/>
        <v>2.2694360000000007</v>
      </c>
      <c r="F206" s="375">
        <f t="shared" si="71"/>
        <v>4.6076379999999988</v>
      </c>
      <c r="G206" s="375">
        <f t="shared" si="71"/>
        <v>6.2555999999999985</v>
      </c>
      <c r="H206" s="375">
        <f t="shared" si="71"/>
        <v>14.127676500000003</v>
      </c>
      <c r="I206" s="375">
        <f t="shared" si="71"/>
        <v>16.848477499999998</v>
      </c>
      <c r="J206" s="375">
        <f t="shared" si="71"/>
        <v>23.000359499999995</v>
      </c>
      <c r="K206" s="375">
        <f t="shared" si="71"/>
        <v>12.320144999999997</v>
      </c>
      <c r="L206" s="375">
        <f t="shared" si="71"/>
        <v>25.904340000000012</v>
      </c>
      <c r="M206" s="375">
        <f t="shared" si="71"/>
        <v>11.649023999999997</v>
      </c>
      <c r="N206" s="375">
        <f t="shared" si="71"/>
        <v>7.6456100000000067</v>
      </c>
      <c r="O206" s="375">
        <f t="shared" si="71"/>
        <v>8.7536349999999974</v>
      </c>
      <c r="P206" s="375">
        <f t="shared" si="71"/>
        <v>2.1027720000000021</v>
      </c>
      <c r="Q206" s="375">
        <f t="shared" si="71"/>
        <v>1.9015859999999976</v>
      </c>
      <c r="R206" s="375">
        <f t="shared" si="71"/>
        <v>1.3375530000000013</v>
      </c>
      <c r="S206" s="375">
        <f t="shared" si="71"/>
        <v>0.52924949999999904</v>
      </c>
      <c r="T206" s="375">
        <f t="shared" si="71"/>
        <v>0.25085200000000024</v>
      </c>
      <c r="U206" s="375">
        <f t="shared" si="71"/>
        <v>0.43033099999999969</v>
      </c>
      <c r="V206" s="375">
        <f t="shared" si="71"/>
        <v>1.621550000000006E-2</v>
      </c>
      <c r="W206" s="375">
        <f t="shared" si="71"/>
        <v>0</v>
      </c>
      <c r="X206" s="375">
        <f t="shared" si="71"/>
        <v>0</v>
      </c>
      <c r="Y206" s="369"/>
    </row>
    <row r="207" spans="1:26" ht="13" thickBot="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6" ht="13.5" thickBot="1" x14ac:dyDescent="0.35">
      <c r="A208" s="361" t="s">
        <v>537</v>
      </c>
      <c r="B208" s="359">
        <f>ROW(A208)</f>
        <v>208</v>
      </c>
      <c r="C208" s="363" t="s">
        <v>116</v>
      </c>
      <c r="D208" s="353">
        <f>SUM(B211:Y211)</f>
        <v>139.423417</v>
      </c>
      <c r="E208" s="363" t="s">
        <v>115</v>
      </c>
      <c r="F208" s="354">
        <f>D208/g/J208</f>
        <v>158.62027745922524</v>
      </c>
      <c r="G208" s="363" t="s">
        <v>57</v>
      </c>
      <c r="H208" s="64">
        <v>0.19450000000000001</v>
      </c>
      <c r="I208" s="363" t="s">
        <v>270</v>
      </c>
      <c r="J208" s="355">
        <f>H208-L208</f>
        <v>8.9600000000000013E-2</v>
      </c>
      <c r="K208" s="363" t="s">
        <v>271</v>
      </c>
      <c r="L208" s="64">
        <v>0.10489999999999999</v>
      </c>
      <c r="M208" s="363" t="s">
        <v>58</v>
      </c>
      <c r="N208" s="65">
        <v>114</v>
      </c>
      <c r="O208" s="363" t="s">
        <v>60</v>
      </c>
      <c r="P208" s="65">
        <v>144</v>
      </c>
      <c r="Q208" s="363" t="s">
        <v>61</v>
      </c>
      <c r="R208" s="65">
        <v>228</v>
      </c>
      <c r="S208" s="363" t="s">
        <v>62</v>
      </c>
      <c r="T208" s="65">
        <v>24</v>
      </c>
      <c r="U208" s="363" t="s">
        <v>55</v>
      </c>
      <c r="V208" s="66" t="s">
        <v>120</v>
      </c>
      <c r="W208" s="463" t="s">
        <v>394</v>
      </c>
      <c r="X208" s="465">
        <v>1.3</v>
      </c>
      <c r="Y208" s="463" t="s">
        <v>393</v>
      </c>
      <c r="Z208" s="358">
        <v>12</v>
      </c>
    </row>
    <row r="209" spans="1:26" x14ac:dyDescent="0.25">
      <c r="A209" s="362" t="s">
        <v>33</v>
      </c>
      <c r="B209" s="370">
        <v>0</v>
      </c>
      <c r="C209" s="371">
        <v>1.0999999999999999E-2</v>
      </c>
      <c r="D209" s="371">
        <v>2.1999999999999999E-2</v>
      </c>
      <c r="E209" s="371">
        <v>4.5999999999999999E-2</v>
      </c>
      <c r="F209" s="371">
        <v>8.1000000000000003E-2</v>
      </c>
      <c r="G209" s="371">
        <v>0.219</v>
      </c>
      <c r="H209" s="371">
        <v>0.253</v>
      </c>
      <c r="I209" s="371">
        <v>0.27400000000000002</v>
      </c>
      <c r="J209" s="371">
        <v>0.30499999999999999</v>
      </c>
      <c r="K209" s="371">
        <v>0.41199999999999998</v>
      </c>
      <c r="L209" s="371">
        <v>0.78900000000000003</v>
      </c>
      <c r="M209" s="371">
        <v>0.89900000000000002</v>
      </c>
      <c r="N209" s="371">
        <v>0.95299999999999996</v>
      </c>
      <c r="O209" s="371">
        <v>0.999</v>
      </c>
      <c r="P209" s="371">
        <v>1.03</v>
      </c>
      <c r="Q209" s="371">
        <v>1.0569999999999999</v>
      </c>
      <c r="R209" s="371">
        <v>1.1020000000000001</v>
      </c>
      <c r="S209" s="371">
        <v>1.1539999999999999</v>
      </c>
      <c r="T209" s="371">
        <v>1.1970000000000001</v>
      </c>
      <c r="U209" s="371">
        <v>1.2769999999999999</v>
      </c>
      <c r="V209" s="371">
        <v>1.335</v>
      </c>
      <c r="W209" s="371">
        <v>1.4510000000000001</v>
      </c>
      <c r="X209" s="371">
        <v>2</v>
      </c>
      <c r="Y209" s="381">
        <v>1000</v>
      </c>
    </row>
    <row r="210" spans="1:26" x14ac:dyDescent="0.25">
      <c r="A210" s="378" t="s">
        <v>34</v>
      </c>
      <c r="B210" s="372">
        <v>0</v>
      </c>
      <c r="C210" s="373">
        <v>198.41800000000001</v>
      </c>
      <c r="D210" s="373">
        <v>221.83500000000001</v>
      </c>
      <c r="E210" s="373">
        <v>212.65799999999999</v>
      </c>
      <c r="F210" s="373">
        <v>218.35400000000001</v>
      </c>
      <c r="G210" s="373">
        <v>204.43</v>
      </c>
      <c r="H210" s="373">
        <v>195.886</v>
      </c>
      <c r="I210" s="373">
        <v>183.54400000000001</v>
      </c>
      <c r="J210" s="373">
        <v>88.290999999999997</v>
      </c>
      <c r="K210" s="373">
        <v>93.671000000000006</v>
      </c>
      <c r="L210" s="373">
        <v>93.986999999999995</v>
      </c>
      <c r="M210" s="373">
        <v>91.138999999999996</v>
      </c>
      <c r="N210" s="373">
        <v>89.873000000000005</v>
      </c>
      <c r="O210" s="373">
        <v>87.025000000000006</v>
      </c>
      <c r="P210" s="373">
        <v>81.328999999999994</v>
      </c>
      <c r="Q210" s="373">
        <v>69.936999999999998</v>
      </c>
      <c r="R210" s="373">
        <v>54.113999999999997</v>
      </c>
      <c r="S210" s="373">
        <v>42.405000000000001</v>
      </c>
      <c r="T210" s="373">
        <v>31.646000000000001</v>
      </c>
      <c r="U210" s="373">
        <v>17.088999999999999</v>
      </c>
      <c r="V210" s="373">
        <v>9.81</v>
      </c>
      <c r="W210" s="373">
        <v>0</v>
      </c>
      <c r="X210" s="373">
        <v>0</v>
      </c>
      <c r="Y210" s="382">
        <v>0</v>
      </c>
    </row>
    <row r="211" spans="1:26" ht="13" thickBot="1" x14ac:dyDescent="0.3">
      <c r="A211" s="379" t="s">
        <v>117</v>
      </c>
      <c r="B211" s="374">
        <f t="shared" ref="B211:X211" si="72">(C210+B210)*(C209-B209)/2</f>
        <v>1.091299</v>
      </c>
      <c r="C211" s="375">
        <f t="shared" si="72"/>
        <v>2.3113915</v>
      </c>
      <c r="D211" s="375">
        <f t="shared" si="72"/>
        <v>5.2139160000000002</v>
      </c>
      <c r="E211" s="375">
        <f t="shared" si="72"/>
        <v>7.5427100000000005</v>
      </c>
      <c r="F211" s="375">
        <f t="shared" si="72"/>
        <v>29.172096000000003</v>
      </c>
      <c r="G211" s="375">
        <f t="shared" si="72"/>
        <v>6.8053720000000011</v>
      </c>
      <c r="H211" s="375">
        <f t="shared" si="72"/>
        <v>3.9840150000000034</v>
      </c>
      <c r="I211" s="375">
        <f t="shared" si="72"/>
        <v>4.2134424999999966</v>
      </c>
      <c r="J211" s="375">
        <f t="shared" si="72"/>
        <v>9.7349669999999975</v>
      </c>
      <c r="K211" s="375">
        <f t="shared" si="72"/>
        <v>35.373533000000009</v>
      </c>
      <c r="L211" s="375">
        <f t="shared" si="72"/>
        <v>10.181929999999998</v>
      </c>
      <c r="M211" s="375">
        <f t="shared" si="72"/>
        <v>4.8873239999999942</v>
      </c>
      <c r="N211" s="375">
        <f t="shared" si="72"/>
        <v>4.068654000000004</v>
      </c>
      <c r="O211" s="375">
        <f t="shared" si="72"/>
        <v>2.6094870000000019</v>
      </c>
      <c r="P211" s="375">
        <f t="shared" si="72"/>
        <v>2.0420909999999934</v>
      </c>
      <c r="Q211" s="375">
        <f t="shared" si="72"/>
        <v>2.791147500000009</v>
      </c>
      <c r="R211" s="375">
        <f t="shared" si="72"/>
        <v>2.5094939999999917</v>
      </c>
      <c r="S211" s="375">
        <f t="shared" si="72"/>
        <v>1.5920965000000056</v>
      </c>
      <c r="T211" s="375">
        <f t="shared" si="72"/>
        <v>1.9493999999999962</v>
      </c>
      <c r="U211" s="375">
        <f t="shared" si="72"/>
        <v>0.78007100000000074</v>
      </c>
      <c r="V211" s="375">
        <f t="shared" si="72"/>
        <v>0.56898000000000049</v>
      </c>
      <c r="W211" s="375">
        <f t="shared" si="72"/>
        <v>0</v>
      </c>
      <c r="X211" s="375">
        <f t="shared" si="72"/>
        <v>0</v>
      </c>
      <c r="Y211" s="369"/>
    </row>
    <row r="212" spans="1:26" ht="13.5" thickBot="1" x14ac:dyDescent="0.35">
      <c r="A212" s="6" t="s">
        <v>315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6" ht="13.5" thickBot="1" x14ac:dyDescent="0.35">
      <c r="A213" s="361" t="s">
        <v>375</v>
      </c>
      <c r="B213" s="359">
        <f>ROW(A213)</f>
        <v>213</v>
      </c>
      <c r="C213" s="363" t="s">
        <v>116</v>
      </c>
      <c r="D213" s="353">
        <f>SUM(B216:Y216)</f>
        <v>82.798500000000018</v>
      </c>
      <c r="E213" s="363" t="s">
        <v>115</v>
      </c>
      <c r="F213" s="354">
        <f>D213/g/J213</f>
        <v>131.87834480122325</v>
      </c>
      <c r="G213" s="363" t="s">
        <v>57</v>
      </c>
      <c r="H213" s="64">
        <v>0.152</v>
      </c>
      <c r="I213" s="363" t="s">
        <v>270</v>
      </c>
      <c r="J213" s="355">
        <f>H213-L213</f>
        <v>6.4000000000000001E-2</v>
      </c>
      <c r="K213" s="363" t="s">
        <v>271</v>
      </c>
      <c r="L213" s="64">
        <v>8.7999999999999995E-2</v>
      </c>
      <c r="M213" s="363" t="s">
        <v>58</v>
      </c>
      <c r="N213" s="65">
        <v>71</v>
      </c>
      <c r="O213" s="363" t="s">
        <v>60</v>
      </c>
      <c r="P213" s="65">
        <v>71</v>
      </c>
      <c r="Q213" s="363" t="s">
        <v>61</v>
      </c>
      <c r="R213" s="65">
        <v>142</v>
      </c>
      <c r="S213" s="363" t="s">
        <v>62</v>
      </c>
      <c r="T213" s="65">
        <v>29</v>
      </c>
      <c r="U213" s="363" t="s">
        <v>55</v>
      </c>
      <c r="V213" s="66" t="s">
        <v>120</v>
      </c>
      <c r="W213" s="463" t="s">
        <v>394</v>
      </c>
      <c r="X213" s="465">
        <v>0.96</v>
      </c>
      <c r="Y213" s="463" t="s">
        <v>393</v>
      </c>
      <c r="Z213" s="358">
        <v>11</v>
      </c>
    </row>
    <row r="214" spans="1:26" x14ac:dyDescent="0.25">
      <c r="A214" s="362" t="s">
        <v>33</v>
      </c>
      <c r="B214" s="370">
        <v>0</v>
      </c>
      <c r="C214" s="371">
        <v>0.02</v>
      </c>
      <c r="D214" s="371">
        <v>0.03</v>
      </c>
      <c r="E214" s="371">
        <v>0.04</v>
      </c>
      <c r="F214" s="371">
        <v>0.06</v>
      </c>
      <c r="G214" s="371">
        <v>0.08</v>
      </c>
      <c r="H214" s="371">
        <v>0.15</v>
      </c>
      <c r="I214" s="371">
        <v>0.18</v>
      </c>
      <c r="J214" s="371">
        <v>0.2</v>
      </c>
      <c r="K214" s="371">
        <v>0.3</v>
      </c>
      <c r="L214" s="371">
        <v>0.4</v>
      </c>
      <c r="M214" s="371">
        <v>0.5</v>
      </c>
      <c r="N214" s="371">
        <v>0.6</v>
      </c>
      <c r="O214" s="371">
        <v>0.7</v>
      </c>
      <c r="P214" s="371">
        <v>0.82</v>
      </c>
      <c r="Q214" s="371">
        <v>0.93</v>
      </c>
      <c r="R214" s="371">
        <v>1</v>
      </c>
      <c r="S214" s="371">
        <f t="shared" ref="S214:X215" si="73">R214</f>
        <v>1</v>
      </c>
      <c r="T214" s="371">
        <f t="shared" si="73"/>
        <v>1</v>
      </c>
      <c r="U214" s="371">
        <f t="shared" si="73"/>
        <v>1</v>
      </c>
      <c r="V214" s="371">
        <f t="shared" si="73"/>
        <v>1</v>
      </c>
      <c r="W214" s="371">
        <f t="shared" si="73"/>
        <v>1</v>
      </c>
      <c r="X214" s="371">
        <v>2</v>
      </c>
      <c r="Y214" s="381">
        <v>1000</v>
      </c>
    </row>
    <row r="215" spans="1:26" x14ac:dyDescent="0.25">
      <c r="A215" s="378" t="s">
        <v>34</v>
      </c>
      <c r="B215" s="372">
        <v>0</v>
      </c>
      <c r="C215" s="373">
        <v>41.9</v>
      </c>
      <c r="D215" s="373">
        <v>92.1</v>
      </c>
      <c r="E215" s="373">
        <v>116.7</v>
      </c>
      <c r="F215" s="373">
        <v>112.7</v>
      </c>
      <c r="G215" s="373">
        <v>82.7</v>
      </c>
      <c r="H215" s="373">
        <v>84.7</v>
      </c>
      <c r="I215" s="373">
        <v>86.2</v>
      </c>
      <c r="J215" s="373">
        <v>87.9</v>
      </c>
      <c r="K215" s="373">
        <v>90.9</v>
      </c>
      <c r="L215" s="373">
        <v>93.9</v>
      </c>
      <c r="M215" s="373">
        <v>95.3</v>
      </c>
      <c r="N215" s="373">
        <v>96.8</v>
      </c>
      <c r="O215" s="373">
        <v>97.6</v>
      </c>
      <c r="P215" s="373">
        <v>108.2</v>
      </c>
      <c r="Q215" s="373">
        <v>11</v>
      </c>
      <c r="R215" s="373">
        <v>0</v>
      </c>
      <c r="S215" s="373">
        <f t="shared" si="73"/>
        <v>0</v>
      </c>
      <c r="T215" s="373">
        <f t="shared" si="73"/>
        <v>0</v>
      </c>
      <c r="U215" s="373">
        <f t="shared" si="73"/>
        <v>0</v>
      </c>
      <c r="V215" s="373">
        <f t="shared" si="73"/>
        <v>0</v>
      </c>
      <c r="W215" s="373">
        <f t="shared" si="73"/>
        <v>0</v>
      </c>
      <c r="X215" s="373">
        <f t="shared" si="73"/>
        <v>0</v>
      </c>
      <c r="Y215" s="382">
        <v>0</v>
      </c>
    </row>
    <row r="216" spans="1:26" ht="13" thickBot="1" x14ac:dyDescent="0.3">
      <c r="A216" s="379" t="s">
        <v>117</v>
      </c>
      <c r="B216" s="374">
        <f t="shared" ref="B216:V216" si="74">(C215+B215)*(C214-B214)/2</f>
        <v>0.41899999999999998</v>
      </c>
      <c r="C216" s="375">
        <f t="shared" si="74"/>
        <v>0.66999999999999993</v>
      </c>
      <c r="D216" s="375">
        <f t="shared" si="74"/>
        <v>1.0440000000000003</v>
      </c>
      <c r="E216" s="375">
        <f t="shared" si="74"/>
        <v>2.2939999999999996</v>
      </c>
      <c r="F216" s="375">
        <f t="shared" si="74"/>
        <v>1.9540000000000004</v>
      </c>
      <c r="G216" s="375">
        <f t="shared" si="74"/>
        <v>5.859</v>
      </c>
      <c r="H216" s="375">
        <f t="shared" si="74"/>
        <v>2.5634999999999999</v>
      </c>
      <c r="I216" s="375">
        <f t="shared" si="74"/>
        <v>1.7410000000000019</v>
      </c>
      <c r="J216" s="375">
        <f>(K215+J215)*(K214-J214)/2</f>
        <v>8.9399999999999977</v>
      </c>
      <c r="K216" s="375">
        <f t="shared" si="74"/>
        <v>9.2400000000000038</v>
      </c>
      <c r="L216" s="375">
        <f t="shared" si="74"/>
        <v>9.4599999999999973</v>
      </c>
      <c r="M216" s="375">
        <f t="shared" si="74"/>
        <v>9.6049999999999969</v>
      </c>
      <c r="N216" s="375">
        <f t="shared" si="74"/>
        <v>9.7199999999999971</v>
      </c>
      <c r="O216" s="375">
        <f t="shared" si="74"/>
        <v>12.348000000000001</v>
      </c>
      <c r="P216" s="375">
        <f t="shared" si="74"/>
        <v>6.5560000000000063</v>
      </c>
      <c r="Q216" s="375">
        <f t="shared" si="74"/>
        <v>0.38499999999999973</v>
      </c>
      <c r="R216" s="375">
        <f t="shared" si="74"/>
        <v>0</v>
      </c>
      <c r="S216" s="375">
        <f>(T215+S215)*(T214-S214)/2</f>
        <v>0</v>
      </c>
      <c r="T216" s="375">
        <f t="shared" si="74"/>
        <v>0</v>
      </c>
      <c r="U216" s="375">
        <f t="shared" si="74"/>
        <v>0</v>
      </c>
      <c r="V216" s="375">
        <f t="shared" si="74"/>
        <v>0</v>
      </c>
      <c r="W216" s="375">
        <f>(X215+W215)*(X214-W214)/2</f>
        <v>0</v>
      </c>
      <c r="X216" s="375">
        <f>(Y215+X215)*(Y214-X214)/2</f>
        <v>0</v>
      </c>
      <c r="Y216" s="369"/>
    </row>
    <row r="217" spans="1:26" ht="13" thickBot="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6" ht="13.5" thickBot="1" x14ac:dyDescent="0.35">
      <c r="A218" s="361" t="s">
        <v>376</v>
      </c>
      <c r="B218" s="359">
        <f>ROW(A218)</f>
        <v>218</v>
      </c>
      <c r="C218" s="363" t="s">
        <v>116</v>
      </c>
      <c r="D218" s="353">
        <f>SUM(B221:Y221)</f>
        <v>98.257101163036367</v>
      </c>
      <c r="E218" s="363" t="s">
        <v>115</v>
      </c>
      <c r="F218" s="354">
        <f>D218/g/J218</f>
        <v>177.58890761893778</v>
      </c>
      <c r="G218" s="363" t="s">
        <v>57</v>
      </c>
      <c r="H218" s="64">
        <v>0.14319999999999999</v>
      </c>
      <c r="I218" s="363" t="s">
        <v>270</v>
      </c>
      <c r="J218" s="355">
        <f>H218-L218</f>
        <v>5.6399999999999992E-2</v>
      </c>
      <c r="K218" s="363" t="s">
        <v>271</v>
      </c>
      <c r="L218" s="64">
        <v>8.6800000000000002E-2</v>
      </c>
      <c r="M218" s="363" t="s">
        <v>58</v>
      </c>
      <c r="N218" s="65">
        <v>71</v>
      </c>
      <c r="O218" s="363" t="s">
        <v>60</v>
      </c>
      <c r="P218" s="65">
        <v>71</v>
      </c>
      <c r="Q218" s="363" t="s">
        <v>61</v>
      </c>
      <c r="R218" s="65">
        <v>142</v>
      </c>
      <c r="S218" s="363" t="s">
        <v>62</v>
      </c>
      <c r="T218" s="65">
        <v>29</v>
      </c>
      <c r="U218" s="363" t="s">
        <v>55</v>
      </c>
      <c r="V218" s="66" t="s">
        <v>120</v>
      </c>
      <c r="W218" s="463" t="s">
        <v>394</v>
      </c>
      <c r="X218" s="465">
        <v>1.1499999999999999</v>
      </c>
      <c r="Y218" s="463" t="s">
        <v>393</v>
      </c>
      <c r="Z218" s="358">
        <v>14</v>
      </c>
    </row>
    <row r="219" spans="1:26" x14ac:dyDescent="0.25">
      <c r="A219" s="362" t="s">
        <v>33</v>
      </c>
      <c r="B219" s="370">
        <v>0</v>
      </c>
      <c r="C219" s="371">
        <v>1.4999999999999999E-2</v>
      </c>
      <c r="D219" s="371">
        <v>0.03</v>
      </c>
      <c r="E219" s="371">
        <v>4.4999999999999998E-2</v>
      </c>
      <c r="F219" s="371">
        <v>0.06</v>
      </c>
      <c r="G219" s="371">
        <v>7.4999999999999997E-2</v>
      </c>
      <c r="H219" s="371">
        <v>0.09</v>
      </c>
      <c r="I219" s="371">
        <v>0.105</v>
      </c>
      <c r="J219" s="371">
        <v>0.12</v>
      </c>
      <c r="K219" s="371">
        <v>0.18</v>
      </c>
      <c r="L219" s="371">
        <v>0.24</v>
      </c>
      <c r="M219" s="371">
        <v>0.3</v>
      </c>
      <c r="N219" s="371">
        <v>0.48</v>
      </c>
      <c r="O219" s="371">
        <v>0.6</v>
      </c>
      <c r="P219" s="371">
        <v>0.66</v>
      </c>
      <c r="Q219" s="371">
        <v>0.72</v>
      </c>
      <c r="R219" s="371">
        <v>0.78</v>
      </c>
      <c r="S219" s="371">
        <v>0.84</v>
      </c>
      <c r="T219" s="371">
        <v>0.9</v>
      </c>
      <c r="U219" s="371">
        <v>0.96</v>
      </c>
      <c r="V219" s="371">
        <v>1.0349999999999999</v>
      </c>
      <c r="W219" s="371">
        <v>1.2</v>
      </c>
      <c r="X219" s="371">
        <v>2</v>
      </c>
      <c r="Y219" s="381">
        <v>1000</v>
      </c>
    </row>
    <row r="220" spans="1:26" x14ac:dyDescent="0.25">
      <c r="A220" s="378" t="s">
        <v>34</v>
      </c>
      <c r="B220" s="372">
        <v>0</v>
      </c>
      <c r="C220" s="376">
        <v>99.328788958822486</v>
      </c>
      <c r="D220" s="376">
        <v>109.07039432469</v>
      </c>
      <c r="E220" s="376">
        <v>65.255411286427503</v>
      </c>
      <c r="F220" s="376">
        <v>67.568486533117493</v>
      </c>
      <c r="G220" s="376">
        <v>73.929443461515007</v>
      </c>
      <c r="H220" s="376">
        <v>74.329783408057494</v>
      </c>
      <c r="I220" s="376">
        <v>78.1552540083525</v>
      </c>
      <c r="J220" s="376">
        <v>78.600076171177506</v>
      </c>
      <c r="K220" s="376">
        <v>82.203135690059995</v>
      </c>
      <c r="L220" s="376">
        <v>84.516210936749999</v>
      </c>
      <c r="M220" s="376">
        <v>88.51961040217499</v>
      </c>
      <c r="N220" s="376">
        <v>95.102978411984992</v>
      </c>
      <c r="O220" s="376">
        <v>95.547800574809997</v>
      </c>
      <c r="P220" s="376">
        <v>94.480227384029988</v>
      </c>
      <c r="Q220" s="376">
        <v>92.122669921057494</v>
      </c>
      <c r="R220" s="376">
        <v>90.743721216299988</v>
      </c>
      <c r="S220" s="376">
        <v>88.964432564999996</v>
      </c>
      <c r="T220" s="376">
        <v>85.405855262399996</v>
      </c>
      <c r="U220" s="376">
        <v>83.448637745970004</v>
      </c>
      <c r="V220" s="376">
        <v>88.074788239349999</v>
      </c>
      <c r="W220" s="376">
        <v>0</v>
      </c>
      <c r="X220" s="373">
        <v>0</v>
      </c>
      <c r="Y220" s="382">
        <v>0</v>
      </c>
    </row>
    <row r="221" spans="1:26" ht="13" thickBot="1" x14ac:dyDescent="0.3">
      <c r="A221" s="379" t="s">
        <v>117</v>
      </c>
      <c r="B221" s="374">
        <f t="shared" ref="B221:V221" si="75">(C220+B220)*(C219-B219)/2</f>
        <v>0.74496591719116867</v>
      </c>
      <c r="C221" s="375">
        <f t="shared" si="75"/>
        <v>1.5629938746263436</v>
      </c>
      <c r="D221" s="375">
        <f t="shared" si="75"/>
        <v>1.3074435420833814</v>
      </c>
      <c r="E221" s="375">
        <f t="shared" si="75"/>
        <v>0.99617923364658734</v>
      </c>
      <c r="F221" s="375">
        <f t="shared" si="75"/>
        <v>1.0612344749597438</v>
      </c>
      <c r="G221" s="375">
        <f t="shared" si="75"/>
        <v>1.1119442015217937</v>
      </c>
      <c r="H221" s="375">
        <f t="shared" si="75"/>
        <v>1.1436377806230749</v>
      </c>
      <c r="I221" s="375">
        <f t="shared" si="75"/>
        <v>1.175664976346475</v>
      </c>
      <c r="J221" s="375">
        <f>(K220+J220)*(K219-J219)/2</f>
        <v>4.824096355837125</v>
      </c>
      <c r="K221" s="375">
        <f t="shared" si="75"/>
        <v>5.0015803988042995</v>
      </c>
      <c r="L221" s="375">
        <f t="shared" si="75"/>
        <v>5.1910746401677494</v>
      </c>
      <c r="M221" s="375">
        <f t="shared" si="75"/>
        <v>16.526032993274399</v>
      </c>
      <c r="N221" s="375">
        <f t="shared" si="75"/>
        <v>11.439046739207699</v>
      </c>
      <c r="O221" s="375">
        <f t="shared" si="75"/>
        <v>5.7008408387652043</v>
      </c>
      <c r="P221" s="375">
        <f t="shared" si="75"/>
        <v>5.5980869191526192</v>
      </c>
      <c r="Q221" s="375">
        <f t="shared" si="75"/>
        <v>5.4859917341207289</v>
      </c>
      <c r="R221" s="375">
        <f t="shared" si="75"/>
        <v>5.3912446134389942</v>
      </c>
      <c r="S221" s="375">
        <f>(T220+S220)*(T219-S219)/2</f>
        <v>5.2311086348220037</v>
      </c>
      <c r="T221" s="375">
        <f t="shared" si="75"/>
        <v>5.0656347902510959</v>
      </c>
      <c r="U221" s="375">
        <f t="shared" si="75"/>
        <v>6.4321284744494962</v>
      </c>
      <c r="V221" s="375">
        <f t="shared" si="75"/>
        <v>7.2661700297463767</v>
      </c>
      <c r="W221" s="375">
        <f>(X220+W220)*(X219-W219)/2</f>
        <v>0</v>
      </c>
      <c r="X221" s="375">
        <f>(Y220+X220)*(Y219-X219)/2</f>
        <v>0</v>
      </c>
      <c r="Y221" s="369"/>
    </row>
    <row r="222" spans="1:26" ht="13" thickBot="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6" ht="13.5" thickBot="1" x14ac:dyDescent="0.35">
      <c r="A223" s="361" t="s">
        <v>377</v>
      </c>
      <c r="B223" s="359">
        <f>ROW(A223)</f>
        <v>223</v>
      </c>
      <c r="C223" s="363" t="s">
        <v>116</v>
      </c>
      <c r="D223" s="353">
        <f>SUM(B226:Y226)</f>
        <v>109.60639850000001</v>
      </c>
      <c r="E223" s="363" t="s">
        <v>115</v>
      </c>
      <c r="F223" s="354">
        <f>D223/g/J223</f>
        <v>194.31174666489383</v>
      </c>
      <c r="G223" s="363" t="s">
        <v>57</v>
      </c>
      <c r="H223" s="64">
        <v>0.14130000000000001</v>
      </c>
      <c r="I223" s="363" t="s">
        <v>270</v>
      </c>
      <c r="J223" s="355">
        <f>H223-L223</f>
        <v>5.7500000000000009E-2</v>
      </c>
      <c r="K223" s="363" t="s">
        <v>271</v>
      </c>
      <c r="L223" s="64">
        <v>8.3799999999999999E-2</v>
      </c>
      <c r="M223" s="363" t="s">
        <v>58</v>
      </c>
      <c r="N223" s="65">
        <v>71</v>
      </c>
      <c r="O223" s="363" t="s">
        <v>60</v>
      </c>
      <c r="P223" s="65">
        <v>71</v>
      </c>
      <c r="Q223" s="363" t="s">
        <v>61</v>
      </c>
      <c r="R223" s="65">
        <v>142</v>
      </c>
      <c r="S223" s="363" t="s">
        <v>62</v>
      </c>
      <c r="T223" s="65">
        <v>29</v>
      </c>
      <c r="U223" s="363" t="s">
        <v>55</v>
      </c>
      <c r="V223" s="66" t="s">
        <v>401</v>
      </c>
      <c r="W223" s="463" t="s">
        <v>394</v>
      </c>
      <c r="X223" s="465">
        <v>0.45</v>
      </c>
      <c r="Y223" s="463" t="s">
        <v>393</v>
      </c>
      <c r="Z223" s="358">
        <v>14</v>
      </c>
    </row>
    <row r="224" spans="1:26" x14ac:dyDescent="0.25">
      <c r="A224" s="362" t="s">
        <v>33</v>
      </c>
      <c r="B224" s="370">
        <v>0</v>
      </c>
      <c r="C224" s="371">
        <v>6.0000000000000001E-3</v>
      </c>
      <c r="D224" s="371">
        <v>1.0999999999999999E-2</v>
      </c>
      <c r="E224" s="371">
        <v>1.6E-2</v>
      </c>
      <c r="F224" s="371">
        <v>3.1E-2</v>
      </c>
      <c r="G224" s="371">
        <v>7.4999999999999997E-2</v>
      </c>
      <c r="H224" s="371">
        <v>0.122</v>
      </c>
      <c r="I224" s="371">
        <v>0.216</v>
      </c>
      <c r="J224" s="371">
        <v>0.25</v>
      </c>
      <c r="K224" s="371">
        <v>0.28699999999999998</v>
      </c>
      <c r="L224" s="371">
        <v>0.35399999999999998</v>
      </c>
      <c r="M224" s="371">
        <v>0.374</v>
      </c>
      <c r="N224" s="371">
        <v>0.4</v>
      </c>
      <c r="O224" s="371">
        <v>0.41299999999999998</v>
      </c>
      <c r="P224" s="371">
        <v>0.42</v>
      </c>
      <c r="Q224" s="371">
        <v>0.433</v>
      </c>
      <c r="R224" s="371">
        <v>0.44500000000000001</v>
      </c>
      <c r="S224" s="371">
        <v>0.45400000000000001</v>
      </c>
      <c r="T224" s="371">
        <f t="shared" ref="T224:X225" si="76">S224</f>
        <v>0.45400000000000001</v>
      </c>
      <c r="U224" s="371">
        <f t="shared" si="76"/>
        <v>0.45400000000000001</v>
      </c>
      <c r="V224" s="371">
        <f t="shared" si="76"/>
        <v>0.45400000000000001</v>
      </c>
      <c r="W224" s="371">
        <f t="shared" si="76"/>
        <v>0.45400000000000001</v>
      </c>
      <c r="X224" s="371">
        <v>2</v>
      </c>
      <c r="Y224" s="381">
        <v>1000</v>
      </c>
    </row>
    <row r="225" spans="1:26" x14ac:dyDescent="0.25">
      <c r="A225" s="378" t="s">
        <v>34</v>
      </c>
      <c r="B225" s="372">
        <v>0</v>
      </c>
      <c r="C225" s="373">
        <v>151.62100000000001</v>
      </c>
      <c r="D225" s="373">
        <v>198.07900000000001</v>
      </c>
      <c r="E225" s="373">
        <v>203.12100000000001</v>
      </c>
      <c r="F225" s="373">
        <v>201.68100000000001</v>
      </c>
      <c r="G225" s="373">
        <v>226.17</v>
      </c>
      <c r="H225" s="373">
        <v>250.3</v>
      </c>
      <c r="I225" s="373">
        <v>280.19200000000001</v>
      </c>
      <c r="J225" s="373">
        <v>287.03500000000003</v>
      </c>
      <c r="K225" s="373">
        <v>284.87400000000002</v>
      </c>
      <c r="L225" s="373">
        <v>269.74799999999999</v>
      </c>
      <c r="M225" s="373">
        <v>258.58300000000003</v>
      </c>
      <c r="N225" s="373">
        <v>233.37299999999999</v>
      </c>
      <c r="O225" s="373">
        <v>234.09399999999999</v>
      </c>
      <c r="P225" s="373">
        <v>227.61099999999999</v>
      </c>
      <c r="Q225" s="373">
        <v>137.935</v>
      </c>
      <c r="R225" s="373">
        <v>33.853999999999999</v>
      </c>
      <c r="S225" s="373">
        <v>0</v>
      </c>
      <c r="T225" s="373">
        <f t="shared" si="76"/>
        <v>0</v>
      </c>
      <c r="U225" s="373">
        <f t="shared" si="76"/>
        <v>0</v>
      </c>
      <c r="V225" s="373">
        <f t="shared" si="76"/>
        <v>0</v>
      </c>
      <c r="W225" s="373">
        <f t="shared" si="76"/>
        <v>0</v>
      </c>
      <c r="X225" s="373">
        <f t="shared" si="76"/>
        <v>0</v>
      </c>
      <c r="Y225" s="382">
        <v>0</v>
      </c>
    </row>
    <row r="226" spans="1:26" ht="13" thickBot="1" x14ac:dyDescent="0.3">
      <c r="A226" s="379" t="s">
        <v>117</v>
      </c>
      <c r="B226" s="374">
        <f t="shared" ref="B226:X226" si="77">(C225+B225)*(C224-B224)/2</f>
        <v>0.45486300000000002</v>
      </c>
      <c r="C226" s="375">
        <f t="shared" si="77"/>
        <v>0.87424999999999997</v>
      </c>
      <c r="D226" s="375">
        <f t="shared" si="77"/>
        <v>1.0030000000000003</v>
      </c>
      <c r="E226" s="375">
        <f t="shared" si="77"/>
        <v>3.0360149999999999</v>
      </c>
      <c r="F226" s="375">
        <f t="shared" si="77"/>
        <v>9.4127219999999987</v>
      </c>
      <c r="G226" s="375">
        <f t="shared" si="77"/>
        <v>11.197045000000001</v>
      </c>
      <c r="H226" s="375">
        <f t="shared" si="77"/>
        <v>24.933123999999999</v>
      </c>
      <c r="I226" s="375">
        <f t="shared" si="77"/>
        <v>9.6428590000000014</v>
      </c>
      <c r="J226" s="375">
        <f t="shared" si="77"/>
        <v>10.580316499999995</v>
      </c>
      <c r="K226" s="375">
        <f t="shared" si="77"/>
        <v>18.579837000000005</v>
      </c>
      <c r="L226" s="375">
        <f t="shared" si="77"/>
        <v>5.2833100000000046</v>
      </c>
      <c r="M226" s="375">
        <f t="shared" si="77"/>
        <v>6.3954280000000061</v>
      </c>
      <c r="N226" s="375">
        <f t="shared" si="77"/>
        <v>3.0385354999999898</v>
      </c>
      <c r="O226" s="375">
        <f t="shared" si="77"/>
        <v>1.6159675000000013</v>
      </c>
      <c r="P226" s="375">
        <f t="shared" si="77"/>
        <v>2.3760490000000019</v>
      </c>
      <c r="Q226" s="375">
        <f t="shared" si="77"/>
        <v>1.0307340000000009</v>
      </c>
      <c r="R226" s="375">
        <f t="shared" si="77"/>
        <v>0.15234300000000014</v>
      </c>
      <c r="S226" s="375">
        <f t="shared" si="77"/>
        <v>0</v>
      </c>
      <c r="T226" s="375">
        <f t="shared" si="77"/>
        <v>0</v>
      </c>
      <c r="U226" s="375">
        <f t="shared" si="77"/>
        <v>0</v>
      </c>
      <c r="V226" s="375">
        <f t="shared" si="77"/>
        <v>0</v>
      </c>
      <c r="W226" s="375">
        <f t="shared" si="77"/>
        <v>0</v>
      </c>
      <c r="X226" s="375">
        <f t="shared" si="77"/>
        <v>0</v>
      </c>
      <c r="Y226" s="369"/>
    </row>
    <row r="227" spans="1:26" ht="13" thickBot="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6" ht="13.5" thickBot="1" x14ac:dyDescent="0.35">
      <c r="A228" s="361" t="s">
        <v>378</v>
      </c>
      <c r="B228" s="359">
        <f>ROW(A228)</f>
        <v>228</v>
      </c>
      <c r="C228" s="363" t="s">
        <v>116</v>
      </c>
      <c r="D228" s="353">
        <f>SUM(B231:Y231)</f>
        <v>115.63</v>
      </c>
      <c r="E228" s="363" t="s">
        <v>115</v>
      </c>
      <c r="F228" s="354">
        <f>D228/g/J228</f>
        <v>199.77884897804037</v>
      </c>
      <c r="G228" s="363" t="s">
        <v>57</v>
      </c>
      <c r="H228" s="64">
        <v>0.14499999999999999</v>
      </c>
      <c r="I228" s="363" t="s">
        <v>270</v>
      </c>
      <c r="J228" s="355">
        <f>H228-L228</f>
        <v>5.8999999999999997E-2</v>
      </c>
      <c r="K228" s="363" t="s">
        <v>271</v>
      </c>
      <c r="L228" s="64">
        <v>8.5999999999999993E-2</v>
      </c>
      <c r="M228" s="363" t="s">
        <v>58</v>
      </c>
      <c r="N228" s="65">
        <v>71</v>
      </c>
      <c r="O228" s="363" t="s">
        <v>60</v>
      </c>
      <c r="P228" s="65">
        <v>71</v>
      </c>
      <c r="Q228" s="363" t="s">
        <v>61</v>
      </c>
      <c r="R228" s="65">
        <v>142</v>
      </c>
      <c r="S228" s="363" t="s">
        <v>62</v>
      </c>
      <c r="T228" s="65">
        <v>29</v>
      </c>
      <c r="U228" s="363" t="s">
        <v>55</v>
      </c>
      <c r="V228" s="66" t="s">
        <v>400</v>
      </c>
      <c r="W228" s="463" t="s">
        <v>394</v>
      </c>
      <c r="X228" s="465">
        <v>0.93</v>
      </c>
      <c r="Y228" s="463" t="s">
        <v>393</v>
      </c>
      <c r="Z228" s="358">
        <v>13</v>
      </c>
    </row>
    <row r="229" spans="1:26" x14ac:dyDescent="0.25">
      <c r="A229" s="362" t="s">
        <v>33</v>
      </c>
      <c r="B229" s="370">
        <v>0</v>
      </c>
      <c r="C229" s="371">
        <v>0.01</v>
      </c>
      <c r="D229" s="371">
        <v>0.02</v>
      </c>
      <c r="E229" s="371">
        <v>0.03</v>
      </c>
      <c r="F229" s="371">
        <v>0.04</v>
      </c>
      <c r="G229" s="371">
        <v>0.05</v>
      </c>
      <c r="H229" s="371">
        <v>0.1</v>
      </c>
      <c r="I229" s="371">
        <v>0.2</v>
      </c>
      <c r="J229" s="371">
        <v>0.3</v>
      </c>
      <c r="K229" s="371">
        <v>0.4</v>
      </c>
      <c r="L229" s="371">
        <v>0.6</v>
      </c>
      <c r="M229" s="371">
        <v>0.75</v>
      </c>
      <c r="N229" s="371">
        <v>0.81</v>
      </c>
      <c r="O229" s="371">
        <v>0.86</v>
      </c>
      <c r="P229" s="371">
        <v>0.9</v>
      </c>
      <c r="Q229" s="371">
        <v>0.95</v>
      </c>
      <c r="R229" s="371">
        <v>1</v>
      </c>
      <c r="S229" s="371">
        <v>1</v>
      </c>
      <c r="T229" s="371">
        <v>1</v>
      </c>
      <c r="U229" s="371">
        <v>1</v>
      </c>
      <c r="V229" s="371">
        <v>1</v>
      </c>
      <c r="W229" s="371">
        <v>1</v>
      </c>
      <c r="X229" s="371">
        <v>2</v>
      </c>
      <c r="Y229" s="381">
        <v>1000</v>
      </c>
    </row>
    <row r="230" spans="1:26" x14ac:dyDescent="0.25">
      <c r="A230" s="378" t="s">
        <v>34</v>
      </c>
      <c r="B230" s="372">
        <v>0</v>
      </c>
      <c r="C230" s="376">
        <v>55</v>
      </c>
      <c r="D230" s="376">
        <v>168</v>
      </c>
      <c r="E230" s="376">
        <v>157</v>
      </c>
      <c r="F230" s="376">
        <v>148</v>
      </c>
      <c r="G230" s="376">
        <v>125</v>
      </c>
      <c r="H230" s="376">
        <v>135</v>
      </c>
      <c r="I230" s="376">
        <v>141</v>
      </c>
      <c r="J230" s="376">
        <v>142</v>
      </c>
      <c r="K230" s="376">
        <v>141</v>
      </c>
      <c r="L230" s="376">
        <v>133</v>
      </c>
      <c r="M230" s="376">
        <v>127</v>
      </c>
      <c r="N230" s="376">
        <v>128</v>
      </c>
      <c r="O230" s="376">
        <v>60</v>
      </c>
      <c r="P230" s="376">
        <v>15</v>
      </c>
      <c r="Q230" s="376">
        <v>0</v>
      </c>
      <c r="R230" s="376">
        <v>0</v>
      </c>
      <c r="S230" s="376">
        <v>0</v>
      </c>
      <c r="T230" s="376">
        <v>0</v>
      </c>
      <c r="U230" s="376">
        <v>0</v>
      </c>
      <c r="V230" s="376">
        <v>0</v>
      </c>
      <c r="W230" s="376">
        <v>0</v>
      </c>
      <c r="X230" s="373">
        <v>0</v>
      </c>
      <c r="Y230" s="382">
        <v>0</v>
      </c>
    </row>
    <row r="231" spans="1:26" ht="13" thickBot="1" x14ac:dyDescent="0.3">
      <c r="A231" s="379" t="s">
        <v>117</v>
      </c>
      <c r="B231" s="374">
        <f t="shared" ref="B231:X231" si="78">(C230+B230)*(C229-B229)/2</f>
        <v>0.27500000000000002</v>
      </c>
      <c r="C231" s="375">
        <f t="shared" si="78"/>
        <v>1.115</v>
      </c>
      <c r="D231" s="375">
        <f t="shared" si="78"/>
        <v>1.6249999999999998</v>
      </c>
      <c r="E231" s="375">
        <f t="shared" si="78"/>
        <v>1.5250000000000004</v>
      </c>
      <c r="F231" s="375">
        <f t="shared" si="78"/>
        <v>1.3650000000000002</v>
      </c>
      <c r="G231" s="375">
        <f t="shared" si="78"/>
        <v>6.5</v>
      </c>
      <c r="H231" s="375">
        <f t="shared" si="78"/>
        <v>13.8</v>
      </c>
      <c r="I231" s="375">
        <f t="shared" si="78"/>
        <v>14.149999999999997</v>
      </c>
      <c r="J231" s="375">
        <f t="shared" si="78"/>
        <v>14.150000000000004</v>
      </c>
      <c r="K231" s="375">
        <f t="shared" si="78"/>
        <v>27.399999999999995</v>
      </c>
      <c r="L231" s="375">
        <f t="shared" si="78"/>
        <v>19.500000000000004</v>
      </c>
      <c r="M231" s="375">
        <f t="shared" si="78"/>
        <v>7.6500000000000066</v>
      </c>
      <c r="N231" s="375">
        <f t="shared" si="78"/>
        <v>4.699999999999994</v>
      </c>
      <c r="O231" s="375">
        <f t="shared" si="78"/>
        <v>1.5000000000000013</v>
      </c>
      <c r="P231" s="375">
        <f t="shared" si="78"/>
        <v>0.3749999999999995</v>
      </c>
      <c r="Q231" s="375">
        <f t="shared" si="78"/>
        <v>0</v>
      </c>
      <c r="R231" s="375">
        <f t="shared" si="78"/>
        <v>0</v>
      </c>
      <c r="S231" s="375">
        <f t="shared" si="78"/>
        <v>0</v>
      </c>
      <c r="T231" s="375">
        <f t="shared" si="78"/>
        <v>0</v>
      </c>
      <c r="U231" s="375">
        <f t="shared" si="78"/>
        <v>0</v>
      </c>
      <c r="V231" s="375">
        <f t="shared" si="78"/>
        <v>0</v>
      </c>
      <c r="W231" s="375">
        <f t="shared" si="78"/>
        <v>0</v>
      </c>
      <c r="X231" s="375">
        <f t="shared" si="78"/>
        <v>0</v>
      </c>
      <c r="Y231" s="369"/>
    </row>
    <row r="232" spans="1:26" ht="13.5" thickBot="1" x14ac:dyDescent="0.35">
      <c r="A232" s="6" t="s">
        <v>386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6" ht="13.5" thickBot="1" x14ac:dyDescent="0.35">
      <c r="A233" s="361" t="s">
        <v>387</v>
      </c>
      <c r="B233" s="359">
        <f>ROW(A233)</f>
        <v>233</v>
      </c>
      <c r="C233" s="363" t="s">
        <v>116</v>
      </c>
      <c r="D233" s="353">
        <f>SUM(B236:Y236)</f>
        <v>115.63</v>
      </c>
      <c r="E233" s="363" t="s">
        <v>115</v>
      </c>
      <c r="F233" s="354">
        <f>D233/g/J233</f>
        <v>125.39310733728064</v>
      </c>
      <c r="G233" s="363" t="s">
        <v>57</v>
      </c>
      <c r="H233" s="64">
        <v>0.2</v>
      </c>
      <c r="I233" s="363" t="s">
        <v>270</v>
      </c>
      <c r="J233" s="355">
        <f>H233-L233</f>
        <v>9.4000000000000014E-2</v>
      </c>
      <c r="K233" s="363" t="s">
        <v>271</v>
      </c>
      <c r="L233" s="64">
        <v>0.106</v>
      </c>
      <c r="M233" s="363" t="s">
        <v>58</v>
      </c>
      <c r="N233" s="65">
        <v>93</v>
      </c>
      <c r="O233" s="363" t="s">
        <v>60</v>
      </c>
      <c r="P233" s="65">
        <v>93</v>
      </c>
      <c r="Q233" s="363" t="s">
        <v>61</v>
      </c>
      <c r="R233" s="65">
        <v>187</v>
      </c>
      <c r="S233" s="363" t="s">
        <v>62</v>
      </c>
      <c r="T233" s="65">
        <v>29</v>
      </c>
      <c r="U233" s="363" t="s">
        <v>55</v>
      </c>
      <c r="V233" s="66" t="s">
        <v>120</v>
      </c>
      <c r="W233" s="463" t="s">
        <v>394</v>
      </c>
      <c r="X233" s="465">
        <v>0.96</v>
      </c>
      <c r="Y233" s="463" t="s">
        <v>393</v>
      </c>
      <c r="Z233" s="358">
        <v>14</v>
      </c>
    </row>
    <row r="234" spans="1:26" x14ac:dyDescent="0.25">
      <c r="A234" s="362" t="s">
        <v>33</v>
      </c>
      <c r="B234" s="370">
        <v>0</v>
      </c>
      <c r="C234" s="371">
        <v>0.01</v>
      </c>
      <c r="D234" s="371">
        <v>0.02</v>
      </c>
      <c r="E234" s="371">
        <v>0.03</v>
      </c>
      <c r="F234" s="371">
        <v>0.04</v>
      </c>
      <c r="G234" s="371">
        <v>0.05</v>
      </c>
      <c r="H234" s="371">
        <v>0.1</v>
      </c>
      <c r="I234" s="371">
        <v>0.2</v>
      </c>
      <c r="J234" s="371">
        <v>0.3</v>
      </c>
      <c r="K234" s="371">
        <v>0.4</v>
      </c>
      <c r="L234" s="371">
        <v>0.6</v>
      </c>
      <c r="M234" s="371">
        <v>0.75</v>
      </c>
      <c r="N234" s="371">
        <v>0.81</v>
      </c>
      <c r="O234" s="371">
        <v>0.86</v>
      </c>
      <c r="P234" s="371">
        <v>0.9</v>
      </c>
      <c r="Q234" s="371">
        <v>0.95</v>
      </c>
      <c r="R234" s="371">
        <v>1</v>
      </c>
      <c r="S234" s="371">
        <f t="shared" ref="S234:X235" si="79">R234</f>
        <v>1</v>
      </c>
      <c r="T234" s="371">
        <f t="shared" si="79"/>
        <v>1</v>
      </c>
      <c r="U234" s="371">
        <f t="shared" si="79"/>
        <v>1</v>
      </c>
      <c r="V234" s="371">
        <f t="shared" si="79"/>
        <v>1</v>
      </c>
      <c r="W234" s="371">
        <f t="shared" si="79"/>
        <v>1</v>
      </c>
      <c r="X234" s="371">
        <v>2</v>
      </c>
      <c r="Y234" s="381">
        <v>1000</v>
      </c>
    </row>
    <row r="235" spans="1:26" x14ac:dyDescent="0.25">
      <c r="A235" s="378" t="s">
        <v>34</v>
      </c>
      <c r="B235" s="372">
        <v>0</v>
      </c>
      <c r="C235" s="373">
        <v>55</v>
      </c>
      <c r="D235" s="373">
        <v>168</v>
      </c>
      <c r="E235" s="373">
        <v>157</v>
      </c>
      <c r="F235" s="373">
        <v>148</v>
      </c>
      <c r="G235" s="373">
        <v>125</v>
      </c>
      <c r="H235" s="373">
        <v>135</v>
      </c>
      <c r="I235" s="373">
        <v>141</v>
      </c>
      <c r="J235" s="373">
        <v>142</v>
      </c>
      <c r="K235" s="373">
        <v>141</v>
      </c>
      <c r="L235" s="373">
        <v>133</v>
      </c>
      <c r="M235" s="373">
        <v>127</v>
      </c>
      <c r="N235" s="373">
        <v>128</v>
      </c>
      <c r="O235" s="373">
        <v>60</v>
      </c>
      <c r="P235" s="373">
        <v>15</v>
      </c>
      <c r="Q235" s="373">
        <v>0</v>
      </c>
      <c r="R235" s="373">
        <v>0</v>
      </c>
      <c r="S235" s="373">
        <f t="shared" si="79"/>
        <v>0</v>
      </c>
      <c r="T235" s="373">
        <f t="shared" si="79"/>
        <v>0</v>
      </c>
      <c r="U235" s="373">
        <f t="shared" si="79"/>
        <v>0</v>
      </c>
      <c r="V235" s="373">
        <f t="shared" si="79"/>
        <v>0</v>
      </c>
      <c r="W235" s="373">
        <f t="shared" si="79"/>
        <v>0</v>
      </c>
      <c r="X235" s="373">
        <f t="shared" si="79"/>
        <v>0</v>
      </c>
      <c r="Y235" s="382">
        <v>0</v>
      </c>
    </row>
    <row r="236" spans="1:26" ht="13" thickBot="1" x14ac:dyDescent="0.3">
      <c r="A236" s="379" t="s">
        <v>117</v>
      </c>
      <c r="B236" s="374">
        <f t="shared" ref="B236:X236" si="80">(C235+B235)*(C234-B234)/2</f>
        <v>0.27500000000000002</v>
      </c>
      <c r="C236" s="375">
        <f t="shared" si="80"/>
        <v>1.115</v>
      </c>
      <c r="D236" s="375">
        <f t="shared" si="80"/>
        <v>1.6249999999999998</v>
      </c>
      <c r="E236" s="375">
        <f t="shared" si="80"/>
        <v>1.5250000000000004</v>
      </c>
      <c r="F236" s="375">
        <f t="shared" si="80"/>
        <v>1.3650000000000002</v>
      </c>
      <c r="G236" s="375">
        <f t="shared" si="80"/>
        <v>6.5</v>
      </c>
      <c r="H236" s="375">
        <f t="shared" si="80"/>
        <v>13.8</v>
      </c>
      <c r="I236" s="375">
        <f t="shared" si="80"/>
        <v>14.149999999999997</v>
      </c>
      <c r="J236" s="375">
        <f t="shared" si="80"/>
        <v>14.150000000000004</v>
      </c>
      <c r="K236" s="375">
        <f t="shared" si="80"/>
        <v>27.399999999999995</v>
      </c>
      <c r="L236" s="375">
        <f t="shared" si="80"/>
        <v>19.500000000000004</v>
      </c>
      <c r="M236" s="375">
        <f t="shared" si="80"/>
        <v>7.6500000000000066</v>
      </c>
      <c r="N236" s="375">
        <f t="shared" si="80"/>
        <v>4.699999999999994</v>
      </c>
      <c r="O236" s="375">
        <f t="shared" si="80"/>
        <v>1.5000000000000013</v>
      </c>
      <c r="P236" s="375">
        <f t="shared" si="80"/>
        <v>0.3749999999999995</v>
      </c>
      <c r="Q236" s="375">
        <f t="shared" si="80"/>
        <v>0</v>
      </c>
      <c r="R236" s="375">
        <f t="shared" si="80"/>
        <v>0</v>
      </c>
      <c r="S236" s="375">
        <f t="shared" si="80"/>
        <v>0</v>
      </c>
      <c r="T236" s="375">
        <f t="shared" si="80"/>
        <v>0</v>
      </c>
      <c r="U236" s="375">
        <f t="shared" si="80"/>
        <v>0</v>
      </c>
      <c r="V236" s="375">
        <f t="shared" si="80"/>
        <v>0</v>
      </c>
      <c r="W236" s="375">
        <f t="shared" si="80"/>
        <v>0</v>
      </c>
      <c r="X236" s="375">
        <f t="shared" si="80"/>
        <v>0</v>
      </c>
      <c r="Y236" s="369"/>
    </row>
    <row r="237" spans="1:26" ht="13" thickBot="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6" ht="13.5" thickBot="1" x14ac:dyDescent="0.35">
      <c r="A238" s="361" t="s">
        <v>392</v>
      </c>
      <c r="B238" s="359">
        <f>ROW(A238)</f>
        <v>238</v>
      </c>
      <c r="C238" s="363" t="s">
        <v>116</v>
      </c>
      <c r="D238" s="353">
        <f>SUM(B241:Y241)</f>
        <v>158.04815100000002</v>
      </c>
      <c r="E238" s="363" t="s">
        <v>115</v>
      </c>
      <c r="F238" s="354">
        <v>198</v>
      </c>
      <c r="G238" s="363" t="s">
        <v>57</v>
      </c>
      <c r="H238" s="64">
        <v>0.19450000000000001</v>
      </c>
      <c r="I238" s="363" t="s">
        <v>270</v>
      </c>
      <c r="J238" s="355">
        <f>H238-L238</f>
        <v>8.9600000000000013E-2</v>
      </c>
      <c r="K238" s="363" t="s">
        <v>271</v>
      </c>
      <c r="L238" s="64">
        <v>0.10489999999999999</v>
      </c>
      <c r="M238" s="363" t="s">
        <v>58</v>
      </c>
      <c r="N238" s="65">
        <v>93</v>
      </c>
      <c r="O238" s="363" t="s">
        <v>60</v>
      </c>
      <c r="P238" s="65">
        <v>93</v>
      </c>
      <c r="Q238" s="363" t="s">
        <v>61</v>
      </c>
      <c r="R238" s="65">
        <v>187</v>
      </c>
      <c r="S238" s="363" t="s">
        <v>62</v>
      </c>
      <c r="T238" s="65">
        <v>29</v>
      </c>
      <c r="U238" s="363" t="s">
        <v>55</v>
      </c>
      <c r="V238" s="66" t="s">
        <v>120</v>
      </c>
      <c r="W238" s="463" t="s">
        <v>394</v>
      </c>
      <c r="X238" s="465">
        <v>1.27</v>
      </c>
      <c r="Y238" s="463" t="s">
        <v>393</v>
      </c>
      <c r="Z238" s="358">
        <v>14</v>
      </c>
    </row>
    <row r="239" spans="1:26" x14ac:dyDescent="0.25">
      <c r="A239" s="362" t="s">
        <v>33</v>
      </c>
      <c r="B239" s="472">
        <v>0</v>
      </c>
      <c r="C239" s="472">
        <v>4.0000000000000001E-3</v>
      </c>
      <c r="D239" s="472">
        <v>2.1999999999999999E-2</v>
      </c>
      <c r="E239" s="472">
        <v>3.9E-2</v>
      </c>
      <c r="F239" s="472">
        <v>0.122</v>
      </c>
      <c r="G239" s="472">
        <v>0.23599999999999999</v>
      </c>
      <c r="H239" s="472">
        <v>0.58899999999999997</v>
      </c>
      <c r="I239" s="472">
        <v>0.80100000000000005</v>
      </c>
      <c r="J239" s="472">
        <v>1.0680000000000001</v>
      </c>
      <c r="K239" s="472">
        <v>1.1180000000000001</v>
      </c>
      <c r="L239" s="472">
        <v>1.145</v>
      </c>
      <c r="M239" s="472">
        <v>1.1739999999999999</v>
      </c>
      <c r="N239" s="472">
        <v>1.2110000000000001</v>
      </c>
      <c r="O239" s="472">
        <v>1.2470000000000001</v>
      </c>
      <c r="P239" s="472">
        <v>1.2989999999999999</v>
      </c>
      <c r="Q239" s="371">
        <v>2</v>
      </c>
      <c r="R239" s="371">
        <v>2</v>
      </c>
      <c r="S239" s="371">
        <f t="shared" ref="S239:X240" si="81">R239</f>
        <v>2</v>
      </c>
      <c r="T239" s="371">
        <f t="shared" si="81"/>
        <v>2</v>
      </c>
      <c r="U239" s="371">
        <f t="shared" si="81"/>
        <v>2</v>
      </c>
      <c r="V239" s="371">
        <f t="shared" si="81"/>
        <v>2</v>
      </c>
      <c r="W239" s="371">
        <f t="shared" si="81"/>
        <v>2</v>
      </c>
      <c r="X239" s="371">
        <f t="shared" si="81"/>
        <v>2</v>
      </c>
      <c r="Y239" s="381">
        <v>1000</v>
      </c>
    </row>
    <row r="240" spans="1:26" x14ac:dyDescent="0.25">
      <c r="A240" s="378" t="s">
        <v>34</v>
      </c>
      <c r="B240" s="472">
        <v>0</v>
      </c>
      <c r="C240" s="472">
        <v>15.683</v>
      </c>
      <c r="D240" s="472">
        <v>170.834</v>
      </c>
      <c r="E240" s="472">
        <v>116.877</v>
      </c>
      <c r="F240" s="472">
        <v>142.642</v>
      </c>
      <c r="G240" s="472">
        <v>149.73699999999999</v>
      </c>
      <c r="H240" s="472">
        <v>142.642</v>
      </c>
      <c r="I240" s="472">
        <v>131.25299999999999</v>
      </c>
      <c r="J240" s="472">
        <v>122.104</v>
      </c>
      <c r="K240" s="472">
        <v>107.91500000000001</v>
      </c>
      <c r="L240" s="472">
        <v>78.415999999999997</v>
      </c>
      <c r="M240" s="472">
        <v>43.128999999999998</v>
      </c>
      <c r="N240" s="472">
        <v>21.471</v>
      </c>
      <c r="O240" s="472">
        <v>8.7750000000000004</v>
      </c>
      <c r="P240" s="472">
        <v>0</v>
      </c>
      <c r="Q240" s="373">
        <v>0</v>
      </c>
      <c r="R240" s="373">
        <v>0</v>
      </c>
      <c r="S240" s="373">
        <f t="shared" si="81"/>
        <v>0</v>
      </c>
      <c r="T240" s="373">
        <f t="shared" si="81"/>
        <v>0</v>
      </c>
      <c r="U240" s="373">
        <f t="shared" si="81"/>
        <v>0</v>
      </c>
      <c r="V240" s="373">
        <f t="shared" si="81"/>
        <v>0</v>
      </c>
      <c r="W240" s="373">
        <f t="shared" si="81"/>
        <v>0</v>
      </c>
      <c r="X240" s="373">
        <f t="shared" si="81"/>
        <v>0</v>
      </c>
      <c r="Y240" s="382">
        <v>0</v>
      </c>
    </row>
    <row r="241" spans="1:26" ht="13" thickBot="1" x14ac:dyDescent="0.3">
      <c r="A241" s="379" t="s">
        <v>117</v>
      </c>
      <c r="B241" s="374">
        <f t="shared" ref="B241:X241" si="82">(C240+B240)*(C239-B239)/2</f>
        <v>3.1365999999999998E-2</v>
      </c>
      <c r="C241" s="375">
        <f t="shared" si="82"/>
        <v>1.6786529999999997</v>
      </c>
      <c r="D241" s="375">
        <f t="shared" si="82"/>
        <v>2.4455435000000003</v>
      </c>
      <c r="E241" s="375">
        <f t="shared" si="82"/>
        <v>10.770038499999998</v>
      </c>
      <c r="F241" s="375">
        <f t="shared" si="82"/>
        <v>16.665603000000001</v>
      </c>
      <c r="G241" s="375">
        <f t="shared" si="82"/>
        <v>51.604893500000003</v>
      </c>
      <c r="H241" s="375">
        <f t="shared" si="82"/>
        <v>29.03287000000001</v>
      </c>
      <c r="I241" s="375">
        <f t="shared" si="82"/>
        <v>33.823159499999996</v>
      </c>
      <c r="J241" s="375">
        <f t="shared" si="82"/>
        <v>5.7504750000000051</v>
      </c>
      <c r="K241" s="375">
        <f t="shared" si="82"/>
        <v>2.5154684999999923</v>
      </c>
      <c r="L241" s="375">
        <f t="shared" si="82"/>
        <v>1.7624024999999945</v>
      </c>
      <c r="M241" s="375">
        <f t="shared" si="82"/>
        <v>1.1951000000000045</v>
      </c>
      <c r="N241" s="375">
        <f t="shared" si="82"/>
        <v>0.54442800000000058</v>
      </c>
      <c r="O241" s="375">
        <f t="shared" si="82"/>
        <v>0.22814999999999924</v>
      </c>
      <c r="P241" s="375">
        <f t="shared" si="82"/>
        <v>0</v>
      </c>
      <c r="Q241" s="375">
        <f t="shared" si="82"/>
        <v>0</v>
      </c>
      <c r="R241" s="375">
        <f t="shared" si="82"/>
        <v>0</v>
      </c>
      <c r="S241" s="375">
        <f t="shared" si="82"/>
        <v>0</v>
      </c>
      <c r="T241" s="375">
        <f t="shared" si="82"/>
        <v>0</v>
      </c>
      <c r="U241" s="375">
        <f t="shared" si="82"/>
        <v>0</v>
      </c>
      <c r="V241" s="375">
        <f t="shared" si="82"/>
        <v>0</v>
      </c>
      <c r="W241" s="375">
        <f t="shared" si="82"/>
        <v>0</v>
      </c>
      <c r="X241" s="375">
        <f t="shared" si="82"/>
        <v>0</v>
      </c>
      <c r="Y241" s="369"/>
    </row>
    <row r="242" spans="1:26" ht="13.5" thickBot="1" x14ac:dyDescent="0.35">
      <c r="A242" s="6" t="s">
        <v>374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6" ht="13.5" thickBot="1" x14ac:dyDescent="0.35">
      <c r="A243" s="361" t="s">
        <v>379</v>
      </c>
      <c r="B243" s="359">
        <f>ROW(A243)</f>
        <v>243</v>
      </c>
      <c r="C243" s="363" t="s">
        <v>116</v>
      </c>
      <c r="D243" s="353">
        <f>SUM(B246:Y246)</f>
        <v>136.75235000000001</v>
      </c>
      <c r="E243" s="363" t="s">
        <v>115</v>
      </c>
      <c r="F243" s="354">
        <f>D243/g/J243</f>
        <v>152.35078513616639</v>
      </c>
      <c r="G243" s="363" t="s">
        <v>57</v>
      </c>
      <c r="H243" s="64">
        <v>0.21249999999999999</v>
      </c>
      <c r="I243" s="363" t="s">
        <v>270</v>
      </c>
      <c r="J243" s="355">
        <f>H243-L243</f>
        <v>9.1499999999999998E-2</v>
      </c>
      <c r="K243" s="363" t="s">
        <v>271</v>
      </c>
      <c r="L243" s="64">
        <v>0.121</v>
      </c>
      <c r="M243" s="363" t="s">
        <v>58</v>
      </c>
      <c r="N243" s="65">
        <v>63</v>
      </c>
      <c r="O243" s="363" t="s">
        <v>60</v>
      </c>
      <c r="P243" s="65">
        <v>114</v>
      </c>
      <c r="Q243" s="363" t="s">
        <v>61</v>
      </c>
      <c r="R243" s="65">
        <v>127</v>
      </c>
      <c r="S243" s="363" t="s">
        <v>62</v>
      </c>
      <c r="T243" s="65">
        <v>38</v>
      </c>
      <c r="U243" s="363" t="s">
        <v>55</v>
      </c>
      <c r="V243" s="66" t="s">
        <v>120</v>
      </c>
      <c r="W243" s="463" t="s">
        <v>394</v>
      </c>
      <c r="X243" s="465">
        <v>2.36</v>
      </c>
      <c r="Y243" s="463" t="s">
        <v>393</v>
      </c>
      <c r="Z243" s="358">
        <v>13</v>
      </c>
    </row>
    <row r="244" spans="1:26" x14ac:dyDescent="0.25">
      <c r="A244" s="362" t="s">
        <v>33</v>
      </c>
      <c r="B244" s="370">
        <v>0</v>
      </c>
      <c r="C244" s="371">
        <v>2.9000000000000001E-2</v>
      </c>
      <c r="D244" s="371">
        <v>4.5999999999999999E-2</v>
      </c>
      <c r="E244" s="371">
        <v>5.8000000000000003E-2</v>
      </c>
      <c r="F244" s="371">
        <v>8.4000000000000005E-2</v>
      </c>
      <c r="G244" s="371">
        <v>0.17100000000000001</v>
      </c>
      <c r="H244" s="371">
        <v>0.28000000000000003</v>
      </c>
      <c r="I244" s="371">
        <v>0.45500000000000002</v>
      </c>
      <c r="J244" s="371">
        <v>0.58599999999999997</v>
      </c>
      <c r="K244" s="371">
        <v>0.74099999999999999</v>
      </c>
      <c r="L244" s="371">
        <v>0.95199999999999996</v>
      </c>
      <c r="M244" s="371">
        <v>1.2170000000000001</v>
      </c>
      <c r="N244" s="371">
        <v>1.43</v>
      </c>
      <c r="O244" s="371">
        <v>1.6259999999999999</v>
      </c>
      <c r="P244" s="371">
        <v>1.8069999999999999</v>
      </c>
      <c r="Q244" s="371">
        <v>1.9590000000000001</v>
      </c>
      <c r="R244" s="371">
        <v>2.1040000000000001</v>
      </c>
      <c r="S244" s="371">
        <v>2.1680000000000001</v>
      </c>
      <c r="T244" s="371">
        <v>2.21</v>
      </c>
      <c r="U244" s="371">
        <v>2.2469999999999999</v>
      </c>
      <c r="V244" s="371">
        <v>2.3290000000000002</v>
      </c>
      <c r="W244" s="371">
        <f>2.4</f>
        <v>2.4</v>
      </c>
      <c r="X244" s="371">
        <f>W244</f>
        <v>2.4</v>
      </c>
      <c r="Y244" s="381">
        <v>1000</v>
      </c>
    </row>
    <row r="245" spans="1:26" x14ac:dyDescent="0.25">
      <c r="A245" s="378" t="s">
        <v>34</v>
      </c>
      <c r="B245" s="372">
        <v>0</v>
      </c>
      <c r="C245" s="373">
        <v>90.25</v>
      </c>
      <c r="D245" s="373">
        <v>69.17</v>
      </c>
      <c r="E245" s="373">
        <v>59.947000000000003</v>
      </c>
      <c r="F245" s="373">
        <v>47.167000000000002</v>
      </c>
      <c r="G245" s="373">
        <v>57.970999999999997</v>
      </c>
      <c r="H245" s="373">
        <v>59.552</v>
      </c>
      <c r="I245" s="373">
        <v>61.265000000000001</v>
      </c>
      <c r="J245" s="373">
        <v>61.66</v>
      </c>
      <c r="K245" s="373">
        <v>62.319000000000003</v>
      </c>
      <c r="L245" s="373">
        <v>63.768000000000001</v>
      </c>
      <c r="M245" s="373">
        <v>64.69</v>
      </c>
      <c r="N245" s="373">
        <v>63.768000000000001</v>
      </c>
      <c r="O245" s="373">
        <v>61.265000000000001</v>
      </c>
      <c r="P245" s="373">
        <v>58.103000000000002</v>
      </c>
      <c r="Q245" s="373">
        <v>53.887</v>
      </c>
      <c r="R245" s="373">
        <v>48.353000000000002</v>
      </c>
      <c r="S245" s="373">
        <v>47.563000000000002</v>
      </c>
      <c r="T245" s="373">
        <v>44.005000000000003</v>
      </c>
      <c r="U245" s="373">
        <v>37.286000000000001</v>
      </c>
      <c r="V245" s="373">
        <v>22.265999999999998</v>
      </c>
      <c r="W245" s="373">
        <v>0</v>
      </c>
      <c r="X245" s="373">
        <f>W245</f>
        <v>0</v>
      </c>
      <c r="Y245" s="382">
        <v>0</v>
      </c>
    </row>
    <row r="246" spans="1:26" ht="13" thickBot="1" x14ac:dyDescent="0.3">
      <c r="A246" s="379" t="s">
        <v>117</v>
      </c>
      <c r="B246" s="374">
        <f t="shared" ref="B246:X246" si="83">(C245+B245)*(C244-B244)/2</f>
        <v>1.3086250000000001</v>
      </c>
      <c r="C246" s="375">
        <f t="shared" si="83"/>
        <v>1.35507</v>
      </c>
      <c r="D246" s="375">
        <f t="shared" si="83"/>
        <v>0.77470200000000033</v>
      </c>
      <c r="E246" s="375">
        <f t="shared" si="83"/>
        <v>1.3924820000000002</v>
      </c>
      <c r="F246" s="375">
        <f t="shared" si="83"/>
        <v>4.5735030000000005</v>
      </c>
      <c r="G246" s="375">
        <f t="shared" si="83"/>
        <v>6.4050035000000003</v>
      </c>
      <c r="H246" s="375">
        <f t="shared" si="83"/>
        <v>10.5714875</v>
      </c>
      <c r="I246" s="375">
        <f t="shared" si="83"/>
        <v>8.0515874999999966</v>
      </c>
      <c r="J246" s="375">
        <f t="shared" si="83"/>
        <v>9.6083725000000015</v>
      </c>
      <c r="K246" s="375">
        <f t="shared" si="83"/>
        <v>13.302178499999998</v>
      </c>
      <c r="L246" s="375">
        <f t="shared" si="83"/>
        <v>17.020685000000007</v>
      </c>
      <c r="M246" s="375">
        <f t="shared" si="83"/>
        <v>13.68077699999999</v>
      </c>
      <c r="N246" s="375">
        <f t="shared" si="83"/>
        <v>12.253233999999997</v>
      </c>
      <c r="O246" s="375">
        <f t="shared" si="83"/>
        <v>10.802804000000002</v>
      </c>
      <c r="P246" s="375">
        <f t="shared" si="83"/>
        <v>8.5112400000000079</v>
      </c>
      <c r="Q246" s="375">
        <f t="shared" si="83"/>
        <v>7.4124000000000017</v>
      </c>
      <c r="R246" s="375">
        <f t="shared" si="83"/>
        <v>3.0693120000000027</v>
      </c>
      <c r="S246" s="375">
        <f t="shared" si="83"/>
        <v>1.9229279999999918</v>
      </c>
      <c r="T246" s="375">
        <f t="shared" si="83"/>
        <v>1.5038834999999968</v>
      </c>
      <c r="U246" s="375">
        <f t="shared" si="83"/>
        <v>2.4416320000000087</v>
      </c>
      <c r="V246" s="375">
        <f t="shared" si="83"/>
        <v>0.7904429999999969</v>
      </c>
      <c r="W246" s="375">
        <f t="shared" si="83"/>
        <v>0</v>
      </c>
      <c r="X246" s="375">
        <f t="shared" si="83"/>
        <v>0</v>
      </c>
      <c r="Y246" s="369"/>
    </row>
    <row r="247" spans="1:26" ht="13" thickBot="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6" ht="13.5" thickBot="1" x14ac:dyDescent="0.35">
      <c r="A248" s="361" t="s">
        <v>380</v>
      </c>
      <c r="B248" s="359">
        <f>ROW(A248)</f>
        <v>248</v>
      </c>
      <c r="C248" s="363" t="s">
        <v>116</v>
      </c>
      <c r="D248" s="353">
        <f>SUM(B251:Y251)</f>
        <v>127.06944999999999</v>
      </c>
      <c r="E248" s="363" t="s">
        <v>115</v>
      </c>
      <c r="F248" s="354">
        <f>D248/g/J248</f>
        <v>180.65624835614466</v>
      </c>
      <c r="G248" s="363" t="s">
        <v>57</v>
      </c>
      <c r="H248" s="64">
        <v>0.18840000000000001</v>
      </c>
      <c r="I248" s="363" t="s">
        <v>270</v>
      </c>
      <c r="J248" s="355">
        <f>H248-L248</f>
        <v>7.1700000000000014E-2</v>
      </c>
      <c r="K248" s="363" t="s">
        <v>271</v>
      </c>
      <c r="L248" s="64">
        <v>0.1167</v>
      </c>
      <c r="M248" s="363" t="s">
        <v>58</v>
      </c>
      <c r="N248" s="65">
        <v>63</v>
      </c>
      <c r="O248" s="363" t="s">
        <v>60</v>
      </c>
      <c r="P248" s="65">
        <v>114</v>
      </c>
      <c r="Q248" s="363" t="s">
        <v>61</v>
      </c>
      <c r="R248" s="65">
        <v>127</v>
      </c>
      <c r="S248" s="363" t="s">
        <v>62</v>
      </c>
      <c r="T248" s="65">
        <v>38</v>
      </c>
      <c r="U248" s="363" t="s">
        <v>55</v>
      </c>
      <c r="V248" s="66" t="s">
        <v>120</v>
      </c>
      <c r="W248" s="463" t="s">
        <v>394</v>
      </c>
      <c r="X248" s="465">
        <v>0.69</v>
      </c>
      <c r="Y248" s="463" t="s">
        <v>393</v>
      </c>
      <c r="Z248" s="358">
        <v>12</v>
      </c>
    </row>
    <row r="249" spans="1:26" x14ac:dyDescent="0.25">
      <c r="A249" s="362" t="s">
        <v>33</v>
      </c>
      <c r="B249" s="370">
        <v>0</v>
      </c>
      <c r="C249" s="371">
        <v>0.01</v>
      </c>
      <c r="D249" s="371">
        <v>0.02</v>
      </c>
      <c r="E249" s="371">
        <v>0.05</v>
      </c>
      <c r="F249" s="371">
        <v>0.1</v>
      </c>
      <c r="G249" s="371">
        <v>0.2</v>
      </c>
      <c r="H249" s="371">
        <v>0.3</v>
      </c>
      <c r="I249" s="371">
        <v>0.35</v>
      </c>
      <c r="J249" s="371">
        <v>0.4</v>
      </c>
      <c r="K249" s="371">
        <v>0.45</v>
      </c>
      <c r="L249" s="371">
        <v>0.5</v>
      </c>
      <c r="M249" s="371">
        <v>0.55000000000000004</v>
      </c>
      <c r="N249" s="371">
        <v>0.6</v>
      </c>
      <c r="O249" s="371">
        <v>0.61</v>
      </c>
      <c r="P249" s="371">
        <v>0.63</v>
      </c>
      <c r="Q249" s="371">
        <v>0.64</v>
      </c>
      <c r="R249" s="371">
        <v>0.65</v>
      </c>
      <c r="S249" s="371">
        <v>0.67</v>
      </c>
      <c r="T249" s="371">
        <v>0.68</v>
      </c>
      <c r="U249" s="371">
        <v>0.69</v>
      </c>
      <c r="V249" s="371">
        <f t="shared" ref="V249:X250" si="84">U249</f>
        <v>0.69</v>
      </c>
      <c r="W249" s="371">
        <f t="shared" si="84"/>
        <v>0.69</v>
      </c>
      <c r="X249" s="371">
        <v>2</v>
      </c>
      <c r="Y249" s="381">
        <v>1000</v>
      </c>
    </row>
    <row r="250" spans="1:26" x14ac:dyDescent="0.25">
      <c r="A250" s="378" t="s">
        <v>34</v>
      </c>
      <c r="B250" s="372">
        <v>0</v>
      </c>
      <c r="C250" s="373">
        <v>108.72</v>
      </c>
      <c r="D250" s="373">
        <v>131.19</v>
      </c>
      <c r="E250" s="373">
        <v>153.13999999999999</v>
      </c>
      <c r="F250" s="373">
        <v>168.97</v>
      </c>
      <c r="G250" s="373">
        <v>189.92</v>
      </c>
      <c r="H250" s="373">
        <v>199.95</v>
      </c>
      <c r="I250" s="373">
        <v>203.59</v>
      </c>
      <c r="J250" s="373">
        <v>205.03</v>
      </c>
      <c r="K250" s="373">
        <v>202.6</v>
      </c>
      <c r="L250" s="373">
        <v>203.06</v>
      </c>
      <c r="M250" s="373">
        <v>199.34</v>
      </c>
      <c r="N250" s="373">
        <v>194.71</v>
      </c>
      <c r="O250" s="373">
        <v>194.1</v>
      </c>
      <c r="P250" s="373">
        <v>193.49</v>
      </c>
      <c r="Q250" s="373">
        <v>193.68</v>
      </c>
      <c r="R250" s="373">
        <v>202.91</v>
      </c>
      <c r="S250" s="373">
        <v>163.38999999999999</v>
      </c>
      <c r="T250" s="373">
        <v>80.44</v>
      </c>
      <c r="U250" s="373">
        <v>0</v>
      </c>
      <c r="V250" s="373">
        <f t="shared" si="84"/>
        <v>0</v>
      </c>
      <c r="W250" s="373">
        <f t="shared" si="84"/>
        <v>0</v>
      </c>
      <c r="X250" s="373">
        <f t="shared" si="84"/>
        <v>0</v>
      </c>
      <c r="Y250" s="382">
        <v>0</v>
      </c>
    </row>
    <row r="251" spans="1:26" ht="13" thickBot="1" x14ac:dyDescent="0.3">
      <c r="A251" s="379" t="s">
        <v>117</v>
      </c>
      <c r="B251" s="374">
        <f t="shared" ref="B251:X251" si="85">(C250+B250)*(C249-B249)/2</f>
        <v>0.54359999999999997</v>
      </c>
      <c r="C251" s="375">
        <f t="shared" si="85"/>
        <v>1.1995500000000001</v>
      </c>
      <c r="D251" s="375">
        <f t="shared" si="85"/>
        <v>4.2649499999999998</v>
      </c>
      <c r="E251" s="375">
        <f t="shared" si="85"/>
        <v>8.0527500000000014</v>
      </c>
      <c r="F251" s="375">
        <f t="shared" si="85"/>
        <v>17.944500000000001</v>
      </c>
      <c r="G251" s="375">
        <f t="shared" si="85"/>
        <v>19.493499999999997</v>
      </c>
      <c r="H251" s="375">
        <f t="shared" si="85"/>
        <v>10.088499999999996</v>
      </c>
      <c r="I251" s="375">
        <f t="shared" si="85"/>
        <v>10.215500000000009</v>
      </c>
      <c r="J251" s="375">
        <f t="shared" si="85"/>
        <v>10.190749999999998</v>
      </c>
      <c r="K251" s="375">
        <f t="shared" si="85"/>
        <v>10.141499999999997</v>
      </c>
      <c r="L251" s="375">
        <f t="shared" si="85"/>
        <v>10.060000000000008</v>
      </c>
      <c r="M251" s="375">
        <f t="shared" si="85"/>
        <v>9.8512499999999878</v>
      </c>
      <c r="N251" s="375">
        <f t="shared" si="85"/>
        <v>1.9440500000000018</v>
      </c>
      <c r="O251" s="375">
        <f t="shared" si="85"/>
        <v>3.8759000000000037</v>
      </c>
      <c r="P251" s="375">
        <f t="shared" si="85"/>
        <v>1.9358500000000018</v>
      </c>
      <c r="Q251" s="375">
        <f t="shared" si="85"/>
        <v>1.982950000000002</v>
      </c>
      <c r="R251" s="375">
        <f t="shared" si="85"/>
        <v>3.6630000000000029</v>
      </c>
      <c r="S251" s="375">
        <f t="shared" si="85"/>
        <v>1.2191500000000011</v>
      </c>
      <c r="T251" s="375">
        <f t="shared" si="85"/>
        <v>0.40219999999999589</v>
      </c>
      <c r="U251" s="375">
        <f t="shared" si="85"/>
        <v>0</v>
      </c>
      <c r="V251" s="375">
        <f t="shared" si="85"/>
        <v>0</v>
      </c>
      <c r="W251" s="375">
        <f t="shared" si="85"/>
        <v>0</v>
      </c>
      <c r="X251" s="375">
        <f t="shared" si="85"/>
        <v>0</v>
      </c>
      <c r="Y251" s="369"/>
    </row>
    <row r="252" spans="1:26" ht="13" thickBot="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6" ht="13.5" thickBot="1" x14ac:dyDescent="0.35">
      <c r="A253" s="361" t="s">
        <v>388</v>
      </c>
      <c r="B253" s="359">
        <f>ROW(A253)</f>
        <v>253</v>
      </c>
      <c r="C253" s="363" t="s">
        <v>116</v>
      </c>
      <c r="D253" s="353">
        <f>SUM(B256:Y256)</f>
        <v>142.7236025</v>
      </c>
      <c r="E253" s="363" t="s">
        <v>115</v>
      </c>
      <c r="F253" s="354">
        <v>208</v>
      </c>
      <c r="G253" s="363" t="s">
        <v>57</v>
      </c>
      <c r="H253" s="64">
        <v>0.19700000000000001</v>
      </c>
      <c r="I253" s="363" t="s">
        <v>270</v>
      </c>
      <c r="J253" s="355">
        <f>H253-L253</f>
        <v>7.0000000000000007E-2</v>
      </c>
      <c r="K253" s="363" t="s">
        <v>271</v>
      </c>
      <c r="L253" s="64">
        <v>0.127</v>
      </c>
      <c r="M253" s="363" t="s">
        <v>58</v>
      </c>
      <c r="N253" s="65">
        <v>63</v>
      </c>
      <c r="O253" s="363" t="s">
        <v>60</v>
      </c>
      <c r="P253" s="65">
        <v>114</v>
      </c>
      <c r="Q253" s="363" t="s">
        <v>61</v>
      </c>
      <c r="R253" s="65">
        <v>127</v>
      </c>
      <c r="S253" s="363" t="s">
        <v>62</v>
      </c>
      <c r="T253" s="65">
        <v>38</v>
      </c>
      <c r="U253" s="363" t="s">
        <v>55</v>
      </c>
      <c r="V253" s="66" t="s">
        <v>120</v>
      </c>
      <c r="W253" s="463" t="s">
        <v>394</v>
      </c>
      <c r="X253" s="465">
        <v>1.8</v>
      </c>
      <c r="Y253" s="463" t="s">
        <v>393</v>
      </c>
      <c r="Z253" s="358">
        <v>15</v>
      </c>
    </row>
    <row r="254" spans="1:26" x14ac:dyDescent="0.25">
      <c r="A254" s="362" t="s">
        <v>33</v>
      </c>
      <c r="B254" s="370">
        <v>0</v>
      </c>
      <c r="C254" s="370">
        <v>6.0000000000000001E-3</v>
      </c>
      <c r="D254" s="371">
        <v>1.7999999999999999E-2</v>
      </c>
      <c r="E254" s="371">
        <v>3.5999999999999997E-2</v>
      </c>
      <c r="F254" s="371">
        <v>4.7E-2</v>
      </c>
      <c r="G254" s="371">
        <v>8.4000000000000005E-2</v>
      </c>
      <c r="H254" s="371">
        <v>0.13500000000000001</v>
      </c>
      <c r="I254" s="371">
        <v>0.23799999999999999</v>
      </c>
      <c r="J254" s="371">
        <v>0.438</v>
      </c>
      <c r="K254" s="371">
        <v>0.63</v>
      </c>
      <c r="L254" s="371">
        <v>0.85899999999999999</v>
      </c>
      <c r="M254" s="371">
        <v>1.2829999999999999</v>
      </c>
      <c r="N254" s="371">
        <v>1.4470000000000001</v>
      </c>
      <c r="O254" s="371">
        <v>1.643</v>
      </c>
      <c r="P254" s="371">
        <v>1.7130000000000001</v>
      </c>
      <c r="Q254" s="371">
        <v>1.7430000000000001</v>
      </c>
      <c r="R254" s="371">
        <v>1.79</v>
      </c>
      <c r="S254" s="371">
        <v>1.8180000000000001</v>
      </c>
      <c r="T254" s="371">
        <v>1.8520000000000001</v>
      </c>
      <c r="U254" s="371">
        <v>2</v>
      </c>
      <c r="V254" s="371">
        <f t="shared" ref="V254:X255" si="86">U254</f>
        <v>2</v>
      </c>
      <c r="W254" s="371">
        <f t="shared" si="86"/>
        <v>2</v>
      </c>
      <c r="X254" s="371">
        <f t="shared" si="86"/>
        <v>2</v>
      </c>
      <c r="Y254" s="381">
        <v>1000</v>
      </c>
    </row>
    <row r="255" spans="1:26" x14ac:dyDescent="0.25">
      <c r="A255" s="378" t="s">
        <v>34</v>
      </c>
      <c r="B255" s="372">
        <v>0</v>
      </c>
      <c r="C255" s="372">
        <v>104.068</v>
      </c>
      <c r="D255" s="373">
        <v>137.928</v>
      </c>
      <c r="E255" s="373">
        <v>70.706999999999994</v>
      </c>
      <c r="F255" s="373">
        <v>62.241999999999997</v>
      </c>
      <c r="G255" s="373">
        <v>73.694000000000003</v>
      </c>
      <c r="H255" s="373">
        <v>78.176000000000002</v>
      </c>
      <c r="I255" s="373">
        <v>84.150999999999996</v>
      </c>
      <c r="J255" s="373">
        <v>89.628</v>
      </c>
      <c r="K255" s="373">
        <v>88.135000000000005</v>
      </c>
      <c r="L255" s="373">
        <v>87.138999999999996</v>
      </c>
      <c r="M255" s="373">
        <v>77.180000000000007</v>
      </c>
      <c r="N255" s="373">
        <v>70.706999999999994</v>
      </c>
      <c r="O255" s="373">
        <v>67.718999999999994</v>
      </c>
      <c r="P255" s="373">
        <v>64.233999999999995</v>
      </c>
      <c r="Q255" s="373">
        <v>54.274999999999999</v>
      </c>
      <c r="R255" s="373">
        <v>18.423999999999999</v>
      </c>
      <c r="S255" s="373">
        <v>6.4729999999999999</v>
      </c>
      <c r="T255" s="373">
        <v>0</v>
      </c>
      <c r="U255" s="373">
        <v>0</v>
      </c>
      <c r="V255" s="373">
        <f t="shared" si="86"/>
        <v>0</v>
      </c>
      <c r="W255" s="373">
        <f t="shared" si="86"/>
        <v>0</v>
      </c>
      <c r="X255" s="373">
        <f t="shared" si="86"/>
        <v>0</v>
      </c>
      <c r="Y255" s="382">
        <v>0</v>
      </c>
    </row>
    <row r="256" spans="1:26" ht="13" thickBot="1" x14ac:dyDescent="0.3">
      <c r="A256" s="379" t="s">
        <v>117</v>
      </c>
      <c r="B256" s="374">
        <f t="shared" ref="B256:X256" si="87">(C255+B255)*(C254-B254)/2</f>
        <v>0.31220399999999998</v>
      </c>
      <c r="C256" s="375">
        <f t="shared" si="87"/>
        <v>1.4519759999999997</v>
      </c>
      <c r="D256" s="375">
        <f t="shared" si="87"/>
        <v>1.8777149999999998</v>
      </c>
      <c r="E256" s="375">
        <f t="shared" si="87"/>
        <v>0.73121950000000013</v>
      </c>
      <c r="F256" s="375">
        <f t="shared" si="87"/>
        <v>2.5148160000000006</v>
      </c>
      <c r="G256" s="375">
        <f t="shared" si="87"/>
        <v>3.8726850000000006</v>
      </c>
      <c r="H256" s="375">
        <f t="shared" si="87"/>
        <v>8.3598404999999989</v>
      </c>
      <c r="I256" s="375">
        <f t="shared" si="87"/>
        <v>17.3779</v>
      </c>
      <c r="J256" s="375">
        <f t="shared" si="87"/>
        <v>17.065248</v>
      </c>
      <c r="K256" s="375">
        <f t="shared" si="87"/>
        <v>20.068873</v>
      </c>
      <c r="L256" s="375">
        <f t="shared" si="87"/>
        <v>34.835628</v>
      </c>
      <c r="M256" s="375">
        <f t="shared" si="87"/>
        <v>12.126734000000011</v>
      </c>
      <c r="N256" s="375">
        <f t="shared" si="87"/>
        <v>13.565747999999996</v>
      </c>
      <c r="O256" s="375">
        <f t="shared" si="87"/>
        <v>4.6183550000000029</v>
      </c>
      <c r="P256" s="375">
        <f t="shared" si="87"/>
        <v>1.7776350000000014</v>
      </c>
      <c r="Q256" s="375">
        <f t="shared" si="87"/>
        <v>1.7084264999999974</v>
      </c>
      <c r="R256" s="375">
        <f t="shared" si="87"/>
        <v>0.34855800000000031</v>
      </c>
      <c r="S256" s="375">
        <f t="shared" si="87"/>
        <v>0.1100410000000001</v>
      </c>
      <c r="T256" s="375">
        <f t="shared" si="87"/>
        <v>0</v>
      </c>
      <c r="U256" s="375">
        <f t="shared" si="87"/>
        <v>0</v>
      </c>
      <c r="V256" s="375">
        <f t="shared" si="87"/>
        <v>0</v>
      </c>
      <c r="W256" s="375">
        <f t="shared" si="87"/>
        <v>0</v>
      </c>
      <c r="X256" s="375">
        <f t="shared" si="87"/>
        <v>0</v>
      </c>
      <c r="Y256" s="369"/>
    </row>
    <row r="257" spans="1:25" ht="13" thickBot="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3.5" thickBot="1" x14ac:dyDescent="0.35">
      <c r="A258" s="361" t="s">
        <v>273</v>
      </c>
      <c r="B258" s="360">
        <f>ROW(A258)</f>
        <v>258</v>
      </c>
      <c r="C258" s="363" t="s">
        <v>116</v>
      </c>
      <c r="D258" s="353">
        <f>SUM(B261:Y261)</f>
        <v>33.500000000000007</v>
      </c>
      <c r="E258" s="363" t="s">
        <v>115</v>
      </c>
      <c r="F258" s="354">
        <f>D258/g/J258</f>
        <v>68.297655453618759</v>
      </c>
      <c r="G258" s="363" t="s">
        <v>57</v>
      </c>
      <c r="H258" s="64">
        <v>8.5000000000000006E-2</v>
      </c>
      <c r="I258" s="363" t="s">
        <v>270</v>
      </c>
      <c r="J258" s="355">
        <f>H258-L258</f>
        <v>0.05</v>
      </c>
      <c r="K258" s="363" t="s">
        <v>271</v>
      </c>
      <c r="L258" s="64">
        <v>3.5000000000000003E-2</v>
      </c>
      <c r="M258" s="363" t="s">
        <v>58</v>
      </c>
      <c r="N258" s="65">
        <v>20</v>
      </c>
      <c r="O258" s="363" t="s">
        <v>60</v>
      </c>
      <c r="P258" s="65">
        <v>20</v>
      </c>
      <c r="Q258" s="363" t="s">
        <v>61</v>
      </c>
      <c r="R258" s="65">
        <v>39</v>
      </c>
      <c r="S258" s="363" t="s">
        <v>62</v>
      </c>
      <c r="T258" s="65">
        <v>39</v>
      </c>
      <c r="U258" s="363" t="s">
        <v>55</v>
      </c>
      <c r="V258" s="66" t="s">
        <v>401</v>
      </c>
      <c r="W258" s="12"/>
      <c r="X258" s="12"/>
      <c r="Y258" s="12"/>
    </row>
    <row r="259" spans="1:25" x14ac:dyDescent="0.25">
      <c r="A259" s="362" t="s">
        <v>33</v>
      </c>
      <c r="B259" s="370">
        <v>0</v>
      </c>
      <c r="C259" s="371">
        <v>0.05</v>
      </c>
      <c r="D259" s="371">
        <v>0.1</v>
      </c>
      <c r="E259" s="371">
        <v>0.25</v>
      </c>
      <c r="F259" s="371">
        <v>0.3</v>
      </c>
      <c r="G259" s="371">
        <v>0.35</v>
      </c>
      <c r="H259" s="371">
        <v>0.45</v>
      </c>
      <c r="I259" s="371">
        <v>0.55000000000000004</v>
      </c>
      <c r="J259" s="371">
        <v>3.5</v>
      </c>
      <c r="K259" s="371">
        <v>3.6</v>
      </c>
      <c r="L259" s="371">
        <v>3.6</v>
      </c>
      <c r="M259" s="371">
        <v>3.6</v>
      </c>
      <c r="N259" s="371">
        <v>3.6</v>
      </c>
      <c r="O259" s="371">
        <v>3.6</v>
      </c>
      <c r="P259" s="371">
        <v>3.6</v>
      </c>
      <c r="Q259" s="371">
        <v>3.6</v>
      </c>
      <c r="R259" s="371">
        <v>3.6</v>
      </c>
      <c r="S259" s="371">
        <v>3.6</v>
      </c>
      <c r="T259" s="371">
        <v>3.6</v>
      </c>
      <c r="U259" s="371">
        <v>3.6</v>
      </c>
      <c r="V259" s="371">
        <v>3.6</v>
      </c>
      <c r="W259" s="371">
        <v>3.6</v>
      </c>
      <c r="X259" s="371">
        <v>3.6</v>
      </c>
      <c r="Y259" s="381">
        <v>1000</v>
      </c>
    </row>
    <row r="260" spans="1:25" x14ac:dyDescent="0.25">
      <c r="A260" s="378" t="s">
        <v>34</v>
      </c>
      <c r="B260" s="372">
        <v>0</v>
      </c>
      <c r="C260" s="373">
        <v>68</v>
      </c>
      <c r="D260" s="373">
        <v>62</v>
      </c>
      <c r="E260" s="373">
        <v>60</v>
      </c>
      <c r="F260" s="373">
        <v>39</v>
      </c>
      <c r="G260" s="373">
        <v>38</v>
      </c>
      <c r="H260" s="373">
        <v>9</v>
      </c>
      <c r="I260" s="373">
        <v>5</v>
      </c>
      <c r="J260" s="373">
        <v>3</v>
      </c>
      <c r="K260" s="373">
        <v>0</v>
      </c>
      <c r="L260" s="373">
        <v>0</v>
      </c>
      <c r="M260" s="373">
        <v>0</v>
      </c>
      <c r="N260" s="373">
        <v>0</v>
      </c>
      <c r="O260" s="373">
        <v>0</v>
      </c>
      <c r="P260" s="373">
        <v>0</v>
      </c>
      <c r="Q260" s="373">
        <v>0</v>
      </c>
      <c r="R260" s="373">
        <v>0</v>
      </c>
      <c r="S260" s="373">
        <v>0</v>
      </c>
      <c r="T260" s="373">
        <v>0</v>
      </c>
      <c r="U260" s="373">
        <v>0</v>
      </c>
      <c r="V260" s="373">
        <v>0</v>
      </c>
      <c r="W260" s="373">
        <v>0</v>
      </c>
      <c r="X260" s="373">
        <v>0</v>
      </c>
      <c r="Y260" s="382">
        <v>0</v>
      </c>
    </row>
    <row r="261" spans="1:25" ht="13" thickBot="1" x14ac:dyDescent="0.3">
      <c r="A261" s="379" t="s">
        <v>117</v>
      </c>
      <c r="B261" s="374">
        <f t="shared" ref="B261:V261" si="88">(C260+B260)*(C259-B259)/2</f>
        <v>1.7000000000000002</v>
      </c>
      <c r="C261" s="375">
        <f t="shared" si="88"/>
        <v>3.25</v>
      </c>
      <c r="D261" s="375">
        <f t="shared" si="88"/>
        <v>9.15</v>
      </c>
      <c r="E261" s="375">
        <f t="shared" si="88"/>
        <v>2.4749999999999996</v>
      </c>
      <c r="F261" s="375">
        <f t="shared" si="88"/>
        <v>1.9249999999999996</v>
      </c>
      <c r="G261" s="375">
        <f t="shared" si="88"/>
        <v>2.350000000000001</v>
      </c>
      <c r="H261" s="375">
        <f t="shared" si="88"/>
        <v>0.70000000000000018</v>
      </c>
      <c r="I261" s="375">
        <f t="shared" si="88"/>
        <v>11.8</v>
      </c>
      <c r="J261" s="375">
        <f t="shared" si="88"/>
        <v>0.15000000000000013</v>
      </c>
      <c r="K261" s="375">
        <f t="shared" si="88"/>
        <v>0</v>
      </c>
      <c r="L261" s="375">
        <f t="shared" si="88"/>
        <v>0</v>
      </c>
      <c r="M261" s="375">
        <f t="shared" si="88"/>
        <v>0</v>
      </c>
      <c r="N261" s="375">
        <f t="shared" si="88"/>
        <v>0</v>
      </c>
      <c r="O261" s="375">
        <f t="shared" si="88"/>
        <v>0</v>
      </c>
      <c r="P261" s="375">
        <f t="shared" si="88"/>
        <v>0</v>
      </c>
      <c r="Q261" s="375">
        <f t="shared" si="88"/>
        <v>0</v>
      </c>
      <c r="R261" s="375">
        <f t="shared" si="88"/>
        <v>0</v>
      </c>
      <c r="S261" s="375">
        <f t="shared" si="88"/>
        <v>0</v>
      </c>
      <c r="T261" s="375">
        <f t="shared" si="88"/>
        <v>0</v>
      </c>
      <c r="U261" s="375">
        <f t="shared" si="88"/>
        <v>0</v>
      </c>
      <c r="V261" s="375">
        <f t="shared" si="88"/>
        <v>0</v>
      </c>
      <c r="W261" s="375">
        <f>(X260+W260)*(X259-W259)/2</f>
        <v>0</v>
      </c>
      <c r="X261" s="375">
        <f>(Y260+X260)*(Y259-X259)/2</f>
        <v>0</v>
      </c>
      <c r="Y261" s="369"/>
    </row>
    <row r="262" spans="1:25" ht="13" thickBot="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3.5" thickBot="1" x14ac:dyDescent="0.35">
      <c r="A263" s="361" t="s">
        <v>274</v>
      </c>
      <c r="B263" s="359">
        <f>ROW(A263)</f>
        <v>263</v>
      </c>
      <c r="C263" s="363" t="s">
        <v>116</v>
      </c>
      <c r="D263" s="353">
        <f>SUM(B266:Y266)</f>
        <v>145.46</v>
      </c>
      <c r="E263" s="363" t="s">
        <v>115</v>
      </c>
      <c r="F263" s="354">
        <f>D263/g/J263</f>
        <v>211.82466870540264</v>
      </c>
      <c r="G263" s="363" t="s">
        <v>57</v>
      </c>
      <c r="H263" s="64">
        <v>0.22</v>
      </c>
      <c r="I263" s="363" t="s">
        <v>270</v>
      </c>
      <c r="J263" s="355">
        <f>H263-L263</f>
        <v>7.0000000000000007E-2</v>
      </c>
      <c r="K263" s="363" t="s">
        <v>271</v>
      </c>
      <c r="L263" s="64">
        <v>0.15</v>
      </c>
      <c r="M263" s="363" t="s">
        <v>58</v>
      </c>
      <c r="N263" s="65">
        <v>50</v>
      </c>
      <c r="O263" s="363" t="s">
        <v>60</v>
      </c>
      <c r="P263" s="65">
        <v>55</v>
      </c>
      <c r="Q263" s="363" t="s">
        <v>61</v>
      </c>
      <c r="R263" s="65">
        <v>76</v>
      </c>
      <c r="S263" s="363" t="s">
        <v>62</v>
      </c>
      <c r="T263" s="65">
        <v>40</v>
      </c>
      <c r="U263" s="363" t="s">
        <v>55</v>
      </c>
      <c r="V263" s="66" t="s">
        <v>401</v>
      </c>
      <c r="W263" s="12"/>
      <c r="X263" s="12"/>
      <c r="Y263" s="12"/>
    </row>
    <row r="264" spans="1:25" x14ac:dyDescent="0.25">
      <c r="A264" s="362" t="s">
        <v>33</v>
      </c>
      <c r="B264" s="370">
        <v>0</v>
      </c>
      <c r="C264" s="371">
        <v>0.02</v>
      </c>
      <c r="D264" s="371">
        <v>0.04</v>
      </c>
      <c r="E264" s="371">
        <v>0.05</v>
      </c>
      <c r="F264" s="371">
        <v>0.06</v>
      </c>
      <c r="G264" s="371">
        <v>0.94</v>
      </c>
      <c r="H264" s="377">
        <v>0.94200000000000006</v>
      </c>
      <c r="I264" s="371">
        <v>0.95</v>
      </c>
      <c r="J264" s="371">
        <v>0.95</v>
      </c>
      <c r="K264" s="371">
        <v>0.95</v>
      </c>
      <c r="L264" s="371">
        <v>0.95</v>
      </c>
      <c r="M264" s="371">
        <v>0.95</v>
      </c>
      <c r="N264" s="371">
        <v>0.95</v>
      </c>
      <c r="O264" s="371">
        <v>0.95</v>
      </c>
      <c r="P264" s="371">
        <v>0.95</v>
      </c>
      <c r="Q264" s="371">
        <v>0.95</v>
      </c>
      <c r="R264" s="371">
        <v>0.95</v>
      </c>
      <c r="S264" s="371">
        <v>0.95</v>
      </c>
      <c r="T264" s="371">
        <v>0.95</v>
      </c>
      <c r="U264" s="371">
        <v>0.95</v>
      </c>
      <c r="V264" s="371">
        <v>0.95</v>
      </c>
      <c r="W264" s="371">
        <v>0.95</v>
      </c>
      <c r="X264" s="371">
        <v>2</v>
      </c>
      <c r="Y264" s="381">
        <v>1000</v>
      </c>
    </row>
    <row r="265" spans="1:25" x14ac:dyDescent="0.25">
      <c r="A265" s="378" t="s">
        <v>34</v>
      </c>
      <c r="B265" s="372">
        <v>0</v>
      </c>
      <c r="C265" s="373">
        <v>320</v>
      </c>
      <c r="D265" s="373">
        <v>170</v>
      </c>
      <c r="E265" s="373">
        <v>205</v>
      </c>
      <c r="F265" s="373">
        <v>217</v>
      </c>
      <c r="G265" s="373">
        <v>85</v>
      </c>
      <c r="H265" s="373">
        <v>82</v>
      </c>
      <c r="I265" s="373">
        <v>0</v>
      </c>
      <c r="J265" s="373">
        <v>0</v>
      </c>
      <c r="K265" s="373">
        <v>0</v>
      </c>
      <c r="L265" s="373">
        <v>0</v>
      </c>
      <c r="M265" s="373">
        <v>0</v>
      </c>
      <c r="N265" s="373">
        <v>0</v>
      </c>
      <c r="O265" s="373">
        <v>0</v>
      </c>
      <c r="P265" s="373">
        <v>0</v>
      </c>
      <c r="Q265" s="373">
        <v>0</v>
      </c>
      <c r="R265" s="373">
        <v>0</v>
      </c>
      <c r="S265" s="373">
        <v>0</v>
      </c>
      <c r="T265" s="373">
        <v>0</v>
      </c>
      <c r="U265" s="373">
        <v>0</v>
      </c>
      <c r="V265" s="373">
        <v>0</v>
      </c>
      <c r="W265" s="373">
        <v>0</v>
      </c>
      <c r="X265" s="373">
        <v>0</v>
      </c>
      <c r="Y265" s="382">
        <v>0</v>
      </c>
    </row>
    <row r="266" spans="1:25" ht="13" thickBot="1" x14ac:dyDescent="0.3">
      <c r="A266" s="379" t="s">
        <v>117</v>
      </c>
      <c r="B266" s="374">
        <f t="shared" ref="B266:H266" si="89">(C265+B265)*(C264-B264)/2</f>
        <v>3.2</v>
      </c>
      <c r="C266" s="375">
        <f t="shared" si="89"/>
        <v>4.9000000000000004</v>
      </c>
      <c r="D266" s="375">
        <f t="shared" si="89"/>
        <v>1.8750000000000004</v>
      </c>
      <c r="E266" s="375">
        <f t="shared" si="89"/>
        <v>2.109999999999999</v>
      </c>
      <c r="F266" s="375">
        <f t="shared" si="89"/>
        <v>132.88</v>
      </c>
      <c r="G266" s="375">
        <f t="shared" si="89"/>
        <v>0.16700000000000942</v>
      </c>
      <c r="H266" s="375">
        <f t="shared" si="89"/>
        <v>0.32799999999999574</v>
      </c>
      <c r="I266" s="375">
        <f t="shared" ref="I266:V266" si="90">(J265+I265)*(J264-I264)/2</f>
        <v>0</v>
      </c>
      <c r="J266" s="375">
        <f>(K265+J265)*(K264-J264)/2</f>
        <v>0</v>
      </c>
      <c r="K266" s="375">
        <f t="shared" si="90"/>
        <v>0</v>
      </c>
      <c r="L266" s="375">
        <f t="shared" si="90"/>
        <v>0</v>
      </c>
      <c r="M266" s="375">
        <f t="shared" si="90"/>
        <v>0</v>
      </c>
      <c r="N266" s="375">
        <f t="shared" si="90"/>
        <v>0</v>
      </c>
      <c r="O266" s="375">
        <f t="shared" si="90"/>
        <v>0</v>
      </c>
      <c r="P266" s="375">
        <f t="shared" si="90"/>
        <v>0</v>
      </c>
      <c r="Q266" s="375">
        <f t="shared" si="90"/>
        <v>0</v>
      </c>
      <c r="R266" s="375">
        <f t="shared" si="90"/>
        <v>0</v>
      </c>
      <c r="S266" s="375">
        <f>(T265+S265)*(T264-S264)/2</f>
        <v>0</v>
      </c>
      <c r="T266" s="375">
        <f t="shared" si="90"/>
        <v>0</v>
      </c>
      <c r="U266" s="375">
        <f t="shared" si="90"/>
        <v>0</v>
      </c>
      <c r="V266" s="375">
        <f t="shared" si="90"/>
        <v>0</v>
      </c>
      <c r="W266" s="375">
        <f>(X265+W265)*(X264-W264)/2</f>
        <v>0</v>
      </c>
      <c r="X266" s="375">
        <f>(Y265+X265)*(Y264-X264)/2</f>
        <v>0</v>
      </c>
      <c r="Y266" s="369"/>
    </row>
    <row r="267" spans="1:25" x14ac:dyDescent="0.25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3.5" thickBot="1" x14ac:dyDescent="0.35">
      <c r="A268" s="6" t="s">
        <v>312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3.5" thickBot="1" x14ac:dyDescent="0.35">
      <c r="A269" s="361" t="s">
        <v>35</v>
      </c>
      <c r="B269" s="359">
        <f>ROW(A269)</f>
        <v>269</v>
      </c>
      <c r="C269" s="363" t="s">
        <v>116</v>
      </c>
      <c r="D269" s="353">
        <f>SUM(B272:Y272)</f>
        <v>1071.5999999999999</v>
      </c>
      <c r="E269" s="363" t="s">
        <v>115</v>
      </c>
      <c r="F269" s="354">
        <f>D269/g/J269</f>
        <v>163.03802090465106</v>
      </c>
      <c r="G269" s="363" t="s">
        <v>57</v>
      </c>
      <c r="H269" s="64">
        <v>2.02</v>
      </c>
      <c r="I269" s="363" t="s">
        <v>270</v>
      </c>
      <c r="J269" s="355">
        <f>H269-L269</f>
        <v>0.66999999999999993</v>
      </c>
      <c r="K269" s="363" t="s">
        <v>271</v>
      </c>
      <c r="L269" s="64">
        <v>1.35</v>
      </c>
      <c r="M269" s="363" t="s">
        <v>58</v>
      </c>
      <c r="N269" s="65">
        <v>154</v>
      </c>
      <c r="O269" s="363" t="s">
        <v>60</v>
      </c>
      <c r="P269" s="65">
        <v>168</v>
      </c>
      <c r="Q269" s="363" t="s">
        <v>61</v>
      </c>
      <c r="R269" s="65">
        <v>230</v>
      </c>
      <c r="S269" s="363" t="s">
        <v>62</v>
      </c>
      <c r="T269" s="65">
        <v>67</v>
      </c>
      <c r="U269" s="363" t="s">
        <v>55</v>
      </c>
      <c r="V269" s="66" t="s">
        <v>119</v>
      </c>
      <c r="W269" s="12"/>
      <c r="X269" s="12"/>
      <c r="Y269" s="12"/>
    </row>
    <row r="270" spans="1:25" x14ac:dyDescent="0.25">
      <c r="A270" s="362" t="s">
        <v>33</v>
      </c>
      <c r="B270" s="370">
        <v>0</v>
      </c>
      <c r="C270" s="371">
        <v>0.02</v>
      </c>
      <c r="D270" s="371">
        <v>0.05</v>
      </c>
      <c r="E270" s="371">
        <v>0.06</v>
      </c>
      <c r="F270" s="371">
        <v>0.09</v>
      </c>
      <c r="G270" s="371">
        <v>0.17</v>
      </c>
      <c r="H270" s="371">
        <v>0.2</v>
      </c>
      <c r="I270" s="371">
        <v>0.38</v>
      </c>
      <c r="J270" s="371">
        <v>0.75</v>
      </c>
      <c r="K270" s="371">
        <v>0.79</v>
      </c>
      <c r="L270" s="371">
        <v>1.1299999999999999</v>
      </c>
      <c r="M270" s="371">
        <v>1.2</v>
      </c>
      <c r="N270" s="371">
        <v>1.5</v>
      </c>
      <c r="O270" s="371">
        <v>1.54</v>
      </c>
      <c r="P270" s="371">
        <v>1.65</v>
      </c>
      <c r="Q270" s="371">
        <v>1.7</v>
      </c>
      <c r="R270" s="371">
        <v>1.79</v>
      </c>
      <c r="S270" s="371">
        <v>1.79</v>
      </c>
      <c r="T270" s="371">
        <v>1.79</v>
      </c>
      <c r="U270" s="371">
        <v>1.79</v>
      </c>
      <c r="V270" s="371">
        <v>1.79</v>
      </c>
      <c r="W270" s="371">
        <v>1.79</v>
      </c>
      <c r="X270" s="371">
        <v>1.79</v>
      </c>
      <c r="Y270" s="381">
        <v>1000</v>
      </c>
    </row>
    <row r="271" spans="1:25" x14ac:dyDescent="0.25">
      <c r="A271" s="378" t="s">
        <v>34</v>
      </c>
      <c r="B271" s="372">
        <v>0</v>
      </c>
      <c r="C271" s="373">
        <v>20</v>
      </c>
      <c r="D271" s="373">
        <v>870</v>
      </c>
      <c r="E271" s="373">
        <v>530</v>
      </c>
      <c r="F271" s="373">
        <v>790</v>
      </c>
      <c r="G271" s="373">
        <v>700</v>
      </c>
      <c r="H271" s="373">
        <v>710</v>
      </c>
      <c r="I271" s="373">
        <v>670</v>
      </c>
      <c r="J271" s="373">
        <v>630</v>
      </c>
      <c r="K271" s="373">
        <v>630</v>
      </c>
      <c r="L271" s="373">
        <v>710</v>
      </c>
      <c r="M271" s="373">
        <v>690</v>
      </c>
      <c r="N271" s="373">
        <v>690</v>
      </c>
      <c r="O271" s="373">
        <v>660</v>
      </c>
      <c r="P271" s="373">
        <v>160</v>
      </c>
      <c r="Q271" s="373">
        <v>10</v>
      </c>
      <c r="R271" s="373">
        <v>0</v>
      </c>
      <c r="S271" s="373">
        <v>0</v>
      </c>
      <c r="T271" s="373">
        <v>0</v>
      </c>
      <c r="U271" s="373">
        <v>0</v>
      </c>
      <c r="V271" s="373">
        <v>0</v>
      </c>
      <c r="W271" s="373">
        <v>0</v>
      </c>
      <c r="X271" s="373">
        <v>0</v>
      </c>
      <c r="Y271" s="382">
        <v>0</v>
      </c>
    </row>
    <row r="272" spans="1:25" ht="13" thickBot="1" x14ac:dyDescent="0.3">
      <c r="A272" s="379" t="s">
        <v>117</v>
      </c>
      <c r="B272" s="374">
        <f t="shared" ref="B272:Q272" si="91">(C271+B271)*(C270-B270)/2</f>
        <v>0.2</v>
      </c>
      <c r="C272" s="375">
        <f t="shared" si="91"/>
        <v>13.350000000000001</v>
      </c>
      <c r="D272" s="375">
        <f t="shared" si="91"/>
        <v>6.9999999999999964</v>
      </c>
      <c r="E272" s="375">
        <f t="shared" si="91"/>
        <v>19.8</v>
      </c>
      <c r="F272" s="375">
        <f t="shared" si="91"/>
        <v>59.600000000000009</v>
      </c>
      <c r="G272" s="375">
        <f t="shared" si="91"/>
        <v>21.15</v>
      </c>
      <c r="H272" s="375">
        <f t="shared" si="91"/>
        <v>124.19999999999999</v>
      </c>
      <c r="I272" s="375">
        <f t="shared" si="91"/>
        <v>240.5</v>
      </c>
      <c r="J272" s="375">
        <f>(K271+J271)*(K270-J270)/2</f>
        <v>25.200000000000024</v>
      </c>
      <c r="K272" s="375">
        <f t="shared" si="91"/>
        <v>227.7999999999999</v>
      </c>
      <c r="L272" s="375">
        <f t="shared" si="91"/>
        <v>49.000000000000043</v>
      </c>
      <c r="M272" s="375">
        <f t="shared" si="91"/>
        <v>207.00000000000003</v>
      </c>
      <c r="N272" s="375">
        <f t="shared" si="91"/>
        <v>27.000000000000025</v>
      </c>
      <c r="O272" s="375">
        <f t="shared" si="91"/>
        <v>45.099999999999952</v>
      </c>
      <c r="P272" s="375">
        <f t="shared" si="91"/>
        <v>4.2500000000000036</v>
      </c>
      <c r="Q272" s="375">
        <f t="shared" si="91"/>
        <v>0.4500000000000004</v>
      </c>
      <c r="R272" s="375">
        <f t="shared" ref="R272:X272" si="92">(S271+R271)*(S270-R270)/2</f>
        <v>0</v>
      </c>
      <c r="S272" s="375">
        <f t="shared" si="92"/>
        <v>0</v>
      </c>
      <c r="T272" s="375">
        <f t="shared" si="92"/>
        <v>0</v>
      </c>
      <c r="U272" s="375">
        <f t="shared" si="92"/>
        <v>0</v>
      </c>
      <c r="V272" s="375">
        <f t="shared" si="92"/>
        <v>0</v>
      </c>
      <c r="W272" s="375">
        <f t="shared" si="92"/>
        <v>0</v>
      </c>
      <c r="X272" s="375">
        <f t="shared" si="92"/>
        <v>0</v>
      </c>
      <c r="Y272" s="383"/>
    </row>
    <row r="273" spans="1:25" ht="13" thickBot="1" x14ac:dyDescent="0.3">
      <c r="S273" s="12"/>
      <c r="T273" s="12"/>
      <c r="U273" s="12"/>
      <c r="V273" s="12"/>
      <c r="W273" s="12"/>
      <c r="X273" s="12"/>
      <c r="Y273" s="12"/>
    </row>
    <row r="274" spans="1:25" ht="13.5" thickBot="1" x14ac:dyDescent="0.35">
      <c r="A274" s="361" t="s">
        <v>36</v>
      </c>
      <c r="B274" s="359">
        <f>ROW(A274)</f>
        <v>274</v>
      </c>
      <c r="C274" s="363" t="s">
        <v>116</v>
      </c>
      <c r="D274" s="353">
        <f>SUM(B277:Y277)</f>
        <v>2102.35</v>
      </c>
      <c r="E274" s="363" t="s">
        <v>115</v>
      </c>
      <c r="F274" s="354">
        <f>D274/g/J274</f>
        <v>174.23319493133766</v>
      </c>
      <c r="G274" s="363" t="s">
        <v>57</v>
      </c>
      <c r="H274" s="64">
        <v>3.7</v>
      </c>
      <c r="I274" s="363" t="s">
        <v>270</v>
      </c>
      <c r="J274" s="355">
        <f>H274-L274</f>
        <v>1.23</v>
      </c>
      <c r="K274" s="363" t="s">
        <v>271</v>
      </c>
      <c r="L274" s="64">
        <v>2.4700000000000002</v>
      </c>
      <c r="M274" s="363" t="s">
        <v>58</v>
      </c>
      <c r="N274" s="65">
        <v>151</v>
      </c>
      <c r="O274" s="363" t="s">
        <v>60</v>
      </c>
      <c r="P274" s="65">
        <v>171</v>
      </c>
      <c r="Q274" s="363" t="s">
        <v>61</v>
      </c>
      <c r="R274" s="65">
        <v>247</v>
      </c>
      <c r="S274" s="363" t="s">
        <v>62</v>
      </c>
      <c r="T274" s="65">
        <v>90</v>
      </c>
      <c r="U274" s="363" t="s">
        <v>55</v>
      </c>
      <c r="V274" s="66" t="s">
        <v>119</v>
      </c>
      <c r="W274" s="12"/>
      <c r="X274" s="12"/>
      <c r="Y274" s="12"/>
    </row>
    <row r="275" spans="1:25" x14ac:dyDescent="0.25">
      <c r="A275" s="362" t="s">
        <v>33</v>
      </c>
      <c r="B275" s="370">
        <v>0</v>
      </c>
      <c r="C275" s="371">
        <v>0.05</v>
      </c>
      <c r="D275" s="371">
        <v>0.1</v>
      </c>
      <c r="E275" s="371">
        <v>1</v>
      </c>
      <c r="F275" s="371">
        <v>1.35</v>
      </c>
      <c r="G275" s="371">
        <v>1.75</v>
      </c>
      <c r="H275" s="371">
        <v>2.15</v>
      </c>
      <c r="I275" s="371">
        <v>2.25</v>
      </c>
      <c r="J275" s="371">
        <v>2.48</v>
      </c>
      <c r="K275" s="371">
        <v>2.6</v>
      </c>
      <c r="L275" s="371">
        <v>2.8</v>
      </c>
      <c r="M275" s="371">
        <v>2.8</v>
      </c>
      <c r="N275" s="371">
        <v>2.8</v>
      </c>
      <c r="O275" s="371">
        <v>2.8</v>
      </c>
      <c r="P275" s="371">
        <v>2.8</v>
      </c>
      <c r="Q275" s="371">
        <v>2.8</v>
      </c>
      <c r="R275" s="371">
        <v>2.8</v>
      </c>
      <c r="S275" s="371">
        <v>2.8</v>
      </c>
      <c r="T275" s="371">
        <v>2.8</v>
      </c>
      <c r="U275" s="371">
        <v>2.8</v>
      </c>
      <c r="V275" s="371">
        <v>2.8</v>
      </c>
      <c r="W275" s="371">
        <v>2.8</v>
      </c>
      <c r="X275" s="371">
        <v>2.8</v>
      </c>
      <c r="Y275" s="381">
        <v>1000</v>
      </c>
    </row>
    <row r="276" spans="1:25" x14ac:dyDescent="0.25">
      <c r="A276" s="378" t="s">
        <v>34</v>
      </c>
      <c r="B276" s="372">
        <v>0</v>
      </c>
      <c r="C276" s="373">
        <v>860</v>
      </c>
      <c r="D276" s="373">
        <v>840</v>
      </c>
      <c r="E276" s="373">
        <v>840</v>
      </c>
      <c r="F276" s="373">
        <v>850</v>
      </c>
      <c r="G276" s="373">
        <v>900</v>
      </c>
      <c r="H276" s="373">
        <v>1050</v>
      </c>
      <c r="I276" s="373">
        <v>1020</v>
      </c>
      <c r="J276" s="373">
        <v>120</v>
      </c>
      <c r="K276" s="373">
        <v>30</v>
      </c>
      <c r="L276" s="373">
        <v>0</v>
      </c>
      <c r="M276" s="373">
        <v>0</v>
      </c>
      <c r="N276" s="373">
        <v>0</v>
      </c>
      <c r="O276" s="373">
        <v>0</v>
      </c>
      <c r="P276" s="373">
        <v>0</v>
      </c>
      <c r="Q276" s="373">
        <v>0</v>
      </c>
      <c r="R276" s="373">
        <v>0</v>
      </c>
      <c r="S276" s="373">
        <v>0</v>
      </c>
      <c r="T276" s="373">
        <v>0</v>
      </c>
      <c r="U276" s="373">
        <v>0</v>
      </c>
      <c r="V276" s="373">
        <v>0</v>
      </c>
      <c r="W276" s="373">
        <v>0</v>
      </c>
      <c r="X276" s="373">
        <v>0</v>
      </c>
      <c r="Y276" s="382">
        <v>0</v>
      </c>
    </row>
    <row r="277" spans="1:25" ht="13" thickBot="1" x14ac:dyDescent="0.3">
      <c r="A277" s="379" t="s">
        <v>117</v>
      </c>
      <c r="B277" s="374">
        <f t="shared" ref="B277:K277" si="93">(C276+B276)*(C275-B275)/2</f>
        <v>21.5</v>
      </c>
      <c r="C277" s="375">
        <f t="shared" si="93"/>
        <v>42.5</v>
      </c>
      <c r="D277" s="375">
        <f t="shared" si="93"/>
        <v>756</v>
      </c>
      <c r="E277" s="375">
        <f t="shared" si="93"/>
        <v>295.75000000000006</v>
      </c>
      <c r="F277" s="375">
        <f t="shared" si="93"/>
        <v>349.99999999999994</v>
      </c>
      <c r="G277" s="375">
        <f t="shared" si="93"/>
        <v>389.99999999999989</v>
      </c>
      <c r="H277" s="375">
        <f t="shared" si="93"/>
        <v>103.50000000000009</v>
      </c>
      <c r="I277" s="375">
        <f t="shared" si="93"/>
        <v>131.1</v>
      </c>
      <c r="J277" s="375">
        <f>(K276+J276)*(K275-J275)/2</f>
        <v>9.0000000000000071</v>
      </c>
      <c r="K277" s="375">
        <f t="shared" si="93"/>
        <v>2.999999999999996</v>
      </c>
      <c r="L277" s="375">
        <f t="shared" ref="L277:V277" si="94">(M276+L276)*(M275-L275)/2</f>
        <v>0</v>
      </c>
      <c r="M277" s="375">
        <f t="shared" si="94"/>
        <v>0</v>
      </c>
      <c r="N277" s="375">
        <f t="shared" si="94"/>
        <v>0</v>
      </c>
      <c r="O277" s="375">
        <f t="shared" si="94"/>
        <v>0</v>
      </c>
      <c r="P277" s="375">
        <f t="shared" si="94"/>
        <v>0</v>
      </c>
      <c r="Q277" s="375">
        <f t="shared" si="94"/>
        <v>0</v>
      </c>
      <c r="R277" s="375">
        <f t="shared" si="94"/>
        <v>0</v>
      </c>
      <c r="S277" s="375">
        <f>(T276+S276)*(T275-S275)/2</f>
        <v>0</v>
      </c>
      <c r="T277" s="375">
        <f t="shared" si="94"/>
        <v>0</v>
      </c>
      <c r="U277" s="375">
        <f t="shared" si="94"/>
        <v>0</v>
      </c>
      <c r="V277" s="375">
        <f t="shared" si="94"/>
        <v>0</v>
      </c>
      <c r="W277" s="375">
        <f>(X276+W276)*(X275-W275)/2</f>
        <v>0</v>
      </c>
      <c r="X277" s="375">
        <f>(Y276+X276)*(Y275-X275)/2</f>
        <v>0</v>
      </c>
      <c r="Y277" s="369"/>
    </row>
    <row r="278" spans="1:25" ht="13" thickBot="1" x14ac:dyDescent="0.3"/>
    <row r="279" spans="1:25" ht="13.5" thickBot="1" x14ac:dyDescent="0.35">
      <c r="A279" s="361" t="s">
        <v>550</v>
      </c>
      <c r="B279" s="359">
        <f>ROW(A279)</f>
        <v>279</v>
      </c>
      <c r="C279" s="363" t="s">
        <v>116</v>
      </c>
      <c r="D279" s="353">
        <f>SUM(B282:Y282)</f>
        <v>2058.37</v>
      </c>
      <c r="E279" s="363" t="s">
        <v>115</v>
      </c>
      <c r="F279" s="354">
        <f>D279/g/J279</f>
        <v>203.12066731598335</v>
      </c>
      <c r="G279" s="363" t="s">
        <v>57</v>
      </c>
      <c r="H279" s="64">
        <v>1.6850000000000001</v>
      </c>
      <c r="I279" s="363" t="s">
        <v>270</v>
      </c>
      <c r="J279" s="355">
        <f>H279-L279</f>
        <v>1.0329999999999999</v>
      </c>
      <c r="K279" s="363" t="s">
        <v>271</v>
      </c>
      <c r="L279" s="64">
        <v>0.65200000000000002</v>
      </c>
      <c r="M279" s="363" t="s">
        <v>58</v>
      </c>
      <c r="N279" s="65">
        <v>250</v>
      </c>
      <c r="O279" s="363" t="s">
        <v>60</v>
      </c>
      <c r="P279" s="65">
        <v>240</v>
      </c>
      <c r="Q279" s="363" t="s">
        <v>61</v>
      </c>
      <c r="R279" s="65">
        <v>488</v>
      </c>
      <c r="S279" s="363" t="s">
        <v>62</v>
      </c>
      <c r="T279" s="65">
        <v>54</v>
      </c>
      <c r="U279" s="363" t="s">
        <v>55</v>
      </c>
      <c r="V279" s="66" t="s">
        <v>119</v>
      </c>
      <c r="W279" s="12"/>
      <c r="X279" s="12"/>
      <c r="Y279" s="12"/>
    </row>
    <row r="280" spans="1:25" x14ac:dyDescent="0.25">
      <c r="A280" s="362" t="s">
        <v>33</v>
      </c>
      <c r="B280" s="370">
        <v>0</v>
      </c>
      <c r="C280" s="371">
        <v>0.05</v>
      </c>
      <c r="D280" s="371">
        <v>0.5</v>
      </c>
      <c r="E280" s="371">
        <v>1</v>
      </c>
      <c r="F280" s="371">
        <v>1.5</v>
      </c>
      <c r="G280" s="371">
        <v>2</v>
      </c>
      <c r="H280" s="371">
        <v>2.5</v>
      </c>
      <c r="I280" s="371">
        <v>2.97</v>
      </c>
      <c r="J280" s="371">
        <v>3.2</v>
      </c>
      <c r="K280" s="371">
        <v>3.47</v>
      </c>
      <c r="L280" s="371">
        <v>3.59</v>
      </c>
      <c r="M280" s="371">
        <v>3.59</v>
      </c>
      <c r="N280" s="371">
        <v>3.59</v>
      </c>
      <c r="O280" s="371">
        <v>3.59</v>
      </c>
      <c r="P280" s="371">
        <v>3.59</v>
      </c>
      <c r="Q280" s="371">
        <v>3.59</v>
      </c>
      <c r="R280" s="371">
        <v>3.59</v>
      </c>
      <c r="S280" s="371">
        <v>3.59</v>
      </c>
      <c r="T280" s="371">
        <v>3.59</v>
      </c>
      <c r="U280" s="371">
        <v>3.59</v>
      </c>
      <c r="V280" s="371">
        <v>3.59</v>
      </c>
      <c r="W280" s="371">
        <v>3.59</v>
      </c>
      <c r="X280" s="371">
        <v>3.59</v>
      </c>
      <c r="Y280" s="381">
        <v>1000</v>
      </c>
    </row>
    <row r="281" spans="1:25" x14ac:dyDescent="0.25">
      <c r="A281" s="378" t="s">
        <v>34</v>
      </c>
      <c r="B281" s="372">
        <v>0</v>
      </c>
      <c r="C281" s="373">
        <v>893</v>
      </c>
      <c r="D281" s="373">
        <v>798</v>
      </c>
      <c r="E281" s="373">
        <v>739</v>
      </c>
      <c r="F281" s="373">
        <v>659</v>
      </c>
      <c r="G281" s="373">
        <v>586</v>
      </c>
      <c r="H281" s="373">
        <v>513</v>
      </c>
      <c r="I281" s="373">
        <v>417</v>
      </c>
      <c r="J281" s="373">
        <v>225</v>
      </c>
      <c r="K281" s="373">
        <v>67</v>
      </c>
      <c r="L281" s="373">
        <v>0</v>
      </c>
      <c r="M281" s="373">
        <v>0</v>
      </c>
      <c r="N281" s="373">
        <v>0</v>
      </c>
      <c r="O281" s="373">
        <v>0</v>
      </c>
      <c r="P281" s="373">
        <v>0</v>
      </c>
      <c r="Q281" s="373">
        <v>0</v>
      </c>
      <c r="R281" s="373">
        <v>0</v>
      </c>
      <c r="S281" s="373">
        <v>0</v>
      </c>
      <c r="T281" s="373">
        <v>0</v>
      </c>
      <c r="U281" s="373">
        <v>0</v>
      </c>
      <c r="V281" s="373">
        <v>0</v>
      </c>
      <c r="W281" s="373">
        <v>0</v>
      </c>
      <c r="X281" s="373">
        <v>0</v>
      </c>
      <c r="Y281" s="382">
        <v>0</v>
      </c>
    </row>
    <row r="282" spans="1:25" ht="13" thickBot="1" x14ac:dyDescent="0.3">
      <c r="A282" s="380" t="s">
        <v>117</v>
      </c>
      <c r="B282" s="374">
        <f t="shared" ref="B282:V282" si="95">(C281+B281)*(C280-B280)/2</f>
        <v>22.325000000000003</v>
      </c>
      <c r="C282" s="375">
        <f t="shared" si="95"/>
        <v>380.47500000000002</v>
      </c>
      <c r="D282" s="375">
        <f t="shared" si="95"/>
        <v>384.25</v>
      </c>
      <c r="E282" s="375">
        <f t="shared" si="95"/>
        <v>349.5</v>
      </c>
      <c r="F282" s="375">
        <f t="shared" si="95"/>
        <v>311.25</v>
      </c>
      <c r="G282" s="375">
        <f t="shared" si="95"/>
        <v>274.75</v>
      </c>
      <c r="H282" s="375">
        <f t="shared" si="95"/>
        <v>218.5500000000001</v>
      </c>
      <c r="I282" s="375">
        <f t="shared" si="95"/>
        <v>73.83</v>
      </c>
      <c r="J282" s="375">
        <f>(K281+J281)*(K280-J280)/2</f>
        <v>39.42</v>
      </c>
      <c r="K282" s="375">
        <f t="shared" si="95"/>
        <v>4.0199999999999889</v>
      </c>
      <c r="L282" s="375">
        <f t="shared" si="95"/>
        <v>0</v>
      </c>
      <c r="M282" s="375">
        <f t="shared" si="95"/>
        <v>0</v>
      </c>
      <c r="N282" s="375">
        <f t="shared" si="95"/>
        <v>0</v>
      </c>
      <c r="O282" s="375">
        <f t="shared" si="95"/>
        <v>0</v>
      </c>
      <c r="P282" s="375">
        <f t="shared" si="95"/>
        <v>0</v>
      </c>
      <c r="Q282" s="375">
        <f t="shared" si="95"/>
        <v>0</v>
      </c>
      <c r="R282" s="375">
        <f t="shared" si="95"/>
        <v>0</v>
      </c>
      <c r="S282" s="375">
        <f>(T281+S281)*(T280-S280)/2</f>
        <v>0</v>
      </c>
      <c r="T282" s="375">
        <f t="shared" si="95"/>
        <v>0</v>
      </c>
      <c r="U282" s="375">
        <f t="shared" si="95"/>
        <v>0</v>
      </c>
      <c r="V282" s="375">
        <f t="shared" si="95"/>
        <v>0</v>
      </c>
      <c r="W282" s="375">
        <f>(X281+W281)*(X280-W280)/2</f>
        <v>0</v>
      </c>
      <c r="X282" s="375">
        <f>(Y281+X281)*(Y280-X280)/2</f>
        <v>0</v>
      </c>
      <c r="Y282" s="369"/>
    </row>
    <row r="283" spans="1:25" ht="13" thickBot="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3.5" thickBot="1" x14ac:dyDescent="0.35">
      <c r="A284" s="361" t="s">
        <v>37</v>
      </c>
      <c r="B284" s="359">
        <f>ROW(A284)</f>
        <v>284</v>
      </c>
      <c r="C284" s="363" t="s">
        <v>116</v>
      </c>
      <c r="D284" s="353">
        <f>SUM(B287:Y287)</f>
        <v>2486.041999999999</v>
      </c>
      <c r="E284" s="363" t="s">
        <v>115</v>
      </c>
      <c r="F284" s="354">
        <f>D284/g/J284</f>
        <v>199.54264891200521</v>
      </c>
      <c r="G284" s="363" t="s">
        <v>57</v>
      </c>
      <c r="H284" s="64">
        <v>2.59</v>
      </c>
      <c r="I284" s="363" t="s">
        <v>270</v>
      </c>
      <c r="J284" s="355">
        <f>H284-L284</f>
        <v>1.2699999999999998</v>
      </c>
      <c r="K284" s="363" t="s">
        <v>271</v>
      </c>
      <c r="L284" s="64">
        <v>1.32</v>
      </c>
      <c r="M284" s="363" t="s">
        <v>58</v>
      </c>
      <c r="N284" s="65">
        <v>175</v>
      </c>
      <c r="O284" s="363" t="s">
        <v>60</v>
      </c>
      <c r="P284" s="65">
        <v>175</v>
      </c>
      <c r="Q284" s="363" t="s">
        <v>61</v>
      </c>
      <c r="R284" s="65">
        <v>350</v>
      </c>
      <c r="S284" s="363" t="s">
        <v>62</v>
      </c>
      <c r="T284" s="65">
        <v>75</v>
      </c>
      <c r="U284" s="363" t="s">
        <v>55</v>
      </c>
      <c r="V284" s="66" t="s">
        <v>119</v>
      </c>
      <c r="W284" s="12"/>
      <c r="X284" s="12"/>
      <c r="Y284" s="12"/>
    </row>
    <row r="285" spans="1:25" x14ac:dyDescent="0.25">
      <c r="A285" s="362" t="s">
        <v>33</v>
      </c>
      <c r="B285" s="370">
        <v>0</v>
      </c>
      <c r="C285" s="371">
        <v>0.04</v>
      </c>
      <c r="D285" s="371">
        <v>7.0000000000000007E-2</v>
      </c>
      <c r="E285" s="371">
        <v>0.1</v>
      </c>
      <c r="F285" s="371">
        <v>0.21</v>
      </c>
      <c r="G285" s="371">
        <v>0.35</v>
      </c>
      <c r="H285" s="371">
        <v>0.53</v>
      </c>
      <c r="I285" s="371">
        <v>0.82</v>
      </c>
      <c r="J285" s="371">
        <v>1.18</v>
      </c>
      <c r="K285" s="371">
        <v>1.72</v>
      </c>
      <c r="L285" s="371">
        <v>2.15</v>
      </c>
      <c r="M285" s="371">
        <v>2.39</v>
      </c>
      <c r="N285" s="371">
        <v>2.9</v>
      </c>
      <c r="O285" s="371">
        <v>3.07</v>
      </c>
      <c r="P285" s="371">
        <v>3.56</v>
      </c>
      <c r="Q285" s="371">
        <v>3.98</v>
      </c>
      <c r="R285" s="371">
        <v>4.32</v>
      </c>
      <c r="S285" s="371">
        <v>4.4800000000000004</v>
      </c>
      <c r="T285" s="371">
        <v>4.5999999999999996</v>
      </c>
      <c r="U285" s="371">
        <v>4.6500000000000004</v>
      </c>
      <c r="V285" s="371">
        <v>4.8</v>
      </c>
      <c r="W285" s="371">
        <v>4.83</v>
      </c>
      <c r="X285" s="371">
        <v>4.84</v>
      </c>
      <c r="Y285" s="381">
        <v>1000</v>
      </c>
    </row>
    <row r="286" spans="1:25" x14ac:dyDescent="0.25">
      <c r="A286" s="378" t="s">
        <v>34</v>
      </c>
      <c r="B286" s="372">
        <v>0</v>
      </c>
      <c r="C286" s="373">
        <v>394.4</v>
      </c>
      <c r="D286" s="373">
        <v>617.70000000000005</v>
      </c>
      <c r="E286" s="373">
        <v>645.1</v>
      </c>
      <c r="F286" s="373">
        <v>658.2</v>
      </c>
      <c r="G286" s="373">
        <v>669.2</v>
      </c>
      <c r="H286" s="373">
        <v>667.7</v>
      </c>
      <c r="I286" s="373">
        <v>661.6</v>
      </c>
      <c r="J286" s="373">
        <v>626.9</v>
      </c>
      <c r="K286" s="373">
        <v>588.5</v>
      </c>
      <c r="L286" s="373">
        <v>557.70000000000005</v>
      </c>
      <c r="M286" s="373">
        <v>542.29999999999995</v>
      </c>
      <c r="N286" s="373">
        <v>492.9</v>
      </c>
      <c r="O286" s="373">
        <v>470.3</v>
      </c>
      <c r="P286" s="373">
        <v>426.8</v>
      </c>
      <c r="Q286" s="373">
        <v>399</v>
      </c>
      <c r="R286" s="373">
        <v>394</v>
      </c>
      <c r="S286" s="373">
        <v>380.6</v>
      </c>
      <c r="T286" s="373">
        <v>364.2</v>
      </c>
      <c r="U286" s="373">
        <v>290.89999999999998</v>
      </c>
      <c r="V286" s="373">
        <v>91.2</v>
      </c>
      <c r="W286" s="373">
        <v>45.8</v>
      </c>
      <c r="X286" s="373">
        <v>0</v>
      </c>
      <c r="Y286" s="382">
        <v>0</v>
      </c>
    </row>
    <row r="287" spans="1:25" ht="13" thickBot="1" x14ac:dyDescent="0.3">
      <c r="A287" s="379" t="s">
        <v>117</v>
      </c>
      <c r="B287" s="374">
        <f t="shared" ref="B287:V287" si="96">(C286+B286)*(C285-B285)/2</f>
        <v>7.8879999999999999</v>
      </c>
      <c r="C287" s="375">
        <f t="shared" si="96"/>
        <v>15.181500000000003</v>
      </c>
      <c r="D287" s="375">
        <f t="shared" si="96"/>
        <v>18.942000000000004</v>
      </c>
      <c r="E287" s="375">
        <f t="shared" si="96"/>
        <v>71.6815</v>
      </c>
      <c r="F287" s="375">
        <f t="shared" si="96"/>
        <v>92.917999999999992</v>
      </c>
      <c r="G287" s="375">
        <f t="shared" si="96"/>
        <v>120.32100000000004</v>
      </c>
      <c r="H287" s="375">
        <f t="shared" si="96"/>
        <v>192.74849999999998</v>
      </c>
      <c r="I287" s="375">
        <f t="shared" si="96"/>
        <v>231.92999999999998</v>
      </c>
      <c r="J287" s="375">
        <f>(K286+J286)*(K285-J285)/2</f>
        <v>328.15800000000007</v>
      </c>
      <c r="K287" s="375">
        <f t="shared" si="96"/>
        <v>246.43299999999996</v>
      </c>
      <c r="L287" s="375">
        <f t="shared" si="96"/>
        <v>132.00000000000011</v>
      </c>
      <c r="M287" s="375">
        <f t="shared" si="96"/>
        <v>263.97599999999983</v>
      </c>
      <c r="N287" s="375">
        <f t="shared" si="96"/>
        <v>81.871999999999971</v>
      </c>
      <c r="O287" s="375">
        <f t="shared" si="96"/>
        <v>219.78950000000009</v>
      </c>
      <c r="P287" s="375">
        <f t="shared" si="96"/>
        <v>173.41799999999995</v>
      </c>
      <c r="Q287" s="375">
        <f t="shared" si="96"/>
        <v>134.81000000000012</v>
      </c>
      <c r="R287" s="375">
        <f t="shared" si="96"/>
        <v>61.96800000000006</v>
      </c>
      <c r="S287" s="375">
        <f>(T286+S286)*(T285-S285)/2</f>
        <v>44.687999999999704</v>
      </c>
      <c r="T287" s="375">
        <f t="shared" si="96"/>
        <v>16.377500000000232</v>
      </c>
      <c r="U287" s="375">
        <f t="shared" si="96"/>
        <v>28.657499999999896</v>
      </c>
      <c r="V287" s="375">
        <f t="shared" si="96"/>
        <v>2.055000000000017</v>
      </c>
      <c r="W287" s="375">
        <f>(X286+W286)*(X285-W285)/2</f>
        <v>0.2289999999999951</v>
      </c>
      <c r="X287" s="375">
        <f>(Y286+X286)*(Y285-X285)/2</f>
        <v>0</v>
      </c>
      <c r="Y287" s="369"/>
    </row>
    <row r="288" spans="1:25" ht="13" thickBot="1" x14ac:dyDescent="0.3">
      <c r="A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3.5" thickBot="1" x14ac:dyDescent="0.35">
      <c r="A289" s="361" t="s">
        <v>551</v>
      </c>
      <c r="B289" s="359">
        <f>ROW(A289)</f>
        <v>289</v>
      </c>
      <c r="C289" s="363" t="s">
        <v>116</v>
      </c>
      <c r="D289" s="353">
        <f>SUM(B292:Y292)</f>
        <v>3739.0284999999994</v>
      </c>
      <c r="E289" s="363" t="s">
        <v>115</v>
      </c>
      <c r="F289" s="354">
        <f>D289/g/J289</f>
        <v>203.4941790441234</v>
      </c>
      <c r="G289" s="363" t="s">
        <v>57</v>
      </c>
      <c r="H289" s="64">
        <v>3.5110000000000001</v>
      </c>
      <c r="I289" s="363" t="s">
        <v>270</v>
      </c>
      <c r="J289" s="355">
        <f>H289-L289</f>
        <v>1.8730000000000002</v>
      </c>
      <c r="K289" s="363" t="s">
        <v>271</v>
      </c>
      <c r="L289" s="64">
        <v>1.6379999999999999</v>
      </c>
      <c r="M289" s="363" t="s">
        <v>58</v>
      </c>
      <c r="N289" s="65">
        <v>243</v>
      </c>
      <c r="O289" s="363" t="s">
        <v>60</v>
      </c>
      <c r="P289" s="65">
        <v>243</v>
      </c>
      <c r="Q289" s="363" t="s">
        <v>61</v>
      </c>
      <c r="R289" s="65">
        <v>486</v>
      </c>
      <c r="S289" s="363" t="s">
        <v>62</v>
      </c>
      <c r="T289" s="65">
        <v>75</v>
      </c>
      <c r="U289" s="363" t="s">
        <v>55</v>
      </c>
      <c r="V289" s="66" t="s">
        <v>119</v>
      </c>
      <c r="W289" s="12"/>
      <c r="X289" s="12"/>
      <c r="Y289" s="12"/>
    </row>
    <row r="290" spans="1:25" x14ac:dyDescent="0.25">
      <c r="A290" s="362" t="s">
        <v>33</v>
      </c>
      <c r="B290" s="370">
        <v>0</v>
      </c>
      <c r="C290" s="371">
        <v>0.01</v>
      </c>
      <c r="D290" s="371">
        <v>0.1</v>
      </c>
      <c r="E290" s="371">
        <v>0.12</v>
      </c>
      <c r="F290" s="371">
        <v>0.26</v>
      </c>
      <c r="G290" s="371">
        <v>0.71</v>
      </c>
      <c r="H290" s="371">
        <v>1.28</v>
      </c>
      <c r="I290" s="371">
        <v>2.0499999999999998</v>
      </c>
      <c r="J290" s="371">
        <v>2.41</v>
      </c>
      <c r="K290" s="371">
        <v>2.83</v>
      </c>
      <c r="L290" s="371">
        <v>3.25</v>
      </c>
      <c r="M290" s="371">
        <v>3.65</v>
      </c>
      <c r="N290" s="371">
        <v>3.8</v>
      </c>
      <c r="O290" s="371">
        <v>4</v>
      </c>
      <c r="P290" s="371">
        <v>4.0999999999999996</v>
      </c>
      <c r="Q290" s="371">
        <v>4.1900000000000004</v>
      </c>
      <c r="R290" s="371">
        <v>4.3099999999999996</v>
      </c>
      <c r="S290" s="371">
        <v>4.41</v>
      </c>
      <c r="T290" s="371">
        <v>4.5199999999999996</v>
      </c>
      <c r="U290" s="371">
        <v>4.5999999999999996</v>
      </c>
      <c r="V290" s="371">
        <v>4.6500000000000004</v>
      </c>
      <c r="W290" s="371">
        <v>4.67</v>
      </c>
      <c r="X290" s="371">
        <v>4.68</v>
      </c>
      <c r="Y290" s="381">
        <v>1000</v>
      </c>
    </row>
    <row r="291" spans="1:25" x14ac:dyDescent="0.25">
      <c r="A291" s="378" t="s">
        <v>34</v>
      </c>
      <c r="B291" s="372">
        <v>27</v>
      </c>
      <c r="C291" s="373">
        <v>402.4</v>
      </c>
      <c r="D291" s="373">
        <v>1286</v>
      </c>
      <c r="E291" s="373">
        <v>1257</v>
      </c>
      <c r="F291" s="373">
        <v>1042</v>
      </c>
      <c r="G291" s="373">
        <v>1027</v>
      </c>
      <c r="H291" s="373">
        <v>998.4</v>
      </c>
      <c r="I291" s="373">
        <v>901.4</v>
      </c>
      <c r="J291" s="373">
        <v>849.6</v>
      </c>
      <c r="K291" s="373">
        <v>763.5</v>
      </c>
      <c r="L291" s="373">
        <v>707.1</v>
      </c>
      <c r="M291" s="373">
        <v>655.1</v>
      </c>
      <c r="N291" s="373">
        <v>651.70000000000005</v>
      </c>
      <c r="O291" s="373">
        <v>624.1</v>
      </c>
      <c r="P291" s="373">
        <v>601.29999999999995</v>
      </c>
      <c r="Q291" s="373">
        <v>536.20000000000005</v>
      </c>
      <c r="R291" s="373">
        <v>415.7</v>
      </c>
      <c r="S291" s="373">
        <v>270.2</v>
      </c>
      <c r="T291" s="373">
        <v>140.19999999999999</v>
      </c>
      <c r="U291" s="373">
        <v>76.900000000000006</v>
      </c>
      <c r="V291" s="373">
        <v>54.9</v>
      </c>
      <c r="W291" s="373">
        <v>40.200000000000003</v>
      </c>
      <c r="X291" s="373">
        <v>0</v>
      </c>
      <c r="Y291" s="382">
        <v>0</v>
      </c>
    </row>
    <row r="292" spans="1:25" ht="13" thickBot="1" x14ac:dyDescent="0.3">
      <c r="A292" s="379" t="s">
        <v>117</v>
      </c>
      <c r="B292" s="374">
        <f t="shared" ref="B292:V292" si="97">(C291+B291)*(C290-B290)/2</f>
        <v>2.1469999999999998</v>
      </c>
      <c r="C292" s="375">
        <f t="shared" si="97"/>
        <v>75.978000000000009</v>
      </c>
      <c r="D292" s="375">
        <f t="shared" si="97"/>
        <v>25.429999999999989</v>
      </c>
      <c r="E292" s="375">
        <f t="shared" si="97"/>
        <v>160.93</v>
      </c>
      <c r="F292" s="375">
        <f t="shared" si="97"/>
        <v>465.52499999999998</v>
      </c>
      <c r="G292" s="375">
        <f t="shared" si="97"/>
        <v>577.23900000000003</v>
      </c>
      <c r="H292" s="375">
        <f t="shared" si="97"/>
        <v>731.42299999999977</v>
      </c>
      <c r="I292" s="375">
        <f t="shared" si="97"/>
        <v>315.18000000000029</v>
      </c>
      <c r="J292" s="375">
        <f>(K291+J291)*(K290-J290)/2</f>
        <v>338.75099999999992</v>
      </c>
      <c r="K292" s="375">
        <f t="shared" si="97"/>
        <v>308.82599999999991</v>
      </c>
      <c r="L292" s="375">
        <f t="shared" si="97"/>
        <v>272.43999999999994</v>
      </c>
      <c r="M292" s="375">
        <f t="shared" si="97"/>
        <v>98.009999999999962</v>
      </c>
      <c r="N292" s="375">
        <f t="shared" si="97"/>
        <v>127.58000000000013</v>
      </c>
      <c r="O292" s="375">
        <f t="shared" si="97"/>
        <v>61.26999999999979</v>
      </c>
      <c r="P292" s="375">
        <f t="shared" si="97"/>
        <v>51.187500000000426</v>
      </c>
      <c r="Q292" s="375">
        <f t="shared" si="97"/>
        <v>57.113999999999635</v>
      </c>
      <c r="R292" s="375">
        <f t="shared" si="97"/>
        <v>34.295000000000179</v>
      </c>
      <c r="S292" s="375">
        <f>(T291+S291)*(T290-S290)/2</f>
        <v>22.571999999999882</v>
      </c>
      <c r="T292" s="375">
        <f t="shared" si="97"/>
        <v>8.6840000000000082</v>
      </c>
      <c r="U292" s="375">
        <f t="shared" si="97"/>
        <v>3.295000000000047</v>
      </c>
      <c r="V292" s="375">
        <f t="shared" si="97"/>
        <v>0.95099999999997964</v>
      </c>
      <c r="W292" s="375">
        <f>(X291+W291)*(X290-W290)/2</f>
        <v>0.20099999999999574</v>
      </c>
      <c r="X292" s="375">
        <f>(Y291+X291)*(Y290-X290)/2</f>
        <v>0</v>
      </c>
      <c r="Y292" s="369"/>
    </row>
    <row r="293" spans="1:25" ht="13" thickBot="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3.5" thickBot="1" x14ac:dyDescent="0.35">
      <c r="A294" s="361" t="s">
        <v>317</v>
      </c>
      <c r="B294" s="359">
        <f>ROW(A294)</f>
        <v>294</v>
      </c>
      <c r="C294" s="363" t="s">
        <v>116</v>
      </c>
      <c r="D294" s="353">
        <f>SUM(B297:Y297)</f>
        <v>5322.2813159999996</v>
      </c>
      <c r="E294" s="363" t="s">
        <v>115</v>
      </c>
      <c r="F294" s="354">
        <f>D294/g/J294</f>
        <v>210.04116210318938</v>
      </c>
      <c r="G294" s="363" t="s">
        <v>57</v>
      </c>
      <c r="H294" s="64">
        <v>4.9770000000000003</v>
      </c>
      <c r="I294" s="363" t="s">
        <v>270</v>
      </c>
      <c r="J294" s="355">
        <f>H294-L294</f>
        <v>2.5830000000000002</v>
      </c>
      <c r="K294" s="363" t="s">
        <v>271</v>
      </c>
      <c r="L294" s="64">
        <v>2.3940000000000001</v>
      </c>
      <c r="M294" s="363" t="s">
        <v>58</v>
      </c>
      <c r="N294" s="65">
        <v>197</v>
      </c>
      <c r="O294" s="363" t="s">
        <v>60</v>
      </c>
      <c r="P294" s="65">
        <v>197</v>
      </c>
      <c r="Q294" s="363" t="s">
        <v>61</v>
      </c>
      <c r="R294" s="65">
        <v>394</v>
      </c>
      <c r="S294" s="363" t="s">
        <v>62</v>
      </c>
      <c r="T294" s="65">
        <v>98</v>
      </c>
      <c r="U294" s="363" t="s">
        <v>55</v>
      </c>
      <c r="V294" s="66" t="s">
        <v>119</v>
      </c>
      <c r="W294" s="12"/>
      <c r="X294" s="12"/>
      <c r="Y294" s="12"/>
    </row>
    <row r="295" spans="1:25" x14ac:dyDescent="0.25">
      <c r="A295" s="362" t="s">
        <v>33</v>
      </c>
      <c r="B295" s="370">
        <v>0</v>
      </c>
      <c r="C295" s="371">
        <v>3.6999999999999998E-2</v>
      </c>
      <c r="D295" s="371">
        <v>0.121</v>
      </c>
      <c r="E295" s="371">
        <v>0.32800000000000001</v>
      </c>
      <c r="F295" s="371">
        <v>1.2989999999999999</v>
      </c>
      <c r="G295" s="371">
        <v>1.5449999999999999</v>
      </c>
      <c r="H295" s="371">
        <v>1.7969999999999999</v>
      </c>
      <c r="I295" s="371">
        <v>1.998</v>
      </c>
      <c r="J295" s="371">
        <v>2.2080000000000002</v>
      </c>
      <c r="K295" s="371">
        <v>2.4620000000000002</v>
      </c>
      <c r="L295" s="371">
        <v>2.782</v>
      </c>
      <c r="M295" s="371">
        <v>3.0859999999999999</v>
      </c>
      <c r="N295" s="371">
        <v>3.2130000000000001</v>
      </c>
      <c r="O295" s="371">
        <v>3.258</v>
      </c>
      <c r="P295" s="371">
        <v>3.3279999999999998</v>
      </c>
      <c r="Q295" s="371">
        <v>3.383</v>
      </c>
      <c r="R295" s="371">
        <v>3.4279999999999999</v>
      </c>
      <c r="S295" s="371">
        <v>3.5</v>
      </c>
      <c r="T295" s="371">
        <v>3.5</v>
      </c>
      <c r="U295" s="371">
        <v>3.5</v>
      </c>
      <c r="V295" s="371">
        <v>3.5</v>
      </c>
      <c r="W295" s="371">
        <v>3.5</v>
      </c>
      <c r="X295" s="371">
        <v>3.5</v>
      </c>
      <c r="Y295" s="381">
        <v>1000</v>
      </c>
    </row>
    <row r="296" spans="1:25" x14ac:dyDescent="0.25">
      <c r="A296" s="378" t="s">
        <v>34</v>
      </c>
      <c r="B296" s="372">
        <v>0</v>
      </c>
      <c r="C296" s="373">
        <v>1474.12</v>
      </c>
      <c r="D296" s="373">
        <v>1436.5</v>
      </c>
      <c r="E296" s="373">
        <v>1523.49</v>
      </c>
      <c r="F296" s="373">
        <v>1775.06</v>
      </c>
      <c r="G296" s="373">
        <v>1807.97</v>
      </c>
      <c r="H296" s="373">
        <v>1807.97</v>
      </c>
      <c r="I296" s="373">
        <v>1786.81</v>
      </c>
      <c r="J296" s="373">
        <v>1737.44</v>
      </c>
      <c r="K296" s="373">
        <v>1572.86</v>
      </c>
      <c r="L296" s="373">
        <v>1415.34</v>
      </c>
      <c r="M296" s="373">
        <v>1309.55</v>
      </c>
      <c r="N296" s="373">
        <v>1290.74</v>
      </c>
      <c r="O296" s="373">
        <v>1309.55</v>
      </c>
      <c r="P296" s="373">
        <v>679.45899999999995</v>
      </c>
      <c r="Q296" s="373">
        <v>173.97900000000001</v>
      </c>
      <c r="R296" s="373">
        <v>68.180999999999997</v>
      </c>
      <c r="S296" s="373">
        <v>0</v>
      </c>
      <c r="T296" s="373">
        <v>0</v>
      </c>
      <c r="U296" s="373">
        <v>0</v>
      </c>
      <c r="V296" s="373">
        <v>0</v>
      </c>
      <c r="W296" s="373">
        <v>0</v>
      </c>
      <c r="X296" s="373">
        <v>0</v>
      </c>
      <c r="Y296" s="382">
        <v>0</v>
      </c>
    </row>
    <row r="297" spans="1:25" ht="13" thickBot="1" x14ac:dyDescent="0.3">
      <c r="A297" s="379" t="s">
        <v>117</v>
      </c>
      <c r="B297" s="374">
        <f t="shared" ref="B297:X297" si="98">(C296+B296)*(C295-B295)/2</f>
        <v>27.271219999999996</v>
      </c>
      <c r="C297" s="375">
        <f t="shared" si="98"/>
        <v>122.24603999999998</v>
      </c>
      <c r="D297" s="375">
        <f t="shared" si="98"/>
        <v>306.35896500000001</v>
      </c>
      <c r="E297" s="375">
        <f t="shared" si="98"/>
        <v>1601.446025</v>
      </c>
      <c r="F297" s="375">
        <f t="shared" si="98"/>
        <v>440.71268999999995</v>
      </c>
      <c r="G297" s="375">
        <f t="shared" si="98"/>
        <v>455.60844000000003</v>
      </c>
      <c r="H297" s="375">
        <f t="shared" si="98"/>
        <v>361.27539000000007</v>
      </c>
      <c r="I297" s="375">
        <f t="shared" si="98"/>
        <v>370.04625000000033</v>
      </c>
      <c r="J297" s="375">
        <f t="shared" si="98"/>
        <v>420.40810000000005</v>
      </c>
      <c r="K297" s="375">
        <f t="shared" si="98"/>
        <v>478.11199999999974</v>
      </c>
      <c r="L297" s="375">
        <f t="shared" si="98"/>
        <v>414.18327999999974</v>
      </c>
      <c r="M297" s="375">
        <f t="shared" si="98"/>
        <v>165.11841500000028</v>
      </c>
      <c r="N297" s="375">
        <f t="shared" si="98"/>
        <v>58.506524999999904</v>
      </c>
      <c r="O297" s="375">
        <f t="shared" si="98"/>
        <v>69.615314999999839</v>
      </c>
      <c r="P297" s="375">
        <f t="shared" si="98"/>
        <v>23.469545000000068</v>
      </c>
      <c r="Q297" s="375">
        <f t="shared" si="98"/>
        <v>5.4485999999999919</v>
      </c>
      <c r="R297" s="375">
        <f t="shared" si="98"/>
        <v>2.4545160000000021</v>
      </c>
      <c r="S297" s="375">
        <f t="shared" si="98"/>
        <v>0</v>
      </c>
      <c r="T297" s="375">
        <f t="shared" si="98"/>
        <v>0</v>
      </c>
      <c r="U297" s="375">
        <f t="shared" si="98"/>
        <v>0</v>
      </c>
      <c r="V297" s="375">
        <f t="shared" si="98"/>
        <v>0</v>
      </c>
      <c r="W297" s="375">
        <f t="shared" si="98"/>
        <v>0</v>
      </c>
      <c r="X297" s="375">
        <f t="shared" si="98"/>
        <v>0</v>
      </c>
      <c r="Y297" s="369"/>
    </row>
    <row r="298" spans="1:25" ht="13" thickBot="1" x14ac:dyDescent="0.3">
      <c r="A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3.5" thickBot="1" x14ac:dyDescent="0.35">
      <c r="A299" s="361" t="s">
        <v>318</v>
      </c>
      <c r="B299" s="359">
        <f>ROW(A299)</f>
        <v>299</v>
      </c>
      <c r="C299" s="363" t="s">
        <v>116</v>
      </c>
      <c r="D299" s="353">
        <f>SUM(B302:Y302)</f>
        <v>7412.4371409999985</v>
      </c>
      <c r="E299" s="363" t="s">
        <v>115</v>
      </c>
      <c r="F299" s="354">
        <f>D299/g/J299</f>
        <v>223.28608637999045</v>
      </c>
      <c r="G299" s="363" t="s">
        <v>57</v>
      </c>
      <c r="H299" s="64">
        <v>6.25</v>
      </c>
      <c r="I299" s="363" t="s">
        <v>270</v>
      </c>
      <c r="J299" s="355">
        <f>H299-L299</f>
        <v>3.3839999999999999</v>
      </c>
      <c r="K299" s="363" t="s">
        <v>271</v>
      </c>
      <c r="L299" s="64">
        <v>2.8660000000000001</v>
      </c>
      <c r="M299" s="363" t="s">
        <v>58</v>
      </c>
      <c r="N299" s="65">
        <v>290</v>
      </c>
      <c r="O299" s="363" t="s">
        <v>60</v>
      </c>
      <c r="P299" s="65">
        <v>290</v>
      </c>
      <c r="Q299" s="363" t="s">
        <v>61</v>
      </c>
      <c r="R299" s="65">
        <v>579</v>
      </c>
      <c r="S299" s="363" t="s">
        <v>62</v>
      </c>
      <c r="T299" s="65">
        <v>98</v>
      </c>
      <c r="U299" s="363" t="s">
        <v>55</v>
      </c>
      <c r="V299" s="66" t="s">
        <v>119</v>
      </c>
      <c r="W299" s="12"/>
      <c r="X299" s="12"/>
      <c r="Y299" s="12"/>
    </row>
    <row r="300" spans="1:25" x14ac:dyDescent="0.25">
      <c r="A300" s="362" t="s">
        <v>33</v>
      </c>
      <c r="B300" s="370">
        <v>0</v>
      </c>
      <c r="C300" s="371">
        <v>1.7000000000000001E-2</v>
      </c>
      <c r="D300" s="371">
        <v>5.1999999999999998E-2</v>
      </c>
      <c r="E300" s="371">
        <v>8.7999999999999995E-2</v>
      </c>
      <c r="F300" s="371">
        <v>0.108</v>
      </c>
      <c r="G300" s="371">
        <v>0.127</v>
      </c>
      <c r="H300" s="371">
        <v>0.17399999999999999</v>
      </c>
      <c r="I300" s="371">
        <v>0.25700000000000001</v>
      </c>
      <c r="J300" s="371">
        <v>0.40300000000000002</v>
      </c>
      <c r="K300" s="371">
        <v>0.76200000000000001</v>
      </c>
      <c r="L300" s="371">
        <v>0.97699999999999998</v>
      </c>
      <c r="M300" s="371">
        <v>1.341</v>
      </c>
      <c r="N300" s="371">
        <v>1.5009999999999999</v>
      </c>
      <c r="O300" s="371">
        <v>1.661</v>
      </c>
      <c r="P300" s="371">
        <v>1.96</v>
      </c>
      <c r="Q300" s="371">
        <v>2.4039999999999999</v>
      </c>
      <c r="R300" s="371">
        <v>2.641</v>
      </c>
      <c r="S300" s="371">
        <v>2.7160000000000002</v>
      </c>
      <c r="T300" s="371">
        <v>2.8210000000000002</v>
      </c>
      <c r="U300" s="371">
        <v>2.8919999999999999</v>
      </c>
      <c r="V300" s="371">
        <v>2.92</v>
      </c>
      <c r="W300" s="371">
        <v>2.97</v>
      </c>
      <c r="X300" s="371">
        <v>3</v>
      </c>
      <c r="Y300" s="381">
        <v>1000</v>
      </c>
    </row>
    <row r="301" spans="1:25" x14ac:dyDescent="0.25">
      <c r="A301" s="378" t="s">
        <v>34</v>
      </c>
      <c r="B301" s="372">
        <v>0</v>
      </c>
      <c r="C301" s="373">
        <v>329.84699999999998</v>
      </c>
      <c r="D301" s="373">
        <v>1003.68</v>
      </c>
      <c r="E301" s="373">
        <v>2346.62</v>
      </c>
      <c r="F301" s="373">
        <v>2549.2399999999998</v>
      </c>
      <c r="G301" s="373">
        <v>2605.79</v>
      </c>
      <c r="H301" s="373">
        <v>2520.9699999999998</v>
      </c>
      <c r="I301" s="373">
        <v>2516.2600000000002</v>
      </c>
      <c r="J301" s="373">
        <v>2596.37</v>
      </c>
      <c r="K301" s="373">
        <v>2808.41</v>
      </c>
      <c r="L301" s="373">
        <v>2954.49</v>
      </c>
      <c r="M301" s="373">
        <v>2959.2</v>
      </c>
      <c r="N301" s="373">
        <v>2907.36</v>
      </c>
      <c r="O301" s="373">
        <v>2869.67</v>
      </c>
      <c r="P301" s="373">
        <v>2695.32</v>
      </c>
      <c r="Q301" s="373">
        <v>2351.34</v>
      </c>
      <c r="R301" s="373">
        <v>2228.8200000000002</v>
      </c>
      <c r="S301" s="373">
        <v>2007.35</v>
      </c>
      <c r="T301" s="373">
        <v>1427.77</v>
      </c>
      <c r="U301" s="373">
        <v>504.19400000000002</v>
      </c>
      <c r="V301" s="373">
        <v>334.55900000000003</v>
      </c>
      <c r="W301" s="373">
        <v>122.515</v>
      </c>
      <c r="X301" s="373">
        <v>0</v>
      </c>
      <c r="Y301" s="382">
        <v>0</v>
      </c>
    </row>
    <row r="302" spans="1:25" ht="13" thickBot="1" x14ac:dyDescent="0.3">
      <c r="A302" s="379" t="s">
        <v>117</v>
      </c>
      <c r="B302" s="374">
        <f t="shared" ref="B302:X302" si="99">(C301+B301)*(C300-B300)/2</f>
        <v>2.8036995</v>
      </c>
      <c r="C302" s="375">
        <f t="shared" si="99"/>
        <v>23.336722499999997</v>
      </c>
      <c r="D302" s="375">
        <f t="shared" si="99"/>
        <v>60.305399999999992</v>
      </c>
      <c r="E302" s="375">
        <f t="shared" si="99"/>
        <v>48.958600000000004</v>
      </c>
      <c r="F302" s="375">
        <f t="shared" si="99"/>
        <v>48.972785000000002</v>
      </c>
      <c r="G302" s="375">
        <f t="shared" si="99"/>
        <v>120.47885999999997</v>
      </c>
      <c r="H302" s="375">
        <f t="shared" si="99"/>
        <v>209.04504500000002</v>
      </c>
      <c r="I302" s="375">
        <f t="shared" si="99"/>
        <v>373.22199000000006</v>
      </c>
      <c r="J302" s="375">
        <f t="shared" si="99"/>
        <v>970.15800999999988</v>
      </c>
      <c r="K302" s="375">
        <f t="shared" si="99"/>
        <v>619.51174999999989</v>
      </c>
      <c r="L302" s="375">
        <f t="shared" si="99"/>
        <v>1076.2915799999998</v>
      </c>
      <c r="M302" s="375">
        <f t="shared" si="99"/>
        <v>469.3247999999997</v>
      </c>
      <c r="N302" s="375">
        <f t="shared" si="99"/>
        <v>462.16240000000045</v>
      </c>
      <c r="O302" s="375">
        <f t="shared" si="99"/>
        <v>831.96600499999977</v>
      </c>
      <c r="P302" s="375">
        <f t="shared" si="99"/>
        <v>1120.3585199999998</v>
      </c>
      <c r="Q302" s="375">
        <f t="shared" si="99"/>
        <v>542.74896000000024</v>
      </c>
      <c r="R302" s="375">
        <f t="shared" si="99"/>
        <v>158.85637500000038</v>
      </c>
      <c r="S302" s="375">
        <f t="shared" si="99"/>
        <v>180.34379999999996</v>
      </c>
      <c r="T302" s="375">
        <f t="shared" si="99"/>
        <v>68.584721999999744</v>
      </c>
      <c r="U302" s="375">
        <f t="shared" si="99"/>
        <v>11.742542000000011</v>
      </c>
      <c r="V302" s="375">
        <f t="shared" si="99"/>
        <v>11.42685000000006</v>
      </c>
      <c r="W302" s="375">
        <f t="shared" si="99"/>
        <v>1.8377249999999881</v>
      </c>
      <c r="X302" s="375">
        <f t="shared" si="99"/>
        <v>0</v>
      </c>
      <c r="Y302" s="369"/>
    </row>
    <row r="303" spans="1:25" ht="13" thickBot="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3.5" thickBot="1" x14ac:dyDescent="0.35">
      <c r="A304" s="361" t="s">
        <v>552</v>
      </c>
      <c r="B304" s="359">
        <f>ROW(A304)</f>
        <v>304</v>
      </c>
      <c r="C304" s="363" t="s">
        <v>116</v>
      </c>
      <c r="D304" s="353">
        <f>SUM(B307:Y307)</f>
        <v>17734.977350500001</v>
      </c>
      <c r="E304" s="363" t="s">
        <v>115</v>
      </c>
      <c r="F304" s="354">
        <f>D304/g/J304</f>
        <v>192.73420306179892</v>
      </c>
      <c r="G304" s="363" t="s">
        <v>57</v>
      </c>
      <c r="H304" s="64">
        <v>14.747999999999999</v>
      </c>
      <c r="I304" s="363" t="s">
        <v>270</v>
      </c>
      <c r="J304" s="355">
        <f>H304-L304</f>
        <v>9.379999999999999</v>
      </c>
      <c r="K304" s="363" t="s">
        <v>271</v>
      </c>
      <c r="L304" s="64">
        <v>5.3680000000000003</v>
      </c>
      <c r="M304" s="363" t="s">
        <v>58</v>
      </c>
      <c r="N304" s="65">
        <v>500</v>
      </c>
      <c r="O304" s="363" t="s">
        <v>60</v>
      </c>
      <c r="P304" s="65">
        <v>500</v>
      </c>
      <c r="Q304" s="363" t="s">
        <v>61</v>
      </c>
      <c r="R304" s="65">
        <v>1046</v>
      </c>
      <c r="S304" s="363" t="s">
        <v>62</v>
      </c>
      <c r="T304" s="65">
        <v>98</v>
      </c>
      <c r="U304" s="363" t="s">
        <v>55</v>
      </c>
      <c r="V304" s="66" t="s">
        <v>119</v>
      </c>
      <c r="W304" s="12"/>
      <c r="X304" s="12"/>
      <c r="Y304" s="12"/>
    </row>
    <row r="305" spans="1:25" x14ac:dyDescent="0.25">
      <c r="A305" s="362" t="s">
        <v>33</v>
      </c>
      <c r="B305" s="370">
        <v>0</v>
      </c>
      <c r="C305" s="371">
        <v>3.0000000000000001E-3</v>
      </c>
      <c r="D305" s="371">
        <v>0.05</v>
      </c>
      <c r="E305" s="371">
        <v>7.8E-2</v>
      </c>
      <c r="F305" s="371">
        <v>0.121</v>
      </c>
      <c r="G305" s="371">
        <v>0.65200000000000002</v>
      </c>
      <c r="H305" s="371">
        <v>1.123</v>
      </c>
      <c r="I305" s="371">
        <v>1.655</v>
      </c>
      <c r="J305" s="371">
        <v>2.3530000000000002</v>
      </c>
      <c r="K305" s="371">
        <v>3.0350000000000001</v>
      </c>
      <c r="L305" s="371">
        <v>3.7</v>
      </c>
      <c r="M305" s="371">
        <v>3.7330000000000001</v>
      </c>
      <c r="N305" s="371">
        <v>3.887</v>
      </c>
      <c r="O305" s="371">
        <v>4.0359999999999996</v>
      </c>
      <c r="P305" s="371">
        <v>4.1970000000000001</v>
      </c>
      <c r="Q305" s="371">
        <v>4.2619999999999996</v>
      </c>
      <c r="R305" s="371">
        <v>4.3</v>
      </c>
      <c r="S305" s="371">
        <v>5</v>
      </c>
      <c r="T305" s="371">
        <v>5</v>
      </c>
      <c r="U305" s="371">
        <v>5</v>
      </c>
      <c r="V305" s="371">
        <v>5</v>
      </c>
      <c r="W305" s="371">
        <v>5</v>
      </c>
      <c r="X305" s="371">
        <v>5</v>
      </c>
      <c r="Y305" s="381">
        <v>1000</v>
      </c>
    </row>
    <row r="306" spans="1:25" x14ac:dyDescent="0.25">
      <c r="A306" s="378" t="s">
        <v>34</v>
      </c>
      <c r="B306" s="372">
        <v>0</v>
      </c>
      <c r="C306" s="373">
        <v>203.87700000000001</v>
      </c>
      <c r="D306" s="373">
        <v>2362.8789999999999</v>
      </c>
      <c r="E306" s="373">
        <v>3946.8449999999998</v>
      </c>
      <c r="F306" s="373">
        <v>4281.4120000000003</v>
      </c>
      <c r="G306" s="373">
        <v>4370.2809999999999</v>
      </c>
      <c r="H306" s="373">
        <v>4453.9229999999998</v>
      </c>
      <c r="I306" s="373">
        <v>4772.8069999999998</v>
      </c>
      <c r="J306" s="373">
        <v>4621.2060000000001</v>
      </c>
      <c r="K306" s="373">
        <v>4511.4269999999997</v>
      </c>
      <c r="L306" s="373">
        <v>4375.509</v>
      </c>
      <c r="M306" s="373">
        <v>4182.0870000000004</v>
      </c>
      <c r="N306" s="373">
        <v>2969.2820000000002</v>
      </c>
      <c r="O306" s="373">
        <v>1589.193</v>
      </c>
      <c r="P306" s="373">
        <v>533.21600000000001</v>
      </c>
      <c r="Q306" s="373">
        <v>240.47</v>
      </c>
      <c r="R306" s="373">
        <v>0</v>
      </c>
      <c r="S306" s="373">
        <v>0</v>
      </c>
      <c r="T306" s="373">
        <v>0</v>
      </c>
      <c r="U306" s="373">
        <v>0</v>
      </c>
      <c r="V306" s="373">
        <v>0</v>
      </c>
      <c r="W306" s="373">
        <v>0</v>
      </c>
      <c r="X306" s="373">
        <v>0</v>
      </c>
      <c r="Y306" s="382">
        <v>0</v>
      </c>
    </row>
    <row r="307" spans="1:25" ht="13" thickBot="1" x14ac:dyDescent="0.3">
      <c r="A307" s="379" t="s">
        <v>117</v>
      </c>
      <c r="B307" s="374">
        <f t="shared" ref="B307" si="100">(C306+B306)*(C305-B305)/2</f>
        <v>0.30581550000000002</v>
      </c>
      <c r="C307" s="375">
        <f t="shared" ref="C307" si="101">(D306+C306)*(D305-C305)/2</f>
        <v>60.318765999999997</v>
      </c>
      <c r="D307" s="375">
        <f t="shared" ref="D307" si="102">(E306+D306)*(E305-D305)/2</f>
        <v>88.336135999999996</v>
      </c>
      <c r="E307" s="375">
        <f t="shared" ref="E307" si="103">(F306+E306)*(F305-E305)/2</f>
        <v>176.90752549999999</v>
      </c>
      <c r="F307" s="375">
        <f t="shared" ref="F307" si="104">(G306+F306)*(G305-F305)/2</f>
        <v>2297.0244914999998</v>
      </c>
      <c r="G307" s="375">
        <f t="shared" ref="G307" si="105">(H306+G306)*(H305-G305)/2</f>
        <v>2078.100042</v>
      </c>
      <c r="H307" s="375">
        <f t="shared" ref="H307" si="106">(I306+H306)*(I305-H305)/2</f>
        <v>2454.3101799999999</v>
      </c>
      <c r="I307" s="375">
        <f t="shared" ref="I307" si="107">(J306+I306)*(J305-I305)/2</f>
        <v>3278.5105370000006</v>
      </c>
      <c r="J307" s="375">
        <f t="shared" ref="J307" si="108">(K306+J306)*(K305-J305)/2</f>
        <v>3114.2278529999999</v>
      </c>
      <c r="K307" s="375">
        <f t="shared" ref="K307" si="109">(L306+K306)*(L305-K305)/2</f>
        <v>2954.9062199999998</v>
      </c>
      <c r="L307" s="375">
        <f t="shared" ref="L307" si="110">(M306+L306)*(M305-L305)/2</f>
        <v>141.20033399999969</v>
      </c>
      <c r="M307" s="375">
        <f t="shared" ref="M307" si="111">(N306+M306)*(N305-M305)/2</f>
        <v>550.65541299999973</v>
      </c>
      <c r="N307" s="375">
        <f t="shared" ref="N307" si="112">(O306+N306)*(O305-N305)/2</f>
        <v>339.60638749999907</v>
      </c>
      <c r="O307" s="375">
        <f t="shared" ref="O307" si="113">(P306+O306)*(P305-O305)/2</f>
        <v>170.85392450000052</v>
      </c>
      <c r="P307" s="375">
        <f t="shared" ref="P307" si="114">(Q306+P306)*(Q305-P305)/2</f>
        <v>25.14479499999981</v>
      </c>
      <c r="Q307" s="375">
        <f t="shared" ref="Q307" si="115">(R306+Q306)*(R305-Q305)/2</f>
        <v>4.568930000000031</v>
      </c>
      <c r="R307" s="375">
        <f t="shared" ref="R307" si="116">(S306+R306)*(S305-R305)/2</f>
        <v>0</v>
      </c>
      <c r="S307" s="375">
        <f t="shared" ref="S307" si="117">(T306+S306)*(T305-S305)/2</f>
        <v>0</v>
      </c>
      <c r="T307" s="375">
        <f t="shared" ref="T307" si="118">(U306+T306)*(U305-T305)/2</f>
        <v>0</v>
      </c>
      <c r="U307" s="375">
        <f t="shared" ref="U307" si="119">(V306+U306)*(V305-U305)/2</f>
        <v>0</v>
      </c>
      <c r="V307" s="375">
        <f t="shared" ref="V307" si="120">(W306+V306)*(W305-V305)/2</f>
        <v>0</v>
      </c>
      <c r="W307" s="375">
        <f t="shared" ref="W307" si="121">(X306+W306)*(X305-W305)/2</f>
        <v>0</v>
      </c>
      <c r="X307" s="375">
        <f t="shared" ref="X307" si="122">(Y306+X306)*(Y305-X305)/2</f>
        <v>0</v>
      </c>
      <c r="Y307" s="369"/>
    </row>
    <row r="308" spans="1:25" ht="13" thickBot="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3.5" thickBot="1" x14ac:dyDescent="0.35">
      <c r="A309" s="361" t="s">
        <v>45</v>
      </c>
      <c r="B309" s="359">
        <f>ROW(A309)</f>
        <v>309</v>
      </c>
      <c r="C309" s="363" t="s">
        <v>116</v>
      </c>
      <c r="D309" s="353">
        <f>SUM(B312:Y312)</f>
        <v>1E-3</v>
      </c>
      <c r="E309" s="363" t="s">
        <v>115</v>
      </c>
      <c r="F309" s="354">
        <f>D309/g/J309</f>
        <v>1.019367991845056</v>
      </c>
      <c r="G309" s="363" t="s">
        <v>57</v>
      </c>
      <c r="H309" s="64">
        <v>1E-4</v>
      </c>
      <c r="I309" s="363" t="s">
        <v>270</v>
      </c>
      <c r="J309" s="355">
        <f>H309-L309</f>
        <v>1E-4</v>
      </c>
      <c r="K309" s="363" t="s">
        <v>271</v>
      </c>
      <c r="L309" s="64">
        <v>0</v>
      </c>
      <c r="M309" s="363" t="s">
        <v>58</v>
      </c>
      <c r="N309" s="65">
        <v>0</v>
      </c>
      <c r="O309" s="363" t="s">
        <v>60</v>
      </c>
      <c r="P309" s="65">
        <v>0</v>
      </c>
      <c r="Q309" s="363" t="s">
        <v>61</v>
      </c>
      <c r="R309" s="65">
        <v>0</v>
      </c>
      <c r="S309" s="363" t="s">
        <v>62</v>
      </c>
      <c r="T309" s="65">
        <v>0</v>
      </c>
      <c r="U309" s="363" t="s">
        <v>55</v>
      </c>
      <c r="V309" s="66" t="s">
        <v>119</v>
      </c>
      <c r="W309" s="12"/>
      <c r="X309" s="12"/>
      <c r="Y309" s="12"/>
    </row>
    <row r="310" spans="1:25" x14ac:dyDescent="0.25">
      <c r="A310" s="362" t="s">
        <v>33</v>
      </c>
      <c r="B310" s="370">
        <v>0</v>
      </c>
      <c r="C310" s="371">
        <v>0.1</v>
      </c>
      <c r="D310" s="371">
        <v>0.2</v>
      </c>
      <c r="E310" s="371">
        <v>1</v>
      </c>
      <c r="F310" s="371">
        <v>1</v>
      </c>
      <c r="G310" s="371">
        <v>1</v>
      </c>
      <c r="H310" s="371">
        <v>1</v>
      </c>
      <c r="I310" s="371">
        <v>1</v>
      </c>
      <c r="J310" s="371">
        <v>1</v>
      </c>
      <c r="K310" s="371">
        <v>1</v>
      </c>
      <c r="L310" s="371">
        <v>1</v>
      </c>
      <c r="M310" s="371">
        <v>1</v>
      </c>
      <c r="N310" s="371">
        <v>1</v>
      </c>
      <c r="O310" s="371">
        <v>1</v>
      </c>
      <c r="P310" s="371">
        <v>1</v>
      </c>
      <c r="Q310" s="371">
        <v>1</v>
      </c>
      <c r="R310" s="371">
        <v>1</v>
      </c>
      <c r="S310" s="371">
        <v>1</v>
      </c>
      <c r="T310" s="371">
        <v>1</v>
      </c>
      <c r="U310" s="371">
        <v>1</v>
      </c>
      <c r="V310" s="371">
        <v>1</v>
      </c>
      <c r="W310" s="371">
        <v>1</v>
      </c>
      <c r="X310" s="371">
        <v>1</v>
      </c>
      <c r="Y310" s="381">
        <v>1000</v>
      </c>
    </row>
    <row r="311" spans="1:25" x14ac:dyDescent="0.25">
      <c r="A311" s="378" t="s">
        <v>34</v>
      </c>
      <c r="B311" s="372">
        <v>0</v>
      </c>
      <c r="C311" s="373">
        <v>0.01</v>
      </c>
      <c r="D311" s="373">
        <v>0</v>
      </c>
      <c r="E311" s="373">
        <v>0</v>
      </c>
      <c r="F311" s="373">
        <v>0</v>
      </c>
      <c r="G311" s="373">
        <v>0</v>
      </c>
      <c r="H311" s="373">
        <v>0</v>
      </c>
      <c r="I311" s="373">
        <v>0</v>
      </c>
      <c r="J311" s="373">
        <v>0</v>
      </c>
      <c r="K311" s="373">
        <v>0</v>
      </c>
      <c r="L311" s="373">
        <v>0</v>
      </c>
      <c r="M311" s="373">
        <v>0</v>
      </c>
      <c r="N311" s="373">
        <v>0</v>
      </c>
      <c r="O311" s="373">
        <v>0</v>
      </c>
      <c r="P311" s="373">
        <v>0</v>
      </c>
      <c r="Q311" s="373">
        <v>0</v>
      </c>
      <c r="R311" s="373">
        <v>0</v>
      </c>
      <c r="S311" s="373">
        <v>0</v>
      </c>
      <c r="T311" s="373">
        <v>0</v>
      </c>
      <c r="U311" s="373">
        <v>0</v>
      </c>
      <c r="V311" s="373">
        <v>0</v>
      </c>
      <c r="W311" s="373">
        <v>0</v>
      </c>
      <c r="X311" s="373">
        <v>0</v>
      </c>
      <c r="Y311" s="382">
        <v>0</v>
      </c>
    </row>
    <row r="312" spans="1:25" ht="13" thickBot="1" x14ac:dyDescent="0.3">
      <c r="A312" s="379" t="s">
        <v>117</v>
      </c>
      <c r="B312" s="374">
        <f t="shared" ref="B312:G312" si="123">(C311+B311)*(C310-B310)/2</f>
        <v>5.0000000000000001E-4</v>
      </c>
      <c r="C312" s="375">
        <f t="shared" si="123"/>
        <v>5.0000000000000001E-4</v>
      </c>
      <c r="D312" s="375">
        <f t="shared" si="123"/>
        <v>0</v>
      </c>
      <c r="E312" s="375">
        <f t="shared" si="123"/>
        <v>0</v>
      </c>
      <c r="F312" s="375">
        <f t="shared" si="123"/>
        <v>0</v>
      </c>
      <c r="G312" s="375">
        <f t="shared" si="123"/>
        <v>0</v>
      </c>
      <c r="H312" s="375">
        <f t="shared" ref="H312:V312" si="124">(I311+H311)*(I310-H310)/2</f>
        <v>0</v>
      </c>
      <c r="I312" s="375">
        <f t="shared" si="124"/>
        <v>0</v>
      </c>
      <c r="J312" s="375">
        <f>(K311+J311)*(K310-J310)/2</f>
        <v>0</v>
      </c>
      <c r="K312" s="375">
        <f t="shared" si="124"/>
        <v>0</v>
      </c>
      <c r="L312" s="375">
        <f t="shared" si="124"/>
        <v>0</v>
      </c>
      <c r="M312" s="375">
        <f t="shared" si="124"/>
        <v>0</v>
      </c>
      <c r="N312" s="375">
        <f t="shared" si="124"/>
        <v>0</v>
      </c>
      <c r="O312" s="375">
        <f t="shared" si="124"/>
        <v>0</v>
      </c>
      <c r="P312" s="375">
        <f t="shared" si="124"/>
        <v>0</v>
      </c>
      <c r="Q312" s="375">
        <f t="shared" si="124"/>
        <v>0</v>
      </c>
      <c r="R312" s="375">
        <f t="shared" si="124"/>
        <v>0</v>
      </c>
      <c r="S312" s="375">
        <f>(T311+S311)*(T310-S310)/2</f>
        <v>0</v>
      </c>
      <c r="T312" s="375">
        <f t="shared" si="124"/>
        <v>0</v>
      </c>
      <c r="U312" s="375">
        <f t="shared" si="124"/>
        <v>0</v>
      </c>
      <c r="V312" s="375">
        <f t="shared" si="124"/>
        <v>0</v>
      </c>
      <c r="W312" s="375">
        <f>(X311+W311)*(X310-W310)/2</f>
        <v>0</v>
      </c>
      <c r="X312" s="375">
        <f>(Y311+X311)*(Y310-X310)/2</f>
        <v>0</v>
      </c>
      <c r="Y312" s="369"/>
    </row>
    <row r="314" spans="1:25" x14ac:dyDescent="0.25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6" spans="1:25" x14ac:dyDescent="0.25">
      <c r="A316" s="397" t="str">
        <f>IF(Lang="Français","Liste des propu affichés :","Motor list (shown):")</f>
        <v>Liste des propu affichés :</v>
      </c>
      <c r="C316" s="643" t="s">
        <v>275</v>
      </c>
      <c r="D316" s="644"/>
      <c r="F316" s="643" t="s">
        <v>182</v>
      </c>
      <c r="G316" s="644"/>
      <c r="H316" s="12"/>
      <c r="I316" s="643" t="s">
        <v>397</v>
      </c>
      <c r="J316" s="644"/>
      <c r="K316" s="12"/>
      <c r="L316" s="643" t="s">
        <v>183</v>
      </c>
      <c r="M316" s="644"/>
      <c r="O316" s="643" t="s">
        <v>396</v>
      </c>
      <c r="P316" s="644"/>
      <c r="R316" s="643" t="s">
        <v>119</v>
      </c>
      <c r="S316" s="644"/>
    </row>
    <row r="317" spans="1:25" x14ac:dyDescent="0.25">
      <c r="A317" s="398" t="str">
        <f t="array" ref="A317:A346">IF(RIGHT(Type_fusee,1)=".",Liste_fusex, IF(LEFT(Type_fusee,4)="Mini",Liste_minif, IF(LEFT(Type_fusee,5)="Micro",Liste_µfu, IF(RIGHT(Type_fusee,1)=" ",Liste_H2O, IF(LEFT(Type_fusee,1)="R",Liste_RC, IF(LEFT(Type_fusee,1)=",",Liste_minifT))))))</f>
        <v>p29-1G 56F31</v>
      </c>
      <c r="C317" s="635" t="str">
        <f>A26</f>
        <v>H2O 1.5L 300g 6bar</v>
      </c>
      <c r="D317" s="636"/>
      <c r="F317" s="635" t="str">
        <f>A67</f>
        <v>µ-propu A8-3</v>
      </c>
      <c r="G317" s="636"/>
      <c r="H317" s="473"/>
      <c r="I317" s="633" t="str">
        <f>A148</f>
        <v>p29-1G 56F31</v>
      </c>
      <c r="J317" s="634"/>
      <c r="K317" s="473"/>
      <c r="L317" s="633" t="str">
        <f>A148</f>
        <v>p29-1G 56F31</v>
      </c>
      <c r="M317" s="634"/>
      <c r="O317" s="635" t="str">
        <f>A108</f>
        <v>p24-1G 24E22</v>
      </c>
      <c r="P317" s="636"/>
      <c r="R317" s="635" t="str">
        <f>A279</f>
        <v>Barasinga (Pro54-5G C)</v>
      </c>
      <c r="S317" s="636"/>
    </row>
    <row r="318" spans="1:25" x14ac:dyDescent="0.25">
      <c r="A318" s="398" t="str">
        <v>p29-1G 56F120</v>
      </c>
      <c r="C318" s="635" t="str">
        <f>A31</f>
        <v>H2O 1.5L 450g 6bar</v>
      </c>
      <c r="D318" s="636"/>
      <c r="F318" s="635" t="str">
        <f>A72</f>
        <v>µ-propu B4-4</v>
      </c>
      <c r="G318" s="636"/>
      <c r="H318" s="473"/>
      <c r="I318" s="633" t="str">
        <f>A153</f>
        <v>p29-1G 56F120</v>
      </c>
      <c r="J318" s="634"/>
      <c r="K318" s="473"/>
      <c r="L318" s="633" t="str">
        <f>A153</f>
        <v>p29-1G 56F120</v>
      </c>
      <c r="M318" s="634"/>
      <c r="O318" s="635" t="str">
        <f>A113</f>
        <v>p24-1G 25E75 (Rufina)</v>
      </c>
      <c r="P318" s="636"/>
      <c r="R318" s="635" t="str">
        <f>A289</f>
        <v>Orignal (Pro75-3G C)</v>
      </c>
      <c r="S318" s="636"/>
    </row>
    <row r="319" spans="1:25" x14ac:dyDescent="0.25">
      <c r="A319" s="398" t="str">
        <v>p29-1G 57F59</v>
      </c>
      <c r="C319" s="635" t="str">
        <f>A36</f>
        <v>H2O 1.5L 600g 6bar</v>
      </c>
      <c r="D319" s="636"/>
      <c r="F319" s="635" t="str">
        <f>A77</f>
        <v>µ-propu C6-3</v>
      </c>
      <c r="G319" s="636"/>
      <c r="H319" s="473"/>
      <c r="I319" s="633" t="str">
        <f>A158</f>
        <v>p29-1G 57F59</v>
      </c>
      <c r="J319" s="634"/>
      <c r="K319" s="473"/>
      <c r="L319" s="633" t="str">
        <f>A158</f>
        <v>p29-1G 57F59</v>
      </c>
      <c r="M319" s="634"/>
      <c r="O319" s="635" t="str">
        <f>A118</f>
        <v>p24-1G 26E31</v>
      </c>
      <c r="P319" s="636"/>
      <c r="R319" s="635" t="s">
        <v>184</v>
      </c>
      <c r="S319" s="636"/>
    </row>
    <row r="320" spans="1:25" x14ac:dyDescent="0.25">
      <c r="A320" s="398" t="str">
        <v>p29-2G 116G126</v>
      </c>
      <c r="C320" s="635" t="str">
        <f>A41</f>
        <v>H2O 1.5L 750g 6bar</v>
      </c>
      <c r="D320" s="636"/>
      <c r="F320" s="635" t="str">
        <f>A82</f>
        <v>µ-propu C6-3 x2</v>
      </c>
      <c r="G320" s="636"/>
      <c r="H320" s="473"/>
      <c r="I320" s="633" t="str">
        <f>A183</f>
        <v>p24-3G 74F85</v>
      </c>
      <c r="J320" s="634"/>
      <c r="K320" s="473"/>
      <c r="L320" s="633" t="str">
        <f>A228</f>
        <v>p29-2G 116G126</v>
      </c>
      <c r="M320" s="634"/>
      <c r="O320" s="635" t="str">
        <f>A123</f>
        <v>p24-2G 50E51</v>
      </c>
      <c r="P320" s="636"/>
      <c r="R320" s="635" t="s">
        <v>184</v>
      </c>
      <c r="S320" s="636"/>
    </row>
    <row r="321" spans="1:19" x14ac:dyDescent="0.25">
      <c r="A321" s="398" t="str">
        <v xml:space="preserve"> </v>
      </c>
      <c r="C321" s="635" t="str">
        <f>A46</f>
        <v>H2O 2.0L 400g 6bar</v>
      </c>
      <c r="D321" s="636"/>
      <c r="F321" s="635" t="str">
        <f>A87</f>
        <v>µ-propu C6-3 x3</v>
      </c>
      <c r="G321" s="636"/>
      <c r="H321" s="473"/>
      <c r="I321" s="633" t="str">
        <f>A188</f>
        <v>p24-3G 75F51</v>
      </c>
      <c r="J321" s="634"/>
      <c r="K321" s="473"/>
      <c r="L321" s="633" t="s">
        <v>184</v>
      </c>
      <c r="M321" s="634"/>
      <c r="O321" s="635" t="str">
        <f>A128</f>
        <v>p24-1G 53E70</v>
      </c>
      <c r="P321" s="636"/>
      <c r="R321" s="635" t="s">
        <v>184</v>
      </c>
      <c r="S321" s="636"/>
    </row>
    <row r="322" spans="1:19" x14ac:dyDescent="0.25">
      <c r="A322" s="398" t="str">
        <v>Pandora (Pro24-6G BS)</v>
      </c>
      <c r="C322" s="635" t="str">
        <f>A51</f>
        <v>H2O 2.0L 600g 6bar</v>
      </c>
      <c r="D322" s="636"/>
      <c r="F322" s="635" t="s">
        <v>184</v>
      </c>
      <c r="G322" s="636"/>
      <c r="H322" s="473"/>
      <c r="I322" s="633" t="s">
        <v>184</v>
      </c>
      <c r="J322" s="634"/>
      <c r="K322" s="473"/>
      <c r="L322" s="635" t="str">
        <f>A198</f>
        <v>Pandora (Pro24-6G BS)</v>
      </c>
      <c r="M322" s="636"/>
      <c r="O322" s="635" t="str">
        <f>A133</f>
        <v>p29-1G 41F36</v>
      </c>
      <c r="P322" s="636"/>
      <c r="R322" s="635" t="s">
        <v>184</v>
      </c>
      <c r="S322" s="636"/>
    </row>
    <row r="323" spans="1:19" x14ac:dyDescent="0.25">
      <c r="A323" s="398" t="str">
        <v xml:space="preserve"> </v>
      </c>
      <c r="C323" s="635" t="str">
        <f>A56</f>
        <v>H2O 2.0L 800g 6bar</v>
      </c>
      <c r="D323" s="636"/>
      <c r="F323" s="635" t="s">
        <v>184</v>
      </c>
      <c r="G323" s="636"/>
      <c r="H323" s="473"/>
      <c r="I323" s="633" t="s">
        <v>184</v>
      </c>
      <c r="J323" s="634"/>
      <c r="K323" s="473"/>
      <c r="L323" s="635" t="s">
        <v>184</v>
      </c>
      <c r="M323" s="636"/>
      <c r="O323" s="635" t="str">
        <f>A138</f>
        <v>p29-1G 51F36</v>
      </c>
      <c r="P323" s="636"/>
      <c r="R323" s="635" t="s">
        <v>184</v>
      </c>
      <c r="S323" s="636"/>
    </row>
    <row r="324" spans="1:19" x14ac:dyDescent="0.25">
      <c r="A324" s="398" t="str">
        <v>Klima D9-7</v>
      </c>
      <c r="C324" s="635" t="str">
        <f>A61</f>
        <v>H2O 2.0L 1000g 6bar</v>
      </c>
      <c r="D324" s="636"/>
      <c r="F324" s="635" t="s">
        <v>184</v>
      </c>
      <c r="G324" s="636"/>
      <c r="H324" s="473"/>
      <c r="I324" s="633" t="s">
        <v>184</v>
      </c>
      <c r="J324" s="634"/>
      <c r="K324" s="473"/>
      <c r="L324" s="635" t="str">
        <f>A92</f>
        <v>Klima D9-7</v>
      </c>
      <c r="M324" s="636"/>
      <c r="O324" s="635" t="str">
        <f>A143</f>
        <v>p29-1G 55F29</v>
      </c>
      <c r="P324" s="636"/>
      <c r="R324" s="635" t="s">
        <v>184</v>
      </c>
      <c r="S324" s="636"/>
    </row>
    <row r="325" spans="1:19" x14ac:dyDescent="0.25">
      <c r="A325" s="398" t="str">
        <v>Klima D9-7 x2</v>
      </c>
      <c r="C325" s="635" t="s">
        <v>184</v>
      </c>
      <c r="D325" s="636"/>
      <c r="F325" s="635" t="s">
        <v>184</v>
      </c>
      <c r="G325" s="636"/>
      <c r="H325" s="473"/>
      <c r="I325" s="633" t="s">
        <v>184</v>
      </c>
      <c r="J325" s="634"/>
      <c r="K325" s="473"/>
      <c r="L325" s="635" t="str">
        <f>A97</f>
        <v>Klima D9-7 x2</v>
      </c>
      <c r="M325" s="636"/>
      <c r="O325" s="635" t="str">
        <f>A153</f>
        <v>p29-1G 56F120</v>
      </c>
      <c r="P325" s="636"/>
      <c r="R325" s="635" t="s">
        <v>184</v>
      </c>
      <c r="S325" s="636"/>
    </row>
    <row r="326" spans="1:19" x14ac:dyDescent="0.25">
      <c r="A326" s="398" t="str">
        <v>Klima D9-7 x3</v>
      </c>
      <c r="C326" s="635" t="s">
        <v>184</v>
      </c>
      <c r="D326" s="636"/>
      <c r="F326" s="635" t="s">
        <v>184</v>
      </c>
      <c r="G326" s="636"/>
      <c r="H326" s="473"/>
      <c r="I326" s="633" t="s">
        <v>184</v>
      </c>
      <c r="J326" s="634"/>
      <c r="K326" s="473"/>
      <c r="L326" s="635" t="str">
        <f>A102</f>
        <v>Klima D9-7 x3</v>
      </c>
      <c r="M326" s="636"/>
      <c r="O326" s="635" t="str">
        <f>A158</f>
        <v>p29-1G 57F59</v>
      </c>
      <c r="P326" s="636"/>
      <c r="R326" s="635" t="s">
        <v>184</v>
      </c>
      <c r="S326" s="636"/>
    </row>
    <row r="327" spans="1:19" x14ac:dyDescent="0.25">
      <c r="A327" s="398" t="str">
        <v xml:space="preserve"> </v>
      </c>
      <c r="C327" s="635" t="s">
        <v>184</v>
      </c>
      <c r="D327" s="636"/>
      <c r="F327" s="635" t="s">
        <v>184</v>
      </c>
      <c r="G327" s="636"/>
      <c r="H327" s="473"/>
      <c r="I327" s="633" t="s">
        <v>184</v>
      </c>
      <c r="J327" s="634"/>
      <c r="K327" s="473"/>
      <c r="L327" s="635" t="s">
        <v>184</v>
      </c>
      <c r="M327" s="636"/>
      <c r="O327" s="635" t="str">
        <f>A163</f>
        <v>p24-3G 60F50</v>
      </c>
      <c r="P327" s="636"/>
      <c r="R327" s="635" t="s">
        <v>184</v>
      </c>
      <c r="S327" s="636"/>
    </row>
    <row r="328" spans="1:19" x14ac:dyDescent="0.25">
      <c r="A328" s="398" t="str">
        <v xml:space="preserve"> </v>
      </c>
      <c r="C328" s="635" t="s">
        <v>184</v>
      </c>
      <c r="D328" s="636"/>
      <c r="F328" s="635" t="s">
        <v>184</v>
      </c>
      <c r="G328" s="636"/>
      <c r="H328" s="473"/>
      <c r="I328" s="633" t="s">
        <v>184</v>
      </c>
      <c r="J328" s="634"/>
      <c r="K328" s="473"/>
      <c r="L328" s="635" t="s">
        <v>184</v>
      </c>
      <c r="M328" s="636"/>
      <c r="O328" s="635" t="str">
        <f>A168</f>
        <v>p24-3G 68F79</v>
      </c>
      <c r="P328" s="636"/>
      <c r="R328" s="635" t="s">
        <v>184</v>
      </c>
      <c r="S328" s="636"/>
    </row>
    <row r="329" spans="1:19" x14ac:dyDescent="0.25">
      <c r="A329" s="398" t="str">
        <v xml:space="preserve"> </v>
      </c>
      <c r="C329" s="635" t="s">
        <v>184</v>
      </c>
      <c r="D329" s="636"/>
      <c r="F329" s="635" t="s">
        <v>184</v>
      </c>
      <c r="G329" s="636"/>
      <c r="H329" s="473"/>
      <c r="I329" s="633" t="s">
        <v>184</v>
      </c>
      <c r="J329" s="634"/>
      <c r="K329" s="473"/>
      <c r="L329" s="635" t="s">
        <v>184</v>
      </c>
      <c r="M329" s="636"/>
      <c r="O329" s="635" t="str">
        <f>A173</f>
        <v>p24-3G 68F240</v>
      </c>
      <c r="P329" s="636"/>
      <c r="R329" s="635" t="s">
        <v>184</v>
      </c>
      <c r="S329" s="636"/>
    </row>
    <row r="330" spans="1:19" x14ac:dyDescent="0.25">
      <c r="A330" s="398" t="str">
        <v xml:space="preserve"> </v>
      </c>
      <c r="C330" s="635" t="s">
        <v>184</v>
      </c>
      <c r="D330" s="636"/>
      <c r="F330" s="635" t="s">
        <v>184</v>
      </c>
      <c r="G330" s="636"/>
      <c r="H330" s="473"/>
      <c r="I330" s="633" t="s">
        <v>184</v>
      </c>
      <c r="J330" s="634"/>
      <c r="K330" s="473"/>
      <c r="L330" s="635" t="s">
        <v>184</v>
      </c>
      <c r="M330" s="636"/>
      <c r="O330" s="635" t="str">
        <f>A178</f>
        <v>p24-3G 73F30</v>
      </c>
      <c r="P330" s="636"/>
      <c r="R330" s="635" t="s">
        <v>184</v>
      </c>
      <c r="S330" s="636"/>
    </row>
    <row r="331" spans="1:19" x14ac:dyDescent="0.25">
      <c r="A331" s="398" t="str">
        <v xml:space="preserve"> </v>
      </c>
      <c r="C331" s="635" t="s">
        <v>184</v>
      </c>
      <c r="D331" s="636"/>
      <c r="F331" s="635" t="s">
        <v>184</v>
      </c>
      <c r="G331" s="636"/>
      <c r="H331" s="473"/>
      <c r="I331" s="641" t="s">
        <v>184</v>
      </c>
      <c r="J331" s="642"/>
      <c r="K331" s="473"/>
      <c r="L331" s="635" t="s">
        <v>184</v>
      </c>
      <c r="M331" s="636"/>
      <c r="O331" s="635" t="str">
        <f>A183</f>
        <v>p24-3G 74F85</v>
      </c>
      <c r="P331" s="636"/>
      <c r="R331" s="635" t="s">
        <v>184</v>
      </c>
      <c r="S331" s="636"/>
    </row>
    <row r="332" spans="1:19" x14ac:dyDescent="0.25">
      <c r="A332" s="462" t="str">
        <v xml:space="preserve"> </v>
      </c>
      <c r="C332" s="638" t="s">
        <v>184</v>
      </c>
      <c r="D332" s="639"/>
      <c r="F332" s="638" t="s">
        <v>184</v>
      </c>
      <c r="G332" s="639"/>
      <c r="H332" s="473"/>
      <c r="I332" s="638" t="s">
        <v>184</v>
      </c>
      <c r="J332" s="639"/>
      <c r="K332" s="473"/>
      <c r="L332" s="638" t="s">
        <v>184</v>
      </c>
      <c r="M332" s="639"/>
      <c r="O332" s="635" t="str">
        <f>A188</f>
        <v>p24-3G 75F51</v>
      </c>
      <c r="P332" s="636"/>
      <c r="R332" s="638" t="s">
        <v>184</v>
      </c>
      <c r="S332" s="639"/>
    </row>
    <row r="333" spans="1:19" x14ac:dyDescent="0.25">
      <c r="A333" s="398" t="str">
        <v xml:space="preserve"> </v>
      </c>
      <c r="C333" s="645" t="s">
        <v>184</v>
      </c>
      <c r="D333" s="645"/>
      <c r="F333" s="645" t="s">
        <v>184</v>
      </c>
      <c r="G333" s="645"/>
      <c r="I333" s="632" t="s">
        <v>184</v>
      </c>
      <c r="J333" s="632"/>
      <c r="L333" s="632" t="s">
        <v>184</v>
      </c>
      <c r="M333" s="632"/>
      <c r="O333" s="635" t="str">
        <f>A213</f>
        <v>p29-2G 84G88</v>
      </c>
      <c r="P333" s="636"/>
      <c r="R333" s="640" t="s">
        <v>184</v>
      </c>
      <c r="S333" s="640"/>
    </row>
    <row r="334" spans="1:19" x14ac:dyDescent="0.25">
      <c r="A334" s="398" t="str">
        <v xml:space="preserve"> </v>
      </c>
      <c r="C334" s="629" t="s">
        <v>184</v>
      </c>
      <c r="D334" s="629"/>
      <c r="F334" s="629" t="s">
        <v>184</v>
      </c>
      <c r="G334" s="629"/>
      <c r="I334" s="632" t="s">
        <v>184</v>
      </c>
      <c r="J334" s="632"/>
      <c r="L334" s="632" t="s">
        <v>184</v>
      </c>
      <c r="M334" s="632"/>
      <c r="O334" s="635" t="str">
        <f>A218</f>
        <v>p29-2G 93G80</v>
      </c>
      <c r="P334" s="636"/>
      <c r="R334" s="637" t="str">
        <f>A269</f>
        <v>Isard</v>
      </c>
      <c r="S334" s="637"/>
    </row>
    <row r="335" spans="1:19" x14ac:dyDescent="0.25">
      <c r="A335" s="398" t="str">
        <v xml:space="preserve"> </v>
      </c>
      <c r="C335" s="629" t="s">
        <v>184</v>
      </c>
      <c r="D335" s="629"/>
      <c r="F335" s="629" t="s">
        <v>184</v>
      </c>
      <c r="G335" s="629"/>
      <c r="I335" s="632" t="s">
        <v>184</v>
      </c>
      <c r="J335" s="632"/>
      <c r="L335" s="632" t="s">
        <v>184</v>
      </c>
      <c r="M335" s="632"/>
      <c r="O335" s="635" t="str">
        <f>A223</f>
        <v>p29-2G 110G250</v>
      </c>
      <c r="P335" s="636"/>
      <c r="R335" s="637" t="str">
        <f>A274</f>
        <v>Chamois</v>
      </c>
      <c r="S335" s="637"/>
    </row>
    <row r="336" spans="1:19" x14ac:dyDescent="0.25">
      <c r="A336" s="398" t="str">
        <v xml:space="preserve"> </v>
      </c>
      <c r="C336" s="629" t="s">
        <v>184</v>
      </c>
      <c r="D336" s="629"/>
      <c r="F336" s="629" t="s">
        <v>184</v>
      </c>
      <c r="G336" s="629"/>
      <c r="I336" s="632" t="s">
        <v>184</v>
      </c>
      <c r="J336" s="632"/>
      <c r="L336" s="632" t="s">
        <v>184</v>
      </c>
      <c r="M336" s="632"/>
      <c r="O336" s="635" t="str">
        <f>A228</f>
        <v>p29-2G 116G126</v>
      </c>
      <c r="P336" s="636"/>
      <c r="R336" s="637" t="str">
        <f>A284</f>
        <v>Pro75-2G</v>
      </c>
      <c r="S336" s="637"/>
    </row>
    <row r="337" spans="1:19" x14ac:dyDescent="0.25">
      <c r="A337" s="398" t="str">
        <v xml:space="preserve"> </v>
      </c>
      <c r="C337" s="629" t="s">
        <v>184</v>
      </c>
      <c r="D337" s="629"/>
      <c r="F337" s="629" t="s">
        <v>184</v>
      </c>
      <c r="G337" s="629"/>
      <c r="I337" s="632" t="s">
        <v>184</v>
      </c>
      <c r="J337" s="632"/>
      <c r="L337" s="632" t="s">
        <v>184</v>
      </c>
      <c r="M337" s="632"/>
      <c r="O337" s="635" t="str">
        <f>A233</f>
        <v>p29-3G 125G131</v>
      </c>
      <c r="P337" s="636"/>
      <c r="R337" s="637" t="str">
        <f>A294</f>
        <v>Pro98-2G WT</v>
      </c>
      <c r="S337" s="637"/>
    </row>
    <row r="338" spans="1:19" x14ac:dyDescent="0.25">
      <c r="A338" s="398" t="str">
        <v xml:space="preserve"> </v>
      </c>
      <c r="C338" s="629" t="s">
        <v>184</v>
      </c>
      <c r="D338" s="629"/>
      <c r="F338" s="629" t="s">
        <v>184</v>
      </c>
      <c r="G338" s="629"/>
      <c r="I338" s="632" t="s">
        <v>184</v>
      </c>
      <c r="J338" s="632"/>
      <c r="L338" s="632" t="s">
        <v>184</v>
      </c>
      <c r="M338" s="632"/>
      <c r="O338" s="635" t="str">
        <f>A248</f>
        <v>p38-1G 128G185</v>
      </c>
      <c r="P338" s="636"/>
      <c r="R338" s="637" t="str">
        <f>A299</f>
        <v>Pro98-3G WT</v>
      </c>
      <c r="S338" s="637"/>
    </row>
    <row r="339" spans="1:19" x14ac:dyDescent="0.25">
      <c r="A339" s="398" t="str">
        <v xml:space="preserve"> </v>
      </c>
      <c r="C339" s="629" t="s">
        <v>184</v>
      </c>
      <c r="D339" s="629"/>
      <c r="F339" s="629" t="s">
        <v>184</v>
      </c>
      <c r="G339" s="629"/>
      <c r="I339" s="632" t="s">
        <v>184</v>
      </c>
      <c r="J339" s="632"/>
      <c r="L339" s="632" t="s">
        <v>184</v>
      </c>
      <c r="M339" s="632"/>
      <c r="O339" s="635" t="str">
        <f>A243</f>
        <v>p38-1G 137G58</v>
      </c>
      <c r="P339" s="636"/>
      <c r="R339" s="637" t="str">
        <f>A309</f>
        <v>Aucun (2e ét. inerte)</v>
      </c>
      <c r="S339" s="637"/>
    </row>
    <row r="340" spans="1:19" x14ac:dyDescent="0.25">
      <c r="A340" s="398" t="str">
        <v xml:space="preserve"> </v>
      </c>
      <c r="C340" s="629" t="s">
        <v>184</v>
      </c>
      <c r="D340" s="629"/>
      <c r="F340" s="629" t="s">
        <v>184</v>
      </c>
      <c r="G340" s="629"/>
      <c r="I340" s="632" t="s">
        <v>184</v>
      </c>
      <c r="J340" s="632"/>
      <c r="L340" s="632" t="s">
        <v>184</v>
      </c>
      <c r="M340" s="632"/>
      <c r="O340" s="635" t="str">
        <f>A253</f>
        <v>p38-1G 141G78</v>
      </c>
      <c r="P340" s="636"/>
      <c r="R340" s="632" t="s">
        <v>184</v>
      </c>
      <c r="S340" s="632"/>
    </row>
    <row r="341" spans="1:19" x14ac:dyDescent="0.25">
      <c r="A341" s="398" t="str">
        <v xml:space="preserve"> </v>
      </c>
      <c r="C341" s="629" t="s">
        <v>184</v>
      </c>
      <c r="D341" s="629"/>
      <c r="F341" s="629" t="s">
        <v>184</v>
      </c>
      <c r="G341" s="629"/>
      <c r="I341" s="629" t="s">
        <v>184</v>
      </c>
      <c r="J341" s="629"/>
      <c r="L341" s="632" t="s">
        <v>184</v>
      </c>
      <c r="M341" s="632"/>
      <c r="O341" s="635" t="str">
        <f>A193</f>
        <v>p24-6G 140G145 PK</v>
      </c>
      <c r="P341" s="636"/>
      <c r="R341" s="629" t="s">
        <v>184</v>
      </c>
      <c r="S341" s="629"/>
    </row>
    <row r="342" spans="1:19" x14ac:dyDescent="0.25">
      <c r="A342" s="398" t="str">
        <v xml:space="preserve"> </v>
      </c>
      <c r="C342" s="629" t="s">
        <v>184</v>
      </c>
      <c r="D342" s="629"/>
      <c r="F342" s="629" t="s">
        <v>184</v>
      </c>
      <c r="G342" s="629"/>
      <c r="I342" s="629" t="s">
        <v>184</v>
      </c>
      <c r="J342" s="629"/>
      <c r="L342" s="632" t="s">
        <v>184</v>
      </c>
      <c r="M342" s="632"/>
      <c r="O342" s="635" t="str">
        <f>A198</f>
        <v>Pandora (Pro24-6G BS)</v>
      </c>
      <c r="P342" s="636"/>
      <c r="R342" s="629" t="s">
        <v>184</v>
      </c>
      <c r="S342" s="629"/>
    </row>
    <row r="343" spans="1:19" x14ac:dyDescent="0.25">
      <c r="A343" s="398" t="str">
        <v xml:space="preserve"> </v>
      </c>
      <c r="C343" s="629" t="s">
        <v>184</v>
      </c>
      <c r="D343" s="629"/>
      <c r="F343" s="629" t="s">
        <v>184</v>
      </c>
      <c r="G343" s="629"/>
      <c r="I343" s="629" t="s">
        <v>184</v>
      </c>
      <c r="J343" s="629"/>
      <c r="L343" s="629" t="s">
        <v>184</v>
      </c>
      <c r="M343" s="629"/>
      <c r="O343" s="633" t="str">
        <f>A203</f>
        <v>p24-6G 142G117 WT</v>
      </c>
      <c r="P343" s="634"/>
      <c r="R343" s="629" t="s">
        <v>184</v>
      </c>
      <c r="S343" s="629"/>
    </row>
    <row r="344" spans="1:19" x14ac:dyDescent="0.25">
      <c r="A344" s="398" t="str">
        <v xml:space="preserve"> </v>
      </c>
      <c r="C344" s="629" t="s">
        <v>184</v>
      </c>
      <c r="D344" s="629"/>
      <c r="F344" s="629" t="s">
        <v>184</v>
      </c>
      <c r="G344" s="629"/>
      <c r="I344" s="629" t="s">
        <v>184</v>
      </c>
      <c r="J344" s="629"/>
      <c r="L344" s="629" t="s">
        <v>184</v>
      </c>
      <c r="M344" s="629"/>
      <c r="O344" s="633" t="str">
        <f>A208</f>
        <v>p24-6G 139G107 DT</v>
      </c>
      <c r="P344" s="634"/>
      <c r="R344" s="629" t="s">
        <v>184</v>
      </c>
      <c r="S344" s="629"/>
    </row>
    <row r="345" spans="1:19" x14ac:dyDescent="0.25">
      <c r="A345" s="398" t="str">
        <v xml:space="preserve"> </v>
      </c>
      <c r="C345" s="629" t="s">
        <v>184</v>
      </c>
      <c r="D345" s="629"/>
      <c r="F345" s="629" t="s">
        <v>184</v>
      </c>
      <c r="G345" s="629"/>
      <c r="I345" s="629" t="s">
        <v>184</v>
      </c>
      <c r="J345" s="629"/>
      <c r="L345" s="629" t="s">
        <v>184</v>
      </c>
      <c r="M345" s="629"/>
      <c r="O345" s="633" t="str">
        <f>A263</f>
        <v>Cariacou</v>
      </c>
      <c r="P345" s="634"/>
      <c r="R345" s="629" t="s">
        <v>184</v>
      </c>
      <c r="S345" s="629"/>
    </row>
    <row r="346" spans="1:19" x14ac:dyDescent="0.25">
      <c r="A346" s="474" t="str">
        <v xml:space="preserve"> </v>
      </c>
      <c r="C346" s="629" t="s">
        <v>184</v>
      </c>
      <c r="D346" s="629"/>
      <c r="F346" s="629" t="s">
        <v>184</v>
      </c>
      <c r="G346" s="629"/>
      <c r="I346" s="629" t="s">
        <v>184</v>
      </c>
      <c r="J346" s="629"/>
      <c r="L346" s="629" t="s">
        <v>184</v>
      </c>
      <c r="M346" s="629"/>
      <c r="O346" s="630" t="str">
        <f>A258</f>
        <v>Wapiti</v>
      </c>
      <c r="P346" s="631"/>
      <c r="R346" s="629" t="s">
        <v>184</v>
      </c>
      <c r="S346" s="629"/>
    </row>
  </sheetData>
  <sheetProtection password="C6AC" sheet="1" objects="1" scenarios="1"/>
  <dataConsolidate/>
  <mergeCells count="186">
    <mergeCell ref="C333:D333"/>
    <mergeCell ref="L343:M343"/>
    <mergeCell ref="L344:M344"/>
    <mergeCell ref="F338:G338"/>
    <mergeCell ref="C341:D341"/>
    <mergeCell ref="C342:D342"/>
    <mergeCell ref="C343:D343"/>
    <mergeCell ref="I342:J342"/>
    <mergeCell ref="I343:J343"/>
    <mergeCell ref="L341:M341"/>
    <mergeCell ref="L342:M342"/>
    <mergeCell ref="C344:D344"/>
    <mergeCell ref="L338:M338"/>
    <mergeCell ref="F333:G333"/>
    <mergeCell ref="L335:M335"/>
    <mergeCell ref="L336:M336"/>
    <mergeCell ref="I333:J333"/>
    <mergeCell ref="I334:J334"/>
    <mergeCell ref="L339:M339"/>
    <mergeCell ref="L340:M340"/>
    <mergeCell ref="I340:J340"/>
    <mergeCell ref="I339:J339"/>
    <mergeCell ref="F334:G334"/>
    <mergeCell ref="F335:G335"/>
    <mergeCell ref="C345:D345"/>
    <mergeCell ref="C346:D346"/>
    <mergeCell ref="C335:D335"/>
    <mergeCell ref="C336:D336"/>
    <mergeCell ref="C337:D337"/>
    <mergeCell ref="C338:D338"/>
    <mergeCell ref="C339:D339"/>
    <mergeCell ref="C340:D340"/>
    <mergeCell ref="C334:D334"/>
    <mergeCell ref="R316:S316"/>
    <mergeCell ref="R317:S317"/>
    <mergeCell ref="R318:S318"/>
    <mergeCell ref="R319:S319"/>
    <mergeCell ref="R320:S320"/>
    <mergeCell ref="C328:D328"/>
    <mergeCell ref="O328:P328"/>
    <mergeCell ref="R327:S327"/>
    <mergeCell ref="R326:S326"/>
    <mergeCell ref="C321:D321"/>
    <mergeCell ref="O321:P321"/>
    <mergeCell ref="R321:S321"/>
    <mergeCell ref="R325:S325"/>
    <mergeCell ref="R324:S324"/>
    <mergeCell ref="R323:S323"/>
    <mergeCell ref="I321:J321"/>
    <mergeCell ref="I322:J322"/>
    <mergeCell ref="I323:J323"/>
    <mergeCell ref="I324:J324"/>
    <mergeCell ref="I325:J325"/>
    <mergeCell ref="I326:J326"/>
    <mergeCell ref="I327:J327"/>
    <mergeCell ref="L323:M323"/>
    <mergeCell ref="L324:M324"/>
    <mergeCell ref="L317:M317"/>
    <mergeCell ref="C332:D332"/>
    <mergeCell ref="R322:S322"/>
    <mergeCell ref="R328:S328"/>
    <mergeCell ref="R332:S332"/>
    <mergeCell ref="F328:G328"/>
    <mergeCell ref="F322:G322"/>
    <mergeCell ref="O326:P326"/>
    <mergeCell ref="F323:G323"/>
    <mergeCell ref="O331:P331"/>
    <mergeCell ref="R330:S330"/>
    <mergeCell ref="R329:S329"/>
    <mergeCell ref="O329:P329"/>
    <mergeCell ref="R331:S331"/>
    <mergeCell ref="L331:M331"/>
    <mergeCell ref="L332:M332"/>
    <mergeCell ref="L329:M329"/>
    <mergeCell ref="L330:M330"/>
    <mergeCell ref="L325:M325"/>
    <mergeCell ref="C329:D329"/>
    <mergeCell ref="C330:D330"/>
    <mergeCell ref="I332:J332"/>
    <mergeCell ref="C331:D331"/>
    <mergeCell ref="F325:G325"/>
    <mergeCell ref="L316:M316"/>
    <mergeCell ref="C327:D327"/>
    <mergeCell ref="C326:D326"/>
    <mergeCell ref="C325:D325"/>
    <mergeCell ref="C324:D324"/>
    <mergeCell ref="C323:D323"/>
    <mergeCell ref="C322:D322"/>
    <mergeCell ref="O316:P316"/>
    <mergeCell ref="F318:G318"/>
    <mergeCell ref="F317:G317"/>
    <mergeCell ref="O318:P318"/>
    <mergeCell ref="O317:P317"/>
    <mergeCell ref="L318:M318"/>
    <mergeCell ref="C316:D316"/>
    <mergeCell ref="C317:D317"/>
    <mergeCell ref="C318:D318"/>
    <mergeCell ref="C319:D319"/>
    <mergeCell ref="C320:D320"/>
    <mergeCell ref="F316:G316"/>
    <mergeCell ref="L320:M320"/>
    <mergeCell ref="I316:J316"/>
    <mergeCell ref="I317:J317"/>
    <mergeCell ref="I318:J318"/>
    <mergeCell ref="I319:J319"/>
    <mergeCell ref="F331:G331"/>
    <mergeCell ref="F324:G324"/>
    <mergeCell ref="F321:G321"/>
    <mergeCell ref="F320:G320"/>
    <mergeCell ref="O323:P323"/>
    <mergeCell ref="O320:P320"/>
    <mergeCell ref="O319:P319"/>
    <mergeCell ref="O324:P324"/>
    <mergeCell ref="F319:G319"/>
    <mergeCell ref="O322:P322"/>
    <mergeCell ref="I320:J320"/>
    <mergeCell ref="L319:M319"/>
    <mergeCell ref="L326:M326"/>
    <mergeCell ref="L327:M327"/>
    <mergeCell ref="L321:M321"/>
    <mergeCell ref="L322:M322"/>
    <mergeCell ref="O325:P325"/>
    <mergeCell ref="O330:P330"/>
    <mergeCell ref="F327:G327"/>
    <mergeCell ref="F326:G326"/>
    <mergeCell ref="F336:G336"/>
    <mergeCell ref="F337:G337"/>
    <mergeCell ref="O327:P327"/>
    <mergeCell ref="O333:P333"/>
    <mergeCell ref="L328:M328"/>
    <mergeCell ref="I336:J336"/>
    <mergeCell ref="O332:P332"/>
    <mergeCell ref="L333:M333"/>
    <mergeCell ref="I341:J341"/>
    <mergeCell ref="O337:P337"/>
    <mergeCell ref="F339:G339"/>
    <mergeCell ref="F340:G340"/>
    <mergeCell ref="O338:P338"/>
    <mergeCell ref="O336:P336"/>
    <mergeCell ref="I328:J328"/>
    <mergeCell ref="I329:J329"/>
    <mergeCell ref="I330:J330"/>
    <mergeCell ref="I331:J331"/>
    <mergeCell ref="I335:J335"/>
    <mergeCell ref="L337:M337"/>
    <mergeCell ref="O341:P341"/>
    <mergeCell ref="L334:M334"/>
    <mergeCell ref="F329:G329"/>
    <mergeCell ref="F330:G330"/>
    <mergeCell ref="R340:S340"/>
    <mergeCell ref="R341:S341"/>
    <mergeCell ref="R343:S343"/>
    <mergeCell ref="R344:S344"/>
    <mergeCell ref="R345:S345"/>
    <mergeCell ref="O345:P345"/>
    <mergeCell ref="O340:P340"/>
    <mergeCell ref="R339:S339"/>
    <mergeCell ref="F332:G332"/>
    <mergeCell ref="O343:P343"/>
    <mergeCell ref="R338:S338"/>
    <mergeCell ref="R336:S336"/>
    <mergeCell ref="R337:S337"/>
    <mergeCell ref="R334:S334"/>
    <mergeCell ref="F341:G341"/>
    <mergeCell ref="O342:P342"/>
    <mergeCell ref="O335:P335"/>
    <mergeCell ref="O334:P334"/>
    <mergeCell ref="O339:P339"/>
    <mergeCell ref="O344:P344"/>
    <mergeCell ref="R335:S335"/>
    <mergeCell ref="R333:S333"/>
    <mergeCell ref="I337:J337"/>
    <mergeCell ref="I338:J338"/>
    <mergeCell ref="R346:S346"/>
    <mergeCell ref="R342:S342"/>
    <mergeCell ref="F342:G342"/>
    <mergeCell ref="F343:G343"/>
    <mergeCell ref="F344:G344"/>
    <mergeCell ref="F345:G345"/>
    <mergeCell ref="F346:G346"/>
    <mergeCell ref="O346:P346"/>
    <mergeCell ref="L345:M345"/>
    <mergeCell ref="L346:M346"/>
    <mergeCell ref="I344:J344"/>
    <mergeCell ref="I346:J346"/>
    <mergeCell ref="I345:J345"/>
  </mergeCells>
  <phoneticPr fontId="8" type="noConversion"/>
  <pageMargins left="0.39370078740157483" right="0.39370078740157483" top="0.39370078740157483" bottom="0.39370078740157483" header="0" footer="0"/>
  <pageSetup scale="44" firstPageNumber="0" fitToHeight="3" orientation="landscape" horizontalDpi="300" verticalDpi="300" r:id="rId1"/>
  <headerFooter alignWithMargins="0"/>
  <ignoredErrors>
    <ignoredError sqref="R317:S318 C317:D324 F317:G321 O322:P339 O342:P342 R334:S339 O340:O341 O317:P319 O320:P321 P341 M32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pageSetUpPr fitToPage="1"/>
  </sheetPr>
  <dimension ref="A1:IN1075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219" sqref="B219"/>
    </sheetView>
  </sheetViews>
  <sheetFormatPr baseColWidth="10" defaultColWidth="11.453125" defaultRowHeight="12.5" x14ac:dyDescent="0.25"/>
  <cols>
    <col min="1" max="1" width="4.453125" style="7" bestFit="1" customWidth="1"/>
    <col min="2" max="2" width="6" style="7" bestFit="1" customWidth="1"/>
    <col min="3" max="3" width="1.453125" style="8" customWidth="1"/>
    <col min="4" max="4" width="7.1796875" style="7" customWidth="1"/>
    <col min="5" max="6" width="7.453125" style="7" customWidth="1"/>
    <col min="7" max="7" width="7.1796875" style="7" customWidth="1"/>
    <col min="8" max="8" width="7.453125" style="7" customWidth="1"/>
    <col min="9" max="9" width="7.1796875" style="7" customWidth="1"/>
    <col min="10" max="12" width="7.453125" style="7" bestFit="1" customWidth="1"/>
    <col min="13" max="13" width="5.6328125" style="7" customWidth="1"/>
    <col min="14" max="14" width="6.453125" style="7" customWidth="1"/>
    <col min="15" max="15" width="1.453125" style="8" customWidth="1"/>
    <col min="16" max="16" width="4" style="7" customWidth="1"/>
    <col min="17" max="17" width="8.453125" style="7" customWidth="1"/>
    <col min="18" max="18" width="5.6328125" style="7" customWidth="1"/>
    <col min="19" max="19" width="5.36328125" style="7" customWidth="1"/>
    <col min="20" max="20" width="6" style="7" customWidth="1"/>
    <col min="21" max="21" width="8.6328125" style="7" customWidth="1"/>
    <col min="22" max="22" width="6.6328125" style="7" customWidth="1"/>
    <col min="23" max="23" width="7.1796875" style="7" customWidth="1"/>
    <col min="24" max="24" width="1.453125" style="8" customWidth="1"/>
    <col min="25" max="25" width="15.6328125" style="7" customWidth="1"/>
    <col min="26" max="26" width="5.6328125" style="7" customWidth="1"/>
    <col min="27" max="27" width="7.6328125" style="7" customWidth="1"/>
    <col min="28" max="28" width="1.453125" style="7" customWidth="1"/>
    <col min="29" max="29" width="7.36328125" style="7" bestFit="1" customWidth="1"/>
    <col min="30" max="31" width="6.6328125" style="7" bestFit="1" customWidth="1"/>
    <col min="32" max="32" width="1.81640625" style="7" customWidth="1"/>
    <col min="33" max="238" width="11.453125" style="7" customWidth="1"/>
    <col min="239" max="239" width="11" style="7" customWidth="1"/>
  </cols>
  <sheetData>
    <row r="1" spans="1:248" ht="13" thickBot="1" x14ac:dyDescent="0.3">
      <c r="D1" s="646" t="s">
        <v>266</v>
      </c>
      <c r="E1" s="647"/>
      <c r="F1" s="647"/>
      <c r="G1" s="647"/>
      <c r="H1" s="647"/>
      <c r="I1" s="647"/>
      <c r="J1" s="647"/>
      <c r="K1" s="647"/>
      <c r="L1" s="647"/>
      <c r="M1" s="647"/>
      <c r="N1" s="648"/>
      <c r="P1" s="646" t="s">
        <v>17</v>
      </c>
      <c r="Q1" s="647"/>
      <c r="R1" s="647"/>
      <c r="S1" s="647"/>
      <c r="T1" s="647"/>
      <c r="U1" s="647"/>
      <c r="V1" s="647"/>
      <c r="W1" s="648"/>
      <c r="Y1" s="9"/>
      <c r="Z1" s="9"/>
      <c r="AA1" s="9"/>
      <c r="AC1" s="653" t="s">
        <v>186</v>
      </c>
      <c r="AD1" s="653"/>
      <c r="AE1" s="653"/>
      <c r="AG1" s="649" t="s">
        <v>18</v>
      </c>
      <c r="AH1" s="649"/>
    </row>
    <row r="2" spans="1:248" s="12" customFormat="1" x14ac:dyDescent="0.25">
      <c r="A2" s="330" t="s">
        <v>19</v>
      </c>
      <c r="B2" s="331" t="s">
        <v>2</v>
      </c>
      <c r="C2" s="10"/>
      <c r="D2" s="334" t="s">
        <v>193</v>
      </c>
      <c r="E2" s="335" t="s">
        <v>194</v>
      </c>
      <c r="F2" s="331" t="s">
        <v>195</v>
      </c>
      <c r="G2" s="334" t="s">
        <v>190</v>
      </c>
      <c r="H2" s="335" t="s">
        <v>191</v>
      </c>
      <c r="I2" s="331" t="s">
        <v>192</v>
      </c>
      <c r="J2" s="334" t="s">
        <v>187</v>
      </c>
      <c r="K2" s="335" t="s">
        <v>188</v>
      </c>
      <c r="L2" s="331" t="s">
        <v>189</v>
      </c>
      <c r="M2" s="330" t="s">
        <v>20</v>
      </c>
      <c r="N2" s="331" t="s">
        <v>21</v>
      </c>
      <c r="O2" s="10"/>
      <c r="P2" s="330" t="s">
        <v>26</v>
      </c>
      <c r="Q2" s="331" t="s">
        <v>25</v>
      </c>
      <c r="R2" s="330" t="s">
        <v>22</v>
      </c>
      <c r="S2" s="335" t="s">
        <v>39</v>
      </c>
      <c r="T2" s="331" t="s">
        <v>27</v>
      </c>
      <c r="U2" s="338" t="s">
        <v>28</v>
      </c>
      <c r="V2" s="330" t="s">
        <v>24</v>
      </c>
      <c r="W2" s="331" t="s">
        <v>23</v>
      </c>
      <c r="X2" s="11"/>
      <c r="Y2" s="650" t="s">
        <v>185</v>
      </c>
      <c r="Z2" s="651"/>
      <c r="AA2" s="652"/>
      <c r="AC2" s="330" t="s">
        <v>11</v>
      </c>
      <c r="AD2" s="335" t="s">
        <v>3</v>
      </c>
      <c r="AE2" s="331" t="s">
        <v>29</v>
      </c>
      <c r="AG2" s="345" t="s">
        <v>31</v>
      </c>
      <c r="AH2" s="346" t="s">
        <v>30</v>
      </c>
      <c r="IF2"/>
      <c r="IG2"/>
      <c r="IH2"/>
      <c r="II2"/>
      <c r="IJ2"/>
      <c r="IK2"/>
      <c r="IL2"/>
      <c r="IM2"/>
      <c r="IN2"/>
    </row>
    <row r="3" spans="1:248" s="12" customFormat="1" x14ac:dyDescent="0.25">
      <c r="A3" s="332" t="s">
        <v>154</v>
      </c>
      <c r="B3" s="333" t="s">
        <v>154</v>
      </c>
      <c r="C3" s="10"/>
      <c r="D3" s="336" t="s">
        <v>7</v>
      </c>
      <c r="E3" s="337" t="s">
        <v>7</v>
      </c>
      <c r="F3" s="333" t="s">
        <v>7</v>
      </c>
      <c r="G3" s="336" t="s">
        <v>155</v>
      </c>
      <c r="H3" s="337" t="s">
        <v>155</v>
      </c>
      <c r="I3" s="333" t="s">
        <v>155</v>
      </c>
      <c r="J3" s="336" t="s">
        <v>39</v>
      </c>
      <c r="K3" s="337" t="s">
        <v>39</v>
      </c>
      <c r="L3" s="333" t="s">
        <v>39</v>
      </c>
      <c r="M3" s="332" t="s">
        <v>244</v>
      </c>
      <c r="N3" s="333" t="s">
        <v>156</v>
      </c>
      <c r="O3" s="10"/>
      <c r="P3" s="336" t="s">
        <v>14</v>
      </c>
      <c r="Q3" s="339" t="s">
        <v>227</v>
      </c>
      <c r="R3" s="336" t="s">
        <v>245</v>
      </c>
      <c r="S3" s="340" t="s">
        <v>228</v>
      </c>
      <c r="T3" s="339" t="s">
        <v>227</v>
      </c>
      <c r="U3" s="341" t="s">
        <v>227</v>
      </c>
      <c r="V3" s="336" t="s">
        <v>8</v>
      </c>
      <c r="W3" s="339" t="s">
        <v>227</v>
      </c>
      <c r="X3" s="11"/>
      <c r="Y3" s="342"/>
      <c r="Z3" s="343"/>
      <c r="AA3" s="344"/>
      <c r="AC3" s="336" t="s">
        <v>154</v>
      </c>
      <c r="AD3" s="340" t="s">
        <v>39</v>
      </c>
      <c r="AE3" s="339" t="s">
        <v>39</v>
      </c>
      <c r="AG3" s="342" t="s">
        <v>7</v>
      </c>
      <c r="AH3" s="339" t="s">
        <v>7</v>
      </c>
      <c r="IF3"/>
      <c r="IG3"/>
      <c r="IH3"/>
      <c r="II3"/>
      <c r="IJ3"/>
      <c r="IK3"/>
      <c r="IL3"/>
      <c r="IM3"/>
      <c r="IN3"/>
    </row>
    <row r="4" spans="1:248" x14ac:dyDescent="0.25">
      <c r="A4" s="292" t="s">
        <v>14</v>
      </c>
      <c r="B4" s="349">
        <f>T_ini</f>
        <v>5.7</v>
      </c>
      <c r="D4" s="292" t="s">
        <v>14</v>
      </c>
      <c r="E4" s="293" t="s">
        <v>14</v>
      </c>
      <c r="F4" s="294" t="s">
        <v>14</v>
      </c>
      <c r="G4" s="292">
        <f>vit_xz*COS(Beta)</f>
        <v>25.613697414538844</v>
      </c>
      <c r="H4" s="293">
        <f>vit_xz*SIN(Beta)</f>
        <v>192.7354752108611</v>
      </c>
      <c r="I4" s="349">
        <f>V_ini</f>
        <v>194.43</v>
      </c>
      <c r="J4" s="350">
        <f>X_ini</f>
        <v>105.52</v>
      </c>
      <c r="K4" s="351">
        <f>Z_ini</f>
        <v>883.12</v>
      </c>
      <c r="L4" s="327">
        <f t="shared" ref="L4:L67" si="0">SQRT(pos_x^2+pos_z^2)</f>
        <v>889.40171171411623</v>
      </c>
      <c r="M4" s="292">
        <f>RADIANS(N4)</f>
        <v>1.438674902418926</v>
      </c>
      <c r="N4" s="349">
        <f>Beta_rampe</f>
        <v>82.43</v>
      </c>
      <c r="P4" s="292" t="s">
        <v>14</v>
      </c>
      <c r="Q4" s="294" t="s">
        <v>14</v>
      </c>
      <c r="R4" s="292" t="s">
        <v>14</v>
      </c>
      <c r="S4" s="351">
        <f ca="1">m_tot</f>
        <v>2.1598999999999999</v>
      </c>
      <c r="T4" s="327">
        <f t="shared" ref="T4:T67" ca="1" si="1">m*g</f>
        <v>21.188618999999999</v>
      </c>
      <c r="U4" s="328">
        <f t="shared" ref="U4:U67" si="2">IF(pos_xz&lt;L_rampe,Poids*COS(Beta),0)</f>
        <v>0</v>
      </c>
      <c r="V4" s="329">
        <f t="shared" ref="V4:V67" si="3">Rho_moyen*(20000-Alt_rampe-pos_z)/(20000+Alt_rampe+pos_z)</f>
        <v>1.1213926846180076</v>
      </c>
      <c r="W4" s="327">
        <f t="shared" ref="W4:W67" si="4">1/2*Rho*Sref*Cx*vit_xz^2</f>
        <v>46.811308605722971</v>
      </c>
      <c r="Y4" s="295" t="s">
        <v>14</v>
      </c>
      <c r="Z4" s="296" t="s">
        <v>14</v>
      </c>
      <c r="AA4" s="297" t="s">
        <v>14</v>
      </c>
      <c r="AC4" s="320">
        <f>IF(ABS(t-ROUND(t,0))&lt;0.001,t,-1)</f>
        <v>-1</v>
      </c>
      <c r="AD4" s="321">
        <f>IF(ABS(t-ROUND(t,0))&lt;0.001,pos_x,-1)</f>
        <v>-1</v>
      </c>
      <c r="AE4" s="322">
        <f t="shared" ref="AE4:AE67" si="5">IF(t&lt;T_para, pos_z, NA())</f>
        <v>883.12</v>
      </c>
      <c r="AG4" s="292" t="s">
        <v>14</v>
      </c>
      <c r="AH4" s="294" t="s">
        <v>14</v>
      </c>
    </row>
    <row r="5" spans="1:248" x14ac:dyDescent="0.25">
      <c r="A5" s="347">
        <f t="shared" ref="A5:A68" ca="1" si="6">IF(B4+0.01&lt;=T_ini+ROUNDUP(Temps_fin_propu,0), 0.01, IF(K4&gt;0, 0.1, 0.0001))</f>
        <v>0.01</v>
      </c>
      <c r="B5" s="304">
        <f t="shared" ref="B5:B68" ca="1" si="7">B4+pas</f>
        <v>5.71</v>
      </c>
      <c r="D5" s="306">
        <f t="shared" ref="D5:D68" ca="1" si="8">IF(AND(L4&lt;L_rampe,Poussee&lt;Poids*SIN(M4)),0,(-W4+Poussee)/m*COS(M4)-U4/m*SIN(M4))</f>
        <v>0.95703711082795218</v>
      </c>
      <c r="E5" s="307">
        <f t="shared" ref="E5:E68" ca="1" si="9">IF(AND(L4&lt;L_rampe,Poussee&lt;Poids*SIN(M4)),0,(-W4+Poussee)/m*SIN(M4)+U4/m*COS(M4)-Poids/m)</f>
        <v>-2.6085796285250664</v>
      </c>
      <c r="F5" s="304">
        <f t="shared" ref="F5:F68" ca="1" si="10">SQRT(acc_x^2+acc_z^2)</f>
        <v>2.7785981555197736</v>
      </c>
      <c r="G5" s="306">
        <f t="shared" ref="G5:G68" ca="1" si="11">G4+acc_x*pas</f>
        <v>25.623267785647123</v>
      </c>
      <c r="H5" s="307">
        <f t="shared" ref="H5:H68" ca="1" si="12">H4+acc_z*pas</f>
        <v>192.70938941457584</v>
      </c>
      <c r="I5" s="304">
        <f t="shared" ref="I5:I68" ca="1" si="13">SQRT(vit_x^2+vit_z^2)</f>
        <v>194.40540275556543</v>
      </c>
      <c r="J5" s="306">
        <f t="shared" ref="J5:J68" ca="1" si="14">J4+0.5*(vit_x+G4)*pas*(K4&gt;=0)</f>
        <v>105.77618482600093</v>
      </c>
      <c r="K5" s="307">
        <f t="shared" ref="K5:K68" ca="1" si="15">K4+0.5*(vit_z+H4)*pas</f>
        <v>885.04722432312724</v>
      </c>
      <c r="L5" s="304">
        <f t="shared" ca="1" si="0"/>
        <v>891.34571887591187</v>
      </c>
      <c r="M5" s="306">
        <f t="shared" ref="M5:M68" ca="1" si="16">IF(AND(L4&gt;L_rampe,G5&gt;0),ATAN2(G5,H5),$M$4)</f>
        <v>1.4386084256846963</v>
      </c>
      <c r="N5" s="304">
        <f t="shared" ref="N5:N68" ca="1" si="17">DEGREES(Beta)</f>
        <v>82.426191163692835</v>
      </c>
      <c r="P5" s="310">
        <f t="shared" ref="P5:P68" ca="1" si="18">MATCH(t-pas/2-T_ini,CdP_t)</f>
        <v>1</v>
      </c>
      <c r="Q5" s="304">
        <f t="shared" ref="Q5:Q68" ca="1" si="19">(INDEX(CdP,2,i_P+1)-INDEX(CdP,2,i_P+0))/(INDEX(CdP,1,i_P+1)-INDEX(CdP,1,i_P+0))*(t-pas/2-T_ini-INDEX(CdP,1,i_P+0))+INDEX(CdP,2,i_P+0)</f>
        <v>62.499999999998664</v>
      </c>
      <c r="R5" s="306">
        <f t="shared" ref="R5:R68" ca="1" si="20">Poussee/(g*ISP)</f>
        <v>3.3171861836562053E-2</v>
      </c>
      <c r="S5" s="307">
        <f t="shared" ref="S5:S68" ca="1" si="21">S4-Débit*pas</f>
        <v>2.1595682813816341</v>
      </c>
      <c r="T5" s="304">
        <f t="shared" ca="1" si="1"/>
        <v>21.185364840353831</v>
      </c>
      <c r="U5" s="311">
        <f t="shared" ca="1" si="2"/>
        <v>0</v>
      </c>
      <c r="V5" s="306">
        <f t="shared" ca="1" si="3"/>
        <v>1.1211761648752061</v>
      </c>
      <c r="W5" s="304">
        <f t="shared" ca="1" si="4"/>
        <v>46.790429110671752</v>
      </c>
      <c r="Y5" s="314" t="str">
        <f t="shared" ref="Y5:Y68" ca="1" si="22">IF(AND(pos_z&lt;=0,K4&gt;0),"Impact balistique","") &amp; IF(AND(H6&lt;0,vit_z&gt;=0),"Apogée","") &amp; IF(AND(Poussee=0,Q4&gt;0),"Fin de propulsion","") &amp; IF(AND(L6&gt;L_rampe,pos_xz&lt;=L_rampe),"Sortie de rampe","")</f>
        <v/>
      </c>
      <c r="Z5" s="315" t="str">
        <f t="shared" ref="Z5:Z68" ca="1" si="23">IF(ABS(t-T_para)&lt;pas/2,"Para","")</f>
        <v/>
      </c>
      <c r="AA5" s="316" t="str">
        <f t="shared" ref="AA5:AA68" ca="1" si="24">IF(ABS(t-T_satellite)&lt;pas/2,"Satellite","")</f>
        <v/>
      </c>
      <c r="AC5" s="310" t="e">
        <f t="shared" ref="AC5:AC68" ca="1" si="25">IF(ABS(t-ROUND(t,0))&lt;0.001,t,NA())</f>
        <v>#N/A</v>
      </c>
      <c r="AD5" s="323" t="e">
        <f t="shared" ref="AD5:AD68" ca="1" si="26">IF(ABS(t-ROUND(t,0))&lt;0.001,pos_x,NA())</f>
        <v>#N/A</v>
      </c>
      <c r="AE5" s="324">
        <f t="shared" ca="1" si="5"/>
        <v>885.04722432312724</v>
      </c>
      <c r="AG5" s="306">
        <f t="shared" ref="AG5:AG68" ca="1" si="27">IF(AND(L4&lt;L_rampe,Poussee&lt;Poids*SIN(M4)),0,(-W4+Poussee)/m-Poids*SIN(M4)/m)</f>
        <v>-2.4597673988474957</v>
      </c>
      <c r="AH5" s="304">
        <f t="shared" ref="AH5:AH68" ca="1" si="28">IF(AND(L4&lt;L_rampe,Poussee&lt;Poids*SIN(M4)), g*SIN(M4), (-W4+Poussee)/m)</f>
        <v>7.2647350535443538</v>
      </c>
    </row>
    <row r="6" spans="1:248" x14ac:dyDescent="0.25">
      <c r="A6" s="347">
        <f t="shared" ca="1" si="6"/>
        <v>0.01</v>
      </c>
      <c r="B6" s="304">
        <f t="shared" ca="1" si="7"/>
        <v>5.72</v>
      </c>
      <c r="D6" s="306">
        <f t="shared" ca="1" si="8"/>
        <v>8.5917782176905604</v>
      </c>
      <c r="E6" s="307">
        <f t="shared" ca="1" si="9"/>
        <v>54.807688429422342</v>
      </c>
      <c r="F6" s="304">
        <f t="shared" ca="1" si="10"/>
        <v>55.477034563129074</v>
      </c>
      <c r="G6" s="306">
        <f t="shared" ca="1" si="11"/>
        <v>25.709185567824029</v>
      </c>
      <c r="H6" s="307">
        <f t="shared" ca="1" si="12"/>
        <v>193.25746629887007</v>
      </c>
      <c r="I6" s="304">
        <f t="shared" ca="1" si="13"/>
        <v>194.9600228324251</v>
      </c>
      <c r="J6" s="306">
        <f t="shared" ca="1" si="14"/>
        <v>106.03284709276828</v>
      </c>
      <c r="K6" s="307">
        <f t="shared" ca="1" si="15"/>
        <v>886.97705860169447</v>
      </c>
      <c r="L6" s="304">
        <f t="shared" ca="1" si="0"/>
        <v>893.29237495251914</v>
      </c>
      <c r="M6" s="306">
        <f t="shared" ca="1" si="16"/>
        <v>1.4385421049046359</v>
      </c>
      <c r="N6" s="304">
        <f t="shared" ca="1" si="17"/>
        <v>82.422391262901357</v>
      </c>
      <c r="P6" s="310">
        <f t="shared" ca="1" si="18"/>
        <v>1</v>
      </c>
      <c r="Q6" s="304">
        <f t="shared" ca="1" si="19"/>
        <v>187.49999999999599</v>
      </c>
      <c r="R6" s="306">
        <f t="shared" ca="1" si="20"/>
        <v>9.9515585509686158E-2</v>
      </c>
      <c r="S6" s="307">
        <f t="shared" ca="1" si="21"/>
        <v>2.1585731255265372</v>
      </c>
      <c r="T6" s="304">
        <f t="shared" ca="1" si="1"/>
        <v>21.175602361415333</v>
      </c>
      <c r="U6" s="311">
        <f t="shared" ca="1" si="2"/>
        <v>0</v>
      </c>
      <c r="V6" s="306">
        <f t="shared" ca="1" si="3"/>
        <v>1.120959391946609</v>
      </c>
      <c r="W6" s="304">
        <f t="shared" ca="1" si="4"/>
        <v>47.048688855213271</v>
      </c>
      <c r="Y6" s="314" t="str">
        <f t="shared" ca="1" si="22"/>
        <v/>
      </c>
      <c r="Z6" s="315" t="str">
        <f t="shared" ca="1" si="23"/>
        <v/>
      </c>
      <c r="AA6" s="316" t="str">
        <f t="shared" ca="1" si="24"/>
        <v/>
      </c>
      <c r="AC6" s="310" t="e">
        <f t="shared" ca="1" si="25"/>
        <v>#N/A</v>
      </c>
      <c r="AD6" s="323" t="e">
        <f t="shared" ca="1" si="26"/>
        <v>#N/A</v>
      </c>
      <c r="AE6" s="324">
        <f t="shared" ca="1" si="5"/>
        <v>886.97705860169447</v>
      </c>
      <c r="AG6" s="306">
        <f t="shared" ca="1" si="27"/>
        <v>55.461964809907514</v>
      </c>
      <c r="AH6" s="304">
        <f t="shared" ca="1" si="28"/>
        <v>65.186381330028468</v>
      </c>
    </row>
    <row r="7" spans="1:248" x14ac:dyDescent="0.25">
      <c r="A7" s="347">
        <f t="shared" ca="1" si="6"/>
        <v>0.01</v>
      </c>
      <c r="B7" s="304">
        <f t="shared" ca="1" si="7"/>
        <v>5.7299999999999995</v>
      </c>
      <c r="D7" s="306">
        <f t="shared" ca="1" si="8"/>
        <v>11.794514759903819</v>
      </c>
      <c r="E7" s="307">
        <f t="shared" ca="1" si="9"/>
        <v>78.850064034714592</v>
      </c>
      <c r="F7" s="304">
        <f t="shared" ca="1" si="10"/>
        <v>79.727305088659435</v>
      </c>
      <c r="G7" s="306">
        <f t="shared" ca="1" si="11"/>
        <v>25.827130715423067</v>
      </c>
      <c r="H7" s="307">
        <f t="shared" ca="1" si="12"/>
        <v>194.04596693921721</v>
      </c>
      <c r="I7" s="304">
        <f t="shared" ca="1" si="13"/>
        <v>195.7571913528781</v>
      </c>
      <c r="J7" s="306">
        <f t="shared" ca="1" si="14"/>
        <v>106.29052867418451</v>
      </c>
      <c r="K7" s="307">
        <f t="shared" ca="1" si="15"/>
        <v>888.91357576788494</v>
      </c>
      <c r="L7" s="304">
        <f t="shared" ca="1" si="0"/>
        <v>895.24578841248115</v>
      </c>
      <c r="M7" s="306">
        <f t="shared" ca="1" si="16"/>
        <v>1.4384760212528125</v>
      </c>
      <c r="N7" s="304">
        <f t="shared" ca="1" si="17"/>
        <v>82.418604948557061</v>
      </c>
      <c r="P7" s="310">
        <f t="shared" ca="1" si="18"/>
        <v>2</v>
      </c>
      <c r="Q7" s="304">
        <f t="shared" ca="1" si="19"/>
        <v>240.00000000000108</v>
      </c>
      <c r="R7" s="306">
        <f t="shared" ca="1" si="20"/>
        <v>0.12737994945240158</v>
      </c>
      <c r="S7" s="307">
        <f t="shared" ca="1" si="21"/>
        <v>2.157299326032013</v>
      </c>
      <c r="T7" s="304">
        <f t="shared" ca="1" si="1"/>
        <v>21.16310638837405</v>
      </c>
      <c r="U7" s="311">
        <f t="shared" ca="1" si="2"/>
        <v>0</v>
      </c>
      <c r="V7" s="306">
        <f t="shared" ca="1" si="3"/>
        <v>1.1207419086094688</v>
      </c>
      <c r="W7" s="304">
        <f t="shared" ca="1" si="4"/>
        <v>47.425025561639401</v>
      </c>
      <c r="Y7" s="314" t="str">
        <f t="shared" ca="1" si="22"/>
        <v/>
      </c>
      <c r="Z7" s="315" t="str">
        <f t="shared" ca="1" si="23"/>
        <v/>
      </c>
      <c r="AA7" s="316" t="str">
        <f t="shared" ca="1" si="24"/>
        <v/>
      </c>
      <c r="AC7" s="310" t="e">
        <f t="shared" ca="1" si="25"/>
        <v>#N/A</v>
      </c>
      <c r="AD7" s="323" t="e">
        <f t="shared" ca="1" si="26"/>
        <v>#N/A</v>
      </c>
      <c r="AE7" s="324">
        <f t="shared" ca="1" si="5"/>
        <v>888.91357576788494</v>
      </c>
      <c r="AG7" s="306">
        <f t="shared" ca="1" si="27"/>
        <v>79.716809301237859</v>
      </c>
      <c r="AH7" s="304">
        <f t="shared" ca="1" si="28"/>
        <v>89.441140047862106</v>
      </c>
    </row>
    <row r="8" spans="1:248" x14ac:dyDescent="0.25">
      <c r="A8" s="347">
        <f t="shared" ca="1" si="6"/>
        <v>0.01</v>
      </c>
      <c r="B8" s="304">
        <f t="shared" ca="1" si="7"/>
        <v>5.7399999999999993</v>
      </c>
      <c r="D8" s="306">
        <f t="shared" ca="1" si="8"/>
        <v>10.559928387203177</v>
      </c>
      <c r="E8" s="307">
        <f t="shared" ca="1" si="9"/>
        <v>69.529495249469164</v>
      </c>
      <c r="F8" s="304">
        <f t="shared" ca="1" si="10"/>
        <v>70.326828431181326</v>
      </c>
      <c r="G8" s="306">
        <f t="shared" ca="1" si="11"/>
        <v>25.932729999295098</v>
      </c>
      <c r="H8" s="307">
        <f t="shared" ca="1" si="12"/>
        <v>194.7412618917119</v>
      </c>
      <c r="I8" s="304">
        <f t="shared" ca="1" si="13"/>
        <v>196.46034095560526</v>
      </c>
      <c r="J8" s="306">
        <f t="shared" ca="1" si="14"/>
        <v>106.54932797775811</v>
      </c>
      <c r="K8" s="307">
        <f t="shared" ca="1" si="15"/>
        <v>890.85751191203963</v>
      </c>
      <c r="L8" s="304">
        <f t="shared" ca="1" si="0"/>
        <v>897.20670183777702</v>
      </c>
      <c r="M8" s="306">
        <f t="shared" ca="1" si="16"/>
        <v>1.4384101414107189</v>
      </c>
      <c r="N8" s="304">
        <f t="shared" ca="1" si="17"/>
        <v>82.414830311650107</v>
      </c>
      <c r="P8" s="310">
        <f t="shared" ca="1" si="18"/>
        <v>2</v>
      </c>
      <c r="Q8" s="304">
        <f t="shared" ca="1" si="19"/>
        <v>220.00000000000148</v>
      </c>
      <c r="R8" s="306">
        <f t="shared" ca="1" si="20"/>
        <v>0.1167649536647017</v>
      </c>
      <c r="S8" s="307">
        <f t="shared" ca="1" si="21"/>
        <v>2.1561316764953662</v>
      </c>
      <c r="T8" s="304">
        <f t="shared" ca="1" si="1"/>
        <v>21.151651746419542</v>
      </c>
      <c r="U8" s="311">
        <f t="shared" ca="1" si="2"/>
        <v>0</v>
      </c>
      <c r="V8" s="306">
        <f t="shared" ca="1" si="3"/>
        <v>1.1205236326254215</v>
      </c>
      <c r="W8" s="304">
        <f t="shared" ca="1" si="4"/>
        <v>47.757030887555601</v>
      </c>
      <c r="Y8" s="314" t="str">
        <f t="shared" ca="1" si="22"/>
        <v/>
      </c>
      <c r="Z8" s="315" t="str">
        <f t="shared" ca="1" si="23"/>
        <v/>
      </c>
      <c r="AA8" s="316" t="str">
        <f t="shared" ca="1" si="24"/>
        <v/>
      </c>
      <c r="AC8" s="310" t="e">
        <f t="shared" ca="1" si="25"/>
        <v>#N/A</v>
      </c>
      <c r="AD8" s="323" t="e">
        <f t="shared" ca="1" si="26"/>
        <v>#N/A</v>
      </c>
      <c r="AE8" s="324">
        <f t="shared" ca="1" si="5"/>
        <v>890.85751191203963</v>
      </c>
      <c r="AG8" s="306">
        <f t="shared" ca="1" si="27"/>
        <v>70.314917639312497</v>
      </c>
      <c r="AH8" s="304">
        <f t="shared" ca="1" si="28"/>
        <v>80.039162876578118</v>
      </c>
    </row>
    <row r="9" spans="1:248" x14ac:dyDescent="0.25">
      <c r="A9" s="347">
        <f t="shared" ca="1" si="6"/>
        <v>0.01</v>
      </c>
      <c r="B9" s="304">
        <f t="shared" ca="1" si="7"/>
        <v>5.7499999999999991</v>
      </c>
      <c r="D9" s="306">
        <f t="shared" ca="1" si="8"/>
        <v>9.9113477311427385</v>
      </c>
      <c r="E9" s="307">
        <f t="shared" ca="1" si="9"/>
        <v>64.619046392830867</v>
      </c>
      <c r="F9" s="304">
        <f t="shared" ca="1" si="10"/>
        <v>65.374734955993944</v>
      </c>
      <c r="G9" s="306">
        <f t="shared" ca="1" si="11"/>
        <v>26.031843476606525</v>
      </c>
      <c r="H9" s="307">
        <f t="shared" ca="1" si="12"/>
        <v>195.38745235564022</v>
      </c>
      <c r="I9" s="304">
        <f t="shared" ca="1" si="13"/>
        <v>197.11396047164726</v>
      </c>
      <c r="J9" s="306">
        <f t="shared" ca="1" si="14"/>
        <v>106.80915084513762</v>
      </c>
      <c r="K9" s="307">
        <f t="shared" ca="1" si="15"/>
        <v>892.80815548327644</v>
      </c>
      <c r="L9" s="304">
        <f t="shared" ca="1" si="0"/>
        <v>899.17439754572069</v>
      </c>
      <c r="M9" s="306">
        <f t="shared" ca="1" si="16"/>
        <v>1.4383444475222795</v>
      </c>
      <c r="N9" s="304">
        <f t="shared" ca="1" si="17"/>
        <v>82.411066329102738</v>
      </c>
      <c r="P9" s="310">
        <f t="shared" ca="1" si="18"/>
        <v>3</v>
      </c>
      <c r="Q9" s="304">
        <f t="shared" ca="1" si="19"/>
        <v>209.56896551724145</v>
      </c>
      <c r="R9" s="306">
        <f t="shared" ca="1" si="20"/>
        <v>0.11122868430990909</v>
      </c>
      <c r="S9" s="307">
        <f t="shared" ca="1" si="21"/>
        <v>2.1550193896522671</v>
      </c>
      <c r="T9" s="304">
        <f t="shared" ca="1" si="1"/>
        <v>21.14074021248874</v>
      </c>
      <c r="U9" s="311">
        <f t="shared" ca="1" si="2"/>
        <v>0</v>
      </c>
      <c r="V9" s="306">
        <f t="shared" ca="1" si="3"/>
        <v>1.1203046443227906</v>
      </c>
      <c r="W9" s="304">
        <f t="shared" ca="1" si="4"/>
        <v>48.065937270658807</v>
      </c>
      <c r="Y9" s="314" t="str">
        <f t="shared" ca="1" si="22"/>
        <v/>
      </c>
      <c r="Z9" s="315" t="str">
        <f t="shared" ca="1" si="23"/>
        <v/>
      </c>
      <c r="AA9" s="316" t="str">
        <f t="shared" ca="1" si="24"/>
        <v/>
      </c>
      <c r="AC9" s="310" t="e">
        <f t="shared" ca="1" si="25"/>
        <v>#N/A</v>
      </c>
      <c r="AD9" s="323" t="e">
        <f t="shared" ca="1" si="26"/>
        <v>#N/A</v>
      </c>
      <c r="AE9" s="324">
        <f t="shared" ca="1" si="5"/>
        <v>892.80815548327644</v>
      </c>
      <c r="AG9" s="306">
        <f t="shared" ca="1" si="27"/>
        <v>65.361909070093361</v>
      </c>
      <c r="AH9" s="304">
        <f t="shared" ca="1" si="28"/>
        <v>75.086069019451259</v>
      </c>
    </row>
    <row r="10" spans="1:248" x14ac:dyDescent="0.25">
      <c r="A10" s="347">
        <f t="shared" ca="1" si="6"/>
        <v>0.01</v>
      </c>
      <c r="B10" s="304">
        <f t="shared" ca="1" si="7"/>
        <v>5.7599999999999989</v>
      </c>
      <c r="D10" s="306">
        <f t="shared" ca="1" si="8"/>
        <v>9.8495397727053575</v>
      </c>
      <c r="E10" s="307">
        <f t="shared" ca="1" si="9"/>
        <v>64.11778328564705</v>
      </c>
      <c r="F10" s="304">
        <f t="shared" ca="1" si="10"/>
        <v>64.869897234382179</v>
      </c>
      <c r="G10" s="306">
        <f t="shared" ca="1" si="11"/>
        <v>26.130338874333578</v>
      </c>
      <c r="H10" s="307">
        <f t="shared" ca="1" si="12"/>
        <v>196.02863018849669</v>
      </c>
      <c r="I10" s="304">
        <f t="shared" ca="1" si="13"/>
        <v>197.76253048357242</v>
      </c>
      <c r="J10" s="306">
        <f t="shared" ca="1" si="14"/>
        <v>107.06996175689233</v>
      </c>
      <c r="K10" s="307">
        <f t="shared" ca="1" si="15"/>
        <v>894.76523589599708</v>
      </c>
      <c r="L10" s="304">
        <f t="shared" ca="1" si="0"/>
        <v>901.14860266142659</v>
      </c>
      <c r="M10" s="306">
        <f t="shared" ca="1" si="16"/>
        <v>1.4382789367774069</v>
      </c>
      <c r="N10" s="304">
        <f t="shared" ca="1" si="17"/>
        <v>82.407312839908784</v>
      </c>
      <c r="P10" s="310">
        <f t="shared" ca="1" si="18"/>
        <v>3</v>
      </c>
      <c r="Q10" s="304">
        <f t="shared" ca="1" si="19"/>
        <v>208.70689655172424</v>
      </c>
      <c r="R10" s="306">
        <f t="shared" ca="1" si="20"/>
        <v>0.11077114138802549</v>
      </c>
      <c r="S10" s="307">
        <f t="shared" ca="1" si="21"/>
        <v>2.1539116782383867</v>
      </c>
      <c r="T10" s="304">
        <f t="shared" ca="1" si="1"/>
        <v>21.129873563518576</v>
      </c>
      <c r="U10" s="311">
        <f t="shared" ca="1" si="2"/>
        <v>0</v>
      </c>
      <c r="V10" s="306">
        <f t="shared" ca="1" si="3"/>
        <v>1.120084974480634</v>
      </c>
      <c r="W10" s="304">
        <f t="shared" ca="1" si="4"/>
        <v>48.373276338985086</v>
      </c>
      <c r="Y10" s="314" t="str">
        <f t="shared" ca="1" si="22"/>
        <v/>
      </c>
      <c r="Z10" s="315" t="str">
        <f t="shared" ca="1" si="23"/>
        <v/>
      </c>
      <c r="AA10" s="316" t="str">
        <f t="shared" ca="1" si="24"/>
        <v/>
      </c>
      <c r="AC10" s="310" t="e">
        <f t="shared" ca="1" si="25"/>
        <v>#N/A</v>
      </c>
      <c r="AD10" s="323" t="e">
        <f t="shared" ca="1" si="26"/>
        <v>#N/A</v>
      </c>
      <c r="AE10" s="324">
        <f t="shared" ca="1" si="5"/>
        <v>894.76523589599708</v>
      </c>
      <c r="AG10" s="306">
        <f t="shared" ca="1" si="27"/>
        <v>64.856958756060195</v>
      </c>
      <c r="AH10" s="304">
        <f t="shared" ca="1" si="28"/>
        <v>74.581033616219756</v>
      </c>
    </row>
    <row r="11" spans="1:248" x14ac:dyDescent="0.25">
      <c r="A11" s="347">
        <f t="shared" ca="1" si="6"/>
        <v>0.01</v>
      </c>
      <c r="B11" s="304">
        <f t="shared" ca="1" si="7"/>
        <v>5.7699999999999987</v>
      </c>
      <c r="D11" s="306">
        <f t="shared" ca="1" si="8"/>
        <v>9.7876592716395425</v>
      </c>
      <c r="E11" s="307">
        <f t="shared" ca="1" si="9"/>
        <v>63.616580841469201</v>
      </c>
      <c r="F11" s="304">
        <f t="shared" ca="1" si="10"/>
        <v>64.365111916137437</v>
      </c>
      <c r="G11" s="306">
        <f t="shared" ca="1" si="11"/>
        <v>26.228215467049974</v>
      </c>
      <c r="H11" s="307">
        <f t="shared" ca="1" si="12"/>
        <v>196.66479599691138</v>
      </c>
      <c r="I11" s="304">
        <f t="shared" ca="1" si="13"/>
        <v>198.40605149816568</v>
      </c>
      <c r="J11" s="306">
        <f t="shared" ca="1" si="14"/>
        <v>107.33175452859925</v>
      </c>
      <c r="K11" s="307">
        <f t="shared" ca="1" si="15"/>
        <v>896.72870302692411</v>
      </c>
      <c r="L11" s="304">
        <f t="shared" ca="1" si="0"/>
        <v>903.12926669582407</v>
      </c>
      <c r="M11" s="306">
        <f t="shared" ca="1" si="16"/>
        <v>1.438213606406342</v>
      </c>
      <c r="N11" s="304">
        <f t="shared" ca="1" si="17"/>
        <v>82.40356968537273</v>
      </c>
      <c r="P11" s="310">
        <f t="shared" ca="1" si="18"/>
        <v>3</v>
      </c>
      <c r="Q11" s="304">
        <f t="shared" ca="1" si="19"/>
        <v>207.844827586207</v>
      </c>
      <c r="R11" s="306">
        <f t="shared" ca="1" si="20"/>
        <v>0.11031359846614187</v>
      </c>
      <c r="S11" s="307">
        <f t="shared" ca="1" si="21"/>
        <v>2.1528085422537253</v>
      </c>
      <c r="T11" s="304">
        <f t="shared" ca="1" si="1"/>
        <v>21.119051799509048</v>
      </c>
      <c r="U11" s="311">
        <f t="shared" ca="1" si="2"/>
        <v>0</v>
      </c>
      <c r="V11" s="306">
        <f t="shared" ca="1" si="3"/>
        <v>1.1198646291178709</v>
      </c>
      <c r="W11" s="304">
        <f t="shared" ca="1" si="4"/>
        <v>48.679024557219044</v>
      </c>
      <c r="Y11" s="314" t="str">
        <f t="shared" ca="1" si="22"/>
        <v/>
      </c>
      <c r="Z11" s="315" t="str">
        <f t="shared" ca="1" si="23"/>
        <v/>
      </c>
      <c r="AA11" s="316" t="str">
        <f t="shared" ca="1" si="24"/>
        <v/>
      </c>
      <c r="AC11" s="310" t="e">
        <f t="shared" ca="1" si="25"/>
        <v>#N/A</v>
      </c>
      <c r="AD11" s="323" t="e">
        <f t="shared" ca="1" si="26"/>
        <v>#N/A</v>
      </c>
      <c r="AE11" s="324">
        <f t="shared" ca="1" si="5"/>
        <v>896.72870302692411</v>
      </c>
      <c r="AG11" s="306">
        <f t="shared" ca="1" si="27"/>
        <v>64.352059118906624</v>
      </c>
      <c r="AH11" s="304">
        <f t="shared" ca="1" si="28"/>
        <v>74.076049085291558</v>
      </c>
    </row>
    <row r="12" spans="1:248" x14ac:dyDescent="0.25">
      <c r="A12" s="347">
        <f t="shared" ca="1" si="6"/>
        <v>0.01</v>
      </c>
      <c r="B12" s="304">
        <f t="shared" ca="1" si="7"/>
        <v>5.7799999999999985</v>
      </c>
      <c r="D12" s="306">
        <f t="shared" ca="1" si="8"/>
        <v>9.7257085981931386</v>
      </c>
      <c r="E12" s="307">
        <f t="shared" ca="1" si="9"/>
        <v>63.115453117157656</v>
      </c>
      <c r="F12" s="304">
        <f t="shared" ca="1" si="10"/>
        <v>63.860393280350962</v>
      </c>
      <c r="G12" s="306">
        <f t="shared" ca="1" si="11"/>
        <v>26.325472553031904</v>
      </c>
      <c r="H12" s="307">
        <f t="shared" ca="1" si="12"/>
        <v>197.29595052808295</v>
      </c>
      <c r="I12" s="304">
        <f t="shared" ca="1" si="13"/>
        <v>199.0445241646205</v>
      </c>
      <c r="J12" s="306">
        <f t="shared" ca="1" si="14"/>
        <v>107.59452296869966</v>
      </c>
      <c r="K12" s="307">
        <f t="shared" ca="1" si="15"/>
        <v>898.6985067595491</v>
      </c>
      <c r="L12" s="304">
        <f t="shared" ca="1" si="0"/>
        <v>905.11633916569269</v>
      </c>
      <c r="M12" s="306">
        <f t="shared" ca="1" si="16"/>
        <v>1.4381484536787732</v>
      </c>
      <c r="N12" s="304">
        <f t="shared" ca="1" si="17"/>
        <v>82.399836709059272</v>
      </c>
      <c r="P12" s="310">
        <f t="shared" ca="1" si="18"/>
        <v>3</v>
      </c>
      <c r="Q12" s="304">
        <f t="shared" ca="1" si="19"/>
        <v>206.98275862068979</v>
      </c>
      <c r="R12" s="306">
        <f t="shared" ca="1" si="20"/>
        <v>0.10985605554425826</v>
      </c>
      <c r="S12" s="307">
        <f t="shared" ca="1" si="21"/>
        <v>2.1517099816982825</v>
      </c>
      <c r="T12" s="304">
        <f t="shared" ca="1" si="1"/>
        <v>21.108274920460154</v>
      </c>
      <c r="U12" s="311">
        <f t="shared" ca="1" si="2"/>
        <v>0</v>
      </c>
      <c r="V12" s="306">
        <f t="shared" ca="1" si="3"/>
        <v>1.1196436142495318</v>
      </c>
      <c r="W12" s="304">
        <f t="shared" ca="1" si="4"/>
        <v>48.983158683206092</v>
      </c>
      <c r="Y12" s="314" t="str">
        <f t="shared" ca="1" si="22"/>
        <v/>
      </c>
      <c r="Z12" s="315" t="str">
        <f t="shared" ca="1" si="23"/>
        <v/>
      </c>
      <c r="AA12" s="316" t="str">
        <f t="shared" ca="1" si="24"/>
        <v/>
      </c>
      <c r="AC12" s="310" t="e">
        <f t="shared" ca="1" si="25"/>
        <v>#N/A</v>
      </c>
      <c r="AD12" s="323" t="e">
        <f t="shared" ca="1" si="26"/>
        <v>#N/A</v>
      </c>
      <c r="AE12" s="324">
        <f t="shared" ca="1" si="5"/>
        <v>898.6985067595491</v>
      </c>
      <c r="AG12" s="306">
        <f t="shared" ca="1" si="27"/>
        <v>63.847224399497222</v>
      </c>
      <c r="AH12" s="304">
        <f t="shared" ca="1" si="28"/>
        <v>73.5711296642897</v>
      </c>
    </row>
    <row r="13" spans="1:248" x14ac:dyDescent="0.25">
      <c r="A13" s="347">
        <f t="shared" ca="1" si="6"/>
        <v>0.01</v>
      </c>
      <c r="B13" s="304">
        <f t="shared" ca="1" si="7"/>
        <v>5.7899999999999983</v>
      </c>
      <c r="D13" s="306">
        <f t="shared" ca="1" si="8"/>
        <v>9.6636901035349343</v>
      </c>
      <c r="E13" s="307">
        <f t="shared" ca="1" si="9"/>
        <v>62.614414063031418</v>
      </c>
      <c r="F13" s="304">
        <f t="shared" ca="1" si="10"/>
        <v>63.355755499196015</v>
      </c>
      <c r="G13" s="306">
        <f t="shared" ca="1" si="11"/>
        <v>26.422109454067254</v>
      </c>
      <c r="H13" s="307">
        <f t="shared" ca="1" si="12"/>
        <v>197.92209466871327</v>
      </c>
      <c r="I13" s="304">
        <f t="shared" ca="1" si="13"/>
        <v>199.67794927345835</v>
      </c>
      <c r="J13" s="306">
        <f t="shared" ca="1" si="14"/>
        <v>107.85826087873517</v>
      </c>
      <c r="K13" s="307">
        <f t="shared" ca="1" si="15"/>
        <v>900.67459698553307</v>
      </c>
      <c r="L13" s="304">
        <f t="shared" ca="1" si="0"/>
        <v>907.10976959507923</v>
      </c>
      <c r="M13" s="306">
        <f t="shared" ca="1" si="16"/>
        <v>1.4380834759029795</v>
      </c>
      <c r="N13" s="304">
        <f t="shared" ca="1" si="17"/>
        <v>82.396113756744143</v>
      </c>
      <c r="P13" s="310">
        <f t="shared" ca="1" si="18"/>
        <v>3</v>
      </c>
      <c r="Q13" s="304">
        <f t="shared" ca="1" si="19"/>
        <v>206.12068965517258</v>
      </c>
      <c r="R13" s="306">
        <f t="shared" ca="1" si="20"/>
        <v>0.10939851262237466</v>
      </c>
      <c r="S13" s="307">
        <f t="shared" ca="1" si="21"/>
        <v>2.1506159965720588</v>
      </c>
      <c r="T13" s="304">
        <f t="shared" ca="1" si="1"/>
        <v>21.097542926371897</v>
      </c>
      <c r="U13" s="311">
        <f t="shared" ca="1" si="2"/>
        <v>0</v>
      </c>
      <c r="V13" s="306">
        <f t="shared" ca="1" si="3"/>
        <v>1.1194219358865662</v>
      </c>
      <c r="W13" s="304">
        <f t="shared" ca="1" si="4"/>
        <v>49.285655768263631</v>
      </c>
      <c r="Y13" s="314" t="str">
        <f t="shared" ca="1" si="22"/>
        <v/>
      </c>
      <c r="Z13" s="315" t="str">
        <f t="shared" ca="1" si="23"/>
        <v/>
      </c>
      <c r="AA13" s="316" t="str">
        <f t="shared" ca="1" si="24"/>
        <v/>
      </c>
      <c r="AC13" s="310" t="e">
        <f t="shared" ca="1" si="25"/>
        <v>#N/A</v>
      </c>
      <c r="AD13" s="323" t="e">
        <f t="shared" ca="1" si="26"/>
        <v>#N/A</v>
      </c>
      <c r="AE13" s="324">
        <f t="shared" ca="1" si="5"/>
        <v>900.67459698553307</v>
      </c>
      <c r="AG13" s="306">
        <f t="shared" ca="1" si="27"/>
        <v>63.342468730658958</v>
      </c>
      <c r="AH13" s="304">
        <f t="shared" ca="1" si="28"/>
        <v>73.066289482842791</v>
      </c>
    </row>
    <row r="14" spans="1:248" x14ac:dyDescent="0.25">
      <c r="A14" s="347">
        <f t="shared" ca="1" si="6"/>
        <v>0.01</v>
      </c>
      <c r="B14" s="304">
        <f t="shared" ca="1" si="7"/>
        <v>5.799999999999998</v>
      </c>
      <c r="D14" s="306">
        <f t="shared" ca="1" si="8"/>
        <v>9.6016061197617883</v>
      </c>
      <c r="E14" s="307">
        <f t="shared" ca="1" si="9"/>
        <v>62.113477522142261</v>
      </c>
      <c r="F14" s="304">
        <f t="shared" ca="1" si="10"/>
        <v>62.851212637249247</v>
      </c>
      <c r="G14" s="306">
        <f t="shared" ca="1" si="11"/>
        <v>26.51812551526487</v>
      </c>
      <c r="H14" s="307">
        <f t="shared" ca="1" si="12"/>
        <v>198.54322944393471</v>
      </c>
      <c r="I14" s="304">
        <f t="shared" ca="1" si="13"/>
        <v>200.30632775544123</v>
      </c>
      <c r="J14" s="306">
        <f t="shared" ca="1" si="14"/>
        <v>108.12296205358183</v>
      </c>
      <c r="K14" s="307">
        <f t="shared" ca="1" si="15"/>
        <v>902.65692360609626</v>
      </c>
      <c r="L14" s="304">
        <f t="shared" ca="1" si="0"/>
        <v>909.10950751670293</v>
      </c>
      <c r="M14" s="306">
        <f t="shared" ca="1" si="16"/>
        <v>1.4380186704249933</v>
      </c>
      <c r="N14" s="304">
        <f t="shared" ca="1" si="17"/>
        <v>82.392400676366208</v>
      </c>
      <c r="P14" s="310">
        <f t="shared" ca="1" si="18"/>
        <v>3</v>
      </c>
      <c r="Q14" s="304">
        <f t="shared" ca="1" si="19"/>
        <v>205.25862068965534</v>
      </c>
      <c r="R14" s="306">
        <f t="shared" ca="1" si="20"/>
        <v>0.10894096970049102</v>
      </c>
      <c r="S14" s="307">
        <f t="shared" ca="1" si="21"/>
        <v>2.1495265868750537</v>
      </c>
      <c r="T14" s="304">
        <f t="shared" ca="1" si="1"/>
        <v>21.086855817244277</v>
      </c>
      <c r="U14" s="311">
        <f t="shared" ca="1" si="2"/>
        <v>0</v>
      </c>
      <c r="V14" s="306">
        <f t="shared" ca="1" si="3"/>
        <v>1.1191996000356585</v>
      </c>
      <c r="W14" s="304">
        <f t="shared" ca="1" si="4"/>
        <v>49.586493157446768</v>
      </c>
      <c r="Y14" s="314" t="str">
        <f t="shared" ca="1" si="22"/>
        <v/>
      </c>
      <c r="Z14" s="315" t="str">
        <f t="shared" ca="1" si="23"/>
        <v/>
      </c>
      <c r="AA14" s="316" t="str">
        <f t="shared" ca="1" si="24"/>
        <v/>
      </c>
      <c r="AC14" s="310" t="e">
        <f t="shared" ca="1" si="25"/>
        <v>#N/A</v>
      </c>
      <c r="AD14" s="323" t="e">
        <f t="shared" ca="1" si="26"/>
        <v>#N/A</v>
      </c>
      <c r="AE14" s="324">
        <f t="shared" ca="1" si="5"/>
        <v>902.65692360609626</v>
      </c>
      <c r="AG14" s="306">
        <f t="shared" ca="1" si="27"/>
        <v>62.837806136460756</v>
      </c>
      <c r="AH14" s="304">
        <f t="shared" ca="1" si="28"/>
        <v>72.561542561863646</v>
      </c>
    </row>
    <row r="15" spans="1:248" x14ac:dyDescent="0.25">
      <c r="A15" s="347">
        <f t="shared" ca="1" si="6"/>
        <v>0.01</v>
      </c>
      <c r="B15" s="304">
        <f t="shared" ca="1" si="7"/>
        <v>5.8099999999999978</v>
      </c>
      <c r="D15" s="306">
        <f t="shared" ca="1" si="8"/>
        <v>9.5394589599054562</v>
      </c>
      <c r="E15" s="307">
        <f t="shared" ca="1" si="9"/>
        <v>61.61265722957117</v>
      </c>
      <c r="F15" s="304">
        <f t="shared" ca="1" si="10"/>
        <v>62.346778650836072</v>
      </c>
      <c r="G15" s="306">
        <f t="shared" ca="1" si="11"/>
        <v>26.613520104863923</v>
      </c>
      <c r="H15" s="307">
        <f t="shared" ca="1" si="12"/>
        <v>199.15935601623042</v>
      </c>
      <c r="I15" s="304">
        <f t="shared" ca="1" si="13"/>
        <v>200.92966068047696</v>
      </c>
      <c r="J15" s="306">
        <f t="shared" ca="1" si="14"/>
        <v>108.38862028168248</v>
      </c>
      <c r="K15" s="307">
        <f t="shared" ca="1" si="15"/>
        <v>904.64543653339706</v>
      </c>
      <c r="L15" s="304">
        <f t="shared" ca="1" si="0"/>
        <v>911.11550247335128</v>
      </c>
      <c r="M15" s="306">
        <f t="shared" ca="1" si="16"/>
        <v>1.4379540346277873</v>
      </c>
      <c r="N15" s="304">
        <f t="shared" ca="1" si="17"/>
        <v>82.388697317980842</v>
      </c>
      <c r="P15" s="310">
        <f t="shared" ca="1" si="18"/>
        <v>3</v>
      </c>
      <c r="Q15" s="304">
        <f t="shared" ca="1" si="19"/>
        <v>204.39655172413813</v>
      </c>
      <c r="R15" s="306">
        <f t="shared" ca="1" si="20"/>
        <v>0.10848342677860742</v>
      </c>
      <c r="S15" s="307">
        <f t="shared" ca="1" si="21"/>
        <v>2.1484417526072677</v>
      </c>
      <c r="T15" s="304">
        <f t="shared" ca="1" si="1"/>
        <v>21.076213593077298</v>
      </c>
      <c r="U15" s="311">
        <f t="shared" ca="1" si="2"/>
        <v>0</v>
      </c>
      <c r="V15" s="306">
        <f t="shared" ca="1" si="3"/>
        <v>1.1189766126990404</v>
      </c>
      <c r="W15" s="304">
        <f t="shared" ca="1" si="4"/>
        <v>49.885648489768137</v>
      </c>
      <c r="Y15" s="314" t="str">
        <f t="shared" ca="1" si="22"/>
        <v/>
      </c>
      <c r="Z15" s="315" t="str">
        <f t="shared" ca="1" si="23"/>
        <v/>
      </c>
      <c r="AA15" s="316" t="str">
        <f t="shared" ca="1" si="24"/>
        <v/>
      </c>
      <c r="AC15" s="310" t="e">
        <f t="shared" ca="1" si="25"/>
        <v>#N/A</v>
      </c>
      <c r="AD15" s="323" t="e">
        <f t="shared" ca="1" si="26"/>
        <v>#N/A</v>
      </c>
      <c r="AE15" s="324">
        <f t="shared" ca="1" si="5"/>
        <v>904.64543653339706</v>
      </c>
      <c r="AG15" s="306">
        <f t="shared" ca="1" si="27"/>
        <v>62.333250531515333</v>
      </c>
      <c r="AH15" s="304">
        <f t="shared" ca="1" si="28"/>
        <v>72.056902812850169</v>
      </c>
    </row>
    <row r="16" spans="1:248" x14ac:dyDescent="0.25">
      <c r="A16" s="347">
        <f t="shared" ca="1" si="6"/>
        <v>0.01</v>
      </c>
      <c r="B16" s="304">
        <f t="shared" ca="1" si="7"/>
        <v>5.8199999999999976</v>
      </c>
      <c r="D16" s="306">
        <f t="shared" ca="1" si="8"/>
        <v>9.4772509179389175</v>
      </c>
      <c r="E16" s="307">
        <f t="shared" ca="1" si="9"/>
        <v>61.111966811747848</v>
      </c>
      <c r="F16" s="304">
        <f t="shared" ca="1" si="10"/>
        <v>61.842467387400902</v>
      </c>
      <c r="G16" s="306">
        <f t="shared" ca="1" si="11"/>
        <v>26.708292614043312</v>
      </c>
      <c r="H16" s="307">
        <f t="shared" ca="1" si="12"/>
        <v>199.7704756843479</v>
      </c>
      <c r="I16" s="304">
        <f t="shared" ca="1" si="13"/>
        <v>201.54794925651811</v>
      </c>
      <c r="J16" s="306">
        <f t="shared" ca="1" si="14"/>
        <v>108.65522934527701</v>
      </c>
      <c r="K16" s="307">
        <f t="shared" ca="1" si="15"/>
        <v>906.64008569189991</v>
      </c>
      <c r="L16" s="304">
        <f t="shared" ca="1" si="0"/>
        <v>913.12770401926275</v>
      </c>
      <c r="M16" s="306">
        <f t="shared" ca="1" si="16"/>
        <v>1.4378895659304805</v>
      </c>
      <c r="N16" s="304">
        <f t="shared" ca="1" si="17"/>
        <v>82.385003533714453</v>
      </c>
      <c r="P16" s="310">
        <f t="shared" ca="1" si="18"/>
        <v>3</v>
      </c>
      <c r="Q16" s="304">
        <f t="shared" ca="1" si="19"/>
        <v>203.5344827586209</v>
      </c>
      <c r="R16" s="306">
        <f t="shared" ca="1" si="20"/>
        <v>0.10802588385672381</v>
      </c>
      <c r="S16" s="307">
        <f t="shared" ca="1" si="21"/>
        <v>2.1473614937687002</v>
      </c>
      <c r="T16" s="304">
        <f t="shared" ca="1" si="1"/>
        <v>21.065616253870949</v>
      </c>
      <c r="U16" s="311">
        <f t="shared" ca="1" si="2"/>
        <v>0</v>
      </c>
      <c r="V16" s="306">
        <f t="shared" ca="1" si="3"/>
        <v>1.1187529798743059</v>
      </c>
      <c r="W16" s="304">
        <f t="shared" ca="1" si="4"/>
        <v>50.183099698372878</v>
      </c>
      <c r="Y16" s="314" t="str">
        <f t="shared" ca="1" si="22"/>
        <v/>
      </c>
      <c r="Z16" s="315" t="str">
        <f t="shared" ca="1" si="23"/>
        <v/>
      </c>
      <c r="AA16" s="316" t="str">
        <f t="shared" ca="1" si="24"/>
        <v/>
      </c>
      <c r="AC16" s="310" t="e">
        <f t="shared" ca="1" si="25"/>
        <v>#N/A</v>
      </c>
      <c r="AD16" s="323" t="e">
        <f t="shared" ca="1" si="26"/>
        <v>#N/A</v>
      </c>
      <c r="AE16" s="324">
        <f t="shared" ca="1" si="5"/>
        <v>906.64008569189991</v>
      </c>
      <c r="AG16" s="306">
        <f t="shared" ca="1" si="27"/>
        <v>61.828815720303673</v>
      </c>
      <c r="AH16" s="304">
        <f t="shared" ca="1" si="28"/>
        <v>71.552384037208981</v>
      </c>
    </row>
    <row r="17" spans="1:34" x14ac:dyDescent="0.25">
      <c r="A17" s="347">
        <f t="shared" ca="1" si="6"/>
        <v>0.01</v>
      </c>
      <c r="B17" s="304">
        <f t="shared" ca="1" si="7"/>
        <v>5.8299999999999974</v>
      </c>
      <c r="D17" s="306">
        <f t="shared" ca="1" si="8"/>
        <v>9.4149842687825096</v>
      </c>
      <c r="E17" s="307">
        <f t="shared" ca="1" si="9"/>
        <v>60.611419785792805</v>
      </c>
      <c r="F17" s="304">
        <f t="shared" ca="1" si="10"/>
        <v>61.338292584901787</v>
      </c>
      <c r="G17" s="306">
        <f t="shared" ca="1" si="11"/>
        <v>26.802442456731136</v>
      </c>
      <c r="H17" s="307">
        <f t="shared" ca="1" si="12"/>
        <v>200.37658988220582</v>
      </c>
      <c r="I17" s="304">
        <f t="shared" ca="1" si="13"/>
        <v>202.16119482845389</v>
      </c>
      <c r="J17" s="306">
        <f t="shared" ca="1" si="14"/>
        <v>108.92278302063087</v>
      </c>
      <c r="K17" s="307">
        <f t="shared" ca="1" si="15"/>
        <v>908.6408210197327</v>
      </c>
      <c r="L17" s="304">
        <f t="shared" ca="1" si="0"/>
        <v>915.14606172150104</v>
      </c>
      <c r="M17" s="306">
        <f t="shared" ca="1" si="16"/>
        <v>1.4378252617875651</v>
      </c>
      <c r="N17" s="304">
        <f t="shared" ca="1" si="17"/>
        <v>82.381319177720201</v>
      </c>
      <c r="P17" s="310">
        <f t="shared" ca="1" si="18"/>
        <v>3</v>
      </c>
      <c r="Q17" s="304">
        <f t="shared" ca="1" si="19"/>
        <v>202.67241379310369</v>
      </c>
      <c r="R17" s="306">
        <f t="shared" ca="1" si="20"/>
        <v>0.10756834093484019</v>
      </c>
      <c r="S17" s="307">
        <f t="shared" ca="1" si="21"/>
        <v>2.1462858103593518</v>
      </c>
      <c r="T17" s="304">
        <f t="shared" ca="1" si="1"/>
        <v>21.055063799625241</v>
      </c>
      <c r="U17" s="311">
        <f t="shared" ca="1" si="2"/>
        <v>0</v>
      </c>
      <c r="V17" s="306">
        <f t="shared" ca="1" si="3"/>
        <v>1.1185287075542307</v>
      </c>
      <c r="W17" s="304">
        <f t="shared" ca="1" si="4"/>
        <v>50.478825010668849</v>
      </c>
      <c r="Y17" s="314" t="str">
        <f t="shared" ca="1" si="22"/>
        <v/>
      </c>
      <c r="Z17" s="315" t="str">
        <f t="shared" ca="1" si="23"/>
        <v/>
      </c>
      <c r="AA17" s="316" t="str">
        <f t="shared" ca="1" si="24"/>
        <v/>
      </c>
      <c r="AC17" s="310" t="e">
        <f t="shared" ca="1" si="25"/>
        <v>#N/A</v>
      </c>
      <c r="AD17" s="323" t="e">
        <f t="shared" ca="1" si="26"/>
        <v>#N/A</v>
      </c>
      <c r="AE17" s="324">
        <f t="shared" ca="1" si="5"/>
        <v>908.6408210197327</v>
      </c>
      <c r="AG17" s="306">
        <f t="shared" ca="1" si="27"/>
        <v>61.324515396522017</v>
      </c>
      <c r="AH17" s="304">
        <f t="shared" ca="1" si="28"/>
        <v>71.047999925601516</v>
      </c>
    </row>
    <row r="18" spans="1:34" x14ac:dyDescent="0.25">
      <c r="A18" s="347">
        <f t="shared" ca="1" si="6"/>
        <v>0.01</v>
      </c>
      <c r="B18" s="304">
        <f t="shared" ca="1" si="7"/>
        <v>5.8399999999999972</v>
      </c>
      <c r="D18" s="306">
        <f t="shared" ca="1" si="8"/>
        <v>9.352661268309916</v>
      </c>
      <c r="E18" s="307">
        <f t="shared" ca="1" si="9"/>
        <v>60.111029558881796</v>
      </c>
      <c r="F18" s="304">
        <f t="shared" ca="1" si="10"/>
        <v>60.8342678712295</v>
      </c>
      <c r="G18" s="306">
        <f t="shared" ca="1" si="11"/>
        <v>26.895969069414235</v>
      </c>
      <c r="H18" s="307">
        <f t="shared" ca="1" si="12"/>
        <v>200.97770017779465</v>
      </c>
      <c r="I18" s="304">
        <f t="shared" ca="1" si="13"/>
        <v>202.76939887699623</v>
      </c>
      <c r="J18" s="306">
        <f t="shared" ca="1" si="14"/>
        <v>109.1912750782616</v>
      </c>
      <c r="K18" s="307">
        <f t="shared" ca="1" si="15"/>
        <v>910.64759247003269</v>
      </c>
      <c r="L18" s="304">
        <f t="shared" ca="1" si="0"/>
        <v>917.17052516131548</v>
      </c>
      <c r="M18" s="306">
        <f t="shared" ca="1" si="16"/>
        <v>1.4377611196881523</v>
      </c>
      <c r="N18" s="304">
        <f t="shared" ca="1" si="17"/>
        <v>82.377644106134738</v>
      </c>
      <c r="P18" s="310">
        <f t="shared" ca="1" si="18"/>
        <v>3</v>
      </c>
      <c r="Q18" s="304">
        <f t="shared" ca="1" si="19"/>
        <v>201.81034482758645</v>
      </c>
      <c r="R18" s="306">
        <f t="shared" ca="1" si="20"/>
        <v>0.10711079801295657</v>
      </c>
      <c r="S18" s="307">
        <f t="shared" ca="1" si="21"/>
        <v>2.1452147023792221</v>
      </c>
      <c r="T18" s="304">
        <f t="shared" ca="1" si="1"/>
        <v>21.04455623034017</v>
      </c>
      <c r="U18" s="311">
        <f t="shared" ca="1" si="2"/>
        <v>0</v>
      </c>
      <c r="V18" s="306">
        <f t="shared" ca="1" si="3"/>
        <v>1.1183038017265905</v>
      </c>
      <c r="W18" s="304">
        <f t="shared" ca="1" si="4"/>
        <v>50.772802948412846</v>
      </c>
      <c r="Y18" s="314" t="str">
        <f t="shared" ca="1" si="22"/>
        <v/>
      </c>
      <c r="Z18" s="315" t="str">
        <f t="shared" ca="1" si="23"/>
        <v/>
      </c>
      <c r="AA18" s="316" t="str">
        <f t="shared" ca="1" si="24"/>
        <v/>
      </c>
      <c r="AC18" s="310" t="e">
        <f t="shared" ca="1" si="25"/>
        <v>#N/A</v>
      </c>
      <c r="AD18" s="323" t="e">
        <f t="shared" ca="1" si="26"/>
        <v>#N/A</v>
      </c>
      <c r="AE18" s="324">
        <f t="shared" ca="1" si="5"/>
        <v>910.64759247003269</v>
      </c>
      <c r="AG18" s="306">
        <f t="shared" ca="1" si="27"/>
        <v>60.820363142451157</v>
      </c>
      <c r="AH18" s="304">
        <f t="shared" ca="1" si="28"/>
        <v>70.543764057312444</v>
      </c>
    </row>
    <row r="19" spans="1:34" x14ac:dyDescent="0.25">
      <c r="A19" s="347">
        <f t="shared" ca="1" si="6"/>
        <v>0.01</v>
      </c>
      <c r="B19" s="304">
        <f t="shared" ca="1" si="7"/>
        <v>5.849999999999997</v>
      </c>
      <c r="D19" s="306">
        <f t="shared" ca="1" si="8"/>
        <v>9.2902841533540794</v>
      </c>
      <c r="E19" s="307">
        <f t="shared" ca="1" si="9"/>
        <v>59.610809427632901</v>
      </c>
      <c r="F19" s="304">
        <f t="shared" ca="1" si="10"/>
        <v>60.330406763651361</v>
      </c>
      <c r="G19" s="306">
        <f t="shared" ca="1" si="11"/>
        <v>26.988871910947775</v>
      </c>
      <c r="H19" s="307">
        <f t="shared" ca="1" si="12"/>
        <v>201.57380827207098</v>
      </c>
      <c r="I19" s="304">
        <f t="shared" ca="1" si="13"/>
        <v>203.37256301755943</v>
      </c>
      <c r="J19" s="306">
        <f t="shared" ca="1" si="14"/>
        <v>109.46069928316341</v>
      </c>
      <c r="K19" s="307">
        <f t="shared" ca="1" si="15"/>
        <v>912.66035001228204</v>
      </c>
      <c r="L19" s="304">
        <f t="shared" ca="1" si="0"/>
        <v>919.20104393549309</v>
      </c>
      <c r="M19" s="306">
        <f t="shared" ca="1" si="16"/>
        <v>1.4376971371552369</v>
      </c>
      <c r="N19" s="304">
        <f t="shared" ca="1" si="17"/>
        <v>82.373978177036136</v>
      </c>
      <c r="P19" s="310">
        <f t="shared" ca="1" si="18"/>
        <v>3</v>
      </c>
      <c r="Q19" s="304">
        <f t="shared" ca="1" si="19"/>
        <v>200.94827586206924</v>
      </c>
      <c r="R19" s="306">
        <f t="shared" ca="1" si="20"/>
        <v>0.10665325509107296</v>
      </c>
      <c r="S19" s="307">
        <f t="shared" ca="1" si="21"/>
        <v>2.1441481698283114</v>
      </c>
      <c r="T19" s="304">
        <f t="shared" ca="1" si="1"/>
        <v>21.034093546015736</v>
      </c>
      <c r="U19" s="311">
        <f t="shared" ca="1" si="2"/>
        <v>0</v>
      </c>
      <c r="V19" s="306">
        <f t="shared" ca="1" si="3"/>
        <v>1.1180782683739814</v>
      </c>
      <c r="W19" s="304">
        <f t="shared" ca="1" si="4"/>
        <v>51.065012327752875</v>
      </c>
      <c r="Y19" s="314" t="str">
        <f t="shared" ca="1" si="22"/>
        <v/>
      </c>
      <c r="Z19" s="315" t="str">
        <f t="shared" ca="1" si="23"/>
        <v/>
      </c>
      <c r="AA19" s="316" t="str">
        <f t="shared" ca="1" si="24"/>
        <v/>
      </c>
      <c r="AC19" s="310" t="e">
        <f t="shared" ca="1" si="25"/>
        <v>#N/A</v>
      </c>
      <c r="AD19" s="323" t="e">
        <f t="shared" ca="1" si="26"/>
        <v>#N/A</v>
      </c>
      <c r="AE19" s="324">
        <f t="shared" ca="1" si="5"/>
        <v>912.66035001228204</v>
      </c>
      <c r="AG19" s="306">
        <f t="shared" ca="1" si="27"/>
        <v>60.316372428347925</v>
      </c>
      <c r="AH19" s="304">
        <f t="shared" ca="1" si="28"/>
        <v>70.039689899640379</v>
      </c>
    </row>
    <row r="20" spans="1:34" x14ac:dyDescent="0.25">
      <c r="A20" s="347">
        <f t="shared" ca="1" si="6"/>
        <v>0.01</v>
      </c>
      <c r="B20" s="304">
        <f t="shared" ca="1" si="7"/>
        <v>5.8599999999999968</v>
      </c>
      <c r="D20" s="306">
        <f t="shared" ca="1" si="8"/>
        <v>9.2278551417131478</v>
      </c>
      <c r="E20" s="307">
        <f t="shared" ca="1" si="9"/>
        <v>59.110772577515604</v>
      </c>
      <c r="F20" s="304">
        <f t="shared" ca="1" si="10"/>
        <v>59.826722668279366</v>
      </c>
      <c r="G20" s="306">
        <f t="shared" ca="1" si="11"/>
        <v>27.081150462364906</v>
      </c>
      <c r="H20" s="307">
        <f t="shared" ca="1" si="12"/>
        <v>202.16491599784612</v>
      </c>
      <c r="I20" s="304">
        <f t="shared" ca="1" si="13"/>
        <v>203.97068899913396</v>
      </c>
      <c r="J20" s="306">
        <f t="shared" ca="1" si="14"/>
        <v>109.73104939502997</v>
      </c>
      <c r="K20" s="307">
        <f t="shared" ca="1" si="15"/>
        <v>914.67904363363164</v>
      </c>
      <c r="L20" s="304">
        <f t="shared" ca="1" si="0"/>
        <v>921.23756765769679</v>
      </c>
      <c r="M20" s="306">
        <f t="shared" ca="1" si="16"/>
        <v>1.4376333117449815</v>
      </c>
      <c r="N20" s="304">
        <f t="shared" ca="1" si="17"/>
        <v>82.37032125040281</v>
      </c>
      <c r="P20" s="310">
        <f t="shared" ca="1" si="18"/>
        <v>3</v>
      </c>
      <c r="Q20" s="304">
        <f t="shared" ca="1" si="19"/>
        <v>200.086206896552</v>
      </c>
      <c r="R20" s="306">
        <f t="shared" ca="1" si="20"/>
        <v>0.10619571216918934</v>
      </c>
      <c r="S20" s="307">
        <f t="shared" ca="1" si="21"/>
        <v>2.1430862127066193</v>
      </c>
      <c r="T20" s="304">
        <f t="shared" ca="1" si="1"/>
        <v>21.023675746651936</v>
      </c>
      <c r="U20" s="311">
        <f t="shared" ca="1" si="2"/>
        <v>0</v>
      </c>
      <c r="V20" s="306">
        <f t="shared" ca="1" si="3"/>
        <v>1.1178521134736448</v>
      </c>
      <c r="W20" s="304">
        <f t="shared" ca="1" si="4"/>
        <v>51.355432259227499</v>
      </c>
      <c r="Y20" s="314" t="str">
        <f t="shared" ca="1" si="22"/>
        <v/>
      </c>
      <c r="Z20" s="315" t="str">
        <f t="shared" ca="1" si="23"/>
        <v/>
      </c>
      <c r="AA20" s="316" t="str">
        <f t="shared" ca="1" si="24"/>
        <v/>
      </c>
      <c r="AC20" s="310" t="e">
        <f t="shared" ca="1" si="25"/>
        <v>#N/A</v>
      </c>
      <c r="AD20" s="323" t="e">
        <f t="shared" ca="1" si="26"/>
        <v>#N/A</v>
      </c>
      <c r="AE20" s="324">
        <f t="shared" ca="1" si="5"/>
        <v>914.67904363363164</v>
      </c>
      <c r="AG20" s="306">
        <f t="shared" ca="1" si="27"/>
        <v>59.812556611858817</v>
      </c>
      <c r="AH20" s="304">
        <f t="shared" ca="1" si="28"/>
        <v>69.535790807310647</v>
      </c>
    </row>
    <row r="21" spans="1:34" x14ac:dyDescent="0.25">
      <c r="A21" s="347">
        <f t="shared" ca="1" si="6"/>
        <v>0.01</v>
      </c>
      <c r="B21" s="304">
        <f t="shared" ca="1" si="7"/>
        <v>5.8699999999999966</v>
      </c>
      <c r="D21" s="306">
        <f t="shared" ca="1" si="8"/>
        <v>9.1653764321563891</v>
      </c>
      <c r="E21" s="307">
        <f t="shared" ca="1" si="9"/>
        <v>58.610932082282275</v>
      </c>
      <c r="F21" s="304">
        <f t="shared" ca="1" si="10"/>
        <v>59.323228879563132</v>
      </c>
      <c r="G21" s="306">
        <f t="shared" ca="1" si="11"/>
        <v>27.17280422668647</v>
      </c>
      <c r="H21" s="307">
        <f t="shared" ca="1" si="12"/>
        <v>202.75102531866895</v>
      </c>
      <c r="I21" s="304">
        <f t="shared" ca="1" si="13"/>
        <v>204.56377870315501</v>
      </c>
      <c r="J21" s="306">
        <f t="shared" ca="1" si="14"/>
        <v>110.00231916847522</v>
      </c>
      <c r="K21" s="307">
        <f t="shared" ca="1" si="15"/>
        <v>916.70362334021422</v>
      </c>
      <c r="L21" s="304">
        <f t="shared" ca="1" si="0"/>
        <v>923.28004595979462</v>
      </c>
      <c r="M21" s="306">
        <f t="shared" ca="1" si="16"/>
        <v>1.4375696410460161</v>
      </c>
      <c r="N21" s="304">
        <f t="shared" ca="1" si="17"/>
        <v>82.366673188073435</v>
      </c>
      <c r="P21" s="310">
        <f t="shared" ca="1" si="18"/>
        <v>3</v>
      </c>
      <c r="Q21" s="304">
        <f t="shared" ca="1" si="19"/>
        <v>199.22413793103479</v>
      </c>
      <c r="R21" s="306">
        <f t="shared" ca="1" si="20"/>
        <v>0.10573816924730574</v>
      </c>
      <c r="S21" s="307">
        <f t="shared" ca="1" si="21"/>
        <v>2.1420288310141462</v>
      </c>
      <c r="T21" s="304">
        <f t="shared" ca="1" si="1"/>
        <v>21.013302832248776</v>
      </c>
      <c r="U21" s="311">
        <f t="shared" ca="1" si="2"/>
        <v>0</v>
      </c>
      <c r="V21" s="306">
        <f t="shared" ca="1" si="3"/>
        <v>1.1176253429972887</v>
      </c>
      <c r="W21" s="304">
        <f t="shared" ca="1" si="4"/>
        <v>51.644042147722161</v>
      </c>
      <c r="Y21" s="314" t="str">
        <f t="shared" ca="1" si="22"/>
        <v/>
      </c>
      <c r="Z21" s="315" t="str">
        <f t="shared" ca="1" si="23"/>
        <v/>
      </c>
      <c r="AA21" s="316" t="str">
        <f t="shared" ca="1" si="24"/>
        <v/>
      </c>
      <c r="AC21" s="310" t="e">
        <f t="shared" ca="1" si="25"/>
        <v>#N/A</v>
      </c>
      <c r="AD21" s="323" t="e">
        <f t="shared" ca="1" si="26"/>
        <v>#N/A</v>
      </c>
      <c r="AE21" s="324">
        <f t="shared" ca="1" si="5"/>
        <v>916.70362334021422</v>
      </c>
      <c r="AG21" s="306">
        <f t="shared" ca="1" si="27"/>
        <v>59.30892893745564</v>
      </c>
      <c r="AH21" s="304">
        <f t="shared" ca="1" si="28"/>
        <v>69.03208002191019</v>
      </c>
    </row>
    <row r="22" spans="1:34" x14ac:dyDescent="0.25">
      <c r="A22" s="347">
        <f t="shared" ca="1" si="6"/>
        <v>0.01</v>
      </c>
      <c r="B22" s="304">
        <f t="shared" ca="1" si="7"/>
        <v>5.8799999999999963</v>
      </c>
      <c r="D22" s="306">
        <f t="shared" ca="1" si="8"/>
        <v>9.1028502044304886</v>
      </c>
      <c r="E22" s="307">
        <f t="shared" ca="1" si="9"/>
        <v>58.111300903421579</v>
      </c>
      <c r="F22" s="304">
        <f t="shared" ca="1" si="10"/>
        <v>58.819938579807321</v>
      </c>
      <c r="G22" s="306">
        <f t="shared" ca="1" si="11"/>
        <v>27.263832728730776</v>
      </c>
      <c r="H22" s="307">
        <f t="shared" ca="1" si="12"/>
        <v>203.33213832770318</v>
      </c>
      <c r="I22" s="304">
        <f t="shared" ca="1" si="13"/>
        <v>205.15183414236498</v>
      </c>
      <c r="J22" s="306">
        <f t="shared" ca="1" si="14"/>
        <v>110.27450235325232</v>
      </c>
      <c r="K22" s="307">
        <f t="shared" ca="1" si="15"/>
        <v>918.73403915844608</v>
      </c>
      <c r="L22" s="304">
        <f t="shared" ca="1" si="0"/>
        <v>925.32842849317592</v>
      </c>
      <c r="M22" s="306">
        <f t="shared" ca="1" si="16"/>
        <v>1.4375061226787575</v>
      </c>
      <c r="N22" s="304">
        <f t="shared" ca="1" si="17"/>
        <v>82.363033853707961</v>
      </c>
      <c r="P22" s="310">
        <f t="shared" ca="1" si="18"/>
        <v>3</v>
      </c>
      <c r="Q22" s="304">
        <f t="shared" ca="1" si="19"/>
        <v>198.36206896551755</v>
      </c>
      <c r="R22" s="306">
        <f t="shared" ca="1" si="20"/>
        <v>0.10528062632542211</v>
      </c>
      <c r="S22" s="307">
        <f t="shared" ca="1" si="21"/>
        <v>2.1409760247508918</v>
      </c>
      <c r="T22" s="304">
        <f t="shared" ca="1" si="1"/>
        <v>21.00297480280625</v>
      </c>
      <c r="U22" s="311">
        <f t="shared" ca="1" si="2"/>
        <v>0</v>
      </c>
      <c r="V22" s="306">
        <f t="shared" ca="1" si="3"/>
        <v>1.1173979629109168</v>
      </c>
      <c r="W22" s="304">
        <f t="shared" ca="1" si="4"/>
        <v>51.930821692383425</v>
      </c>
      <c r="Y22" s="314" t="str">
        <f t="shared" ca="1" si="22"/>
        <v/>
      </c>
      <c r="Z22" s="315" t="str">
        <f t="shared" ca="1" si="23"/>
        <v/>
      </c>
      <c r="AA22" s="316" t="str">
        <f t="shared" ca="1" si="24"/>
        <v/>
      </c>
      <c r="AC22" s="310" t="e">
        <f t="shared" ca="1" si="25"/>
        <v>#N/A</v>
      </c>
      <c r="AD22" s="323" t="e">
        <f t="shared" ca="1" si="26"/>
        <v>#N/A</v>
      </c>
      <c r="AE22" s="324">
        <f t="shared" ca="1" si="5"/>
        <v>918.73403915844608</v>
      </c>
      <c r="AG22" s="306">
        <f t="shared" ca="1" si="27"/>
        <v>58.805502535893126</v>
      </c>
      <c r="AH22" s="304">
        <f t="shared" ca="1" si="28"/>
        <v>68.528570671344355</v>
      </c>
    </row>
    <row r="23" spans="1:34" x14ac:dyDescent="0.25">
      <c r="A23" s="347">
        <f t="shared" ca="1" si="6"/>
        <v>0.01</v>
      </c>
      <c r="B23" s="304">
        <f t="shared" ca="1" si="7"/>
        <v>5.8899999999999961</v>
      </c>
      <c r="D23" s="306">
        <f t="shared" ca="1" si="8"/>
        <v>9.0402786192658571</v>
      </c>
      <c r="E23" s="307">
        <f t="shared" ca="1" si="9"/>
        <v>57.611891889633696</v>
      </c>
      <c r="F23" s="304">
        <f t="shared" ca="1" si="10"/>
        <v>58.316864838713649</v>
      </c>
      <c r="G23" s="306">
        <f t="shared" ca="1" si="11"/>
        <v>27.354235514923435</v>
      </c>
      <c r="H23" s="307">
        <f t="shared" ca="1" si="12"/>
        <v>203.9082572465995</v>
      </c>
      <c r="I23" s="304">
        <f t="shared" ca="1" si="13"/>
        <v>205.73485745967136</v>
      </c>
      <c r="J23" s="306">
        <f t="shared" ca="1" si="14"/>
        <v>110.54759269447058</v>
      </c>
      <c r="K23" s="307">
        <f t="shared" ca="1" si="15"/>
        <v>920.77024113631762</v>
      </c>
      <c r="L23" s="304">
        <f t="shared" ca="1" si="0"/>
        <v>927.38266493005733</v>
      </c>
      <c r="M23" s="306">
        <f t="shared" ca="1" si="16"/>
        <v>1.4374427542947432</v>
      </c>
      <c r="N23" s="304">
        <f t="shared" ca="1" si="17"/>
        <v>82.359403112749376</v>
      </c>
      <c r="P23" s="310">
        <f t="shared" ca="1" si="18"/>
        <v>3</v>
      </c>
      <c r="Q23" s="304">
        <f t="shared" ca="1" si="19"/>
        <v>197.50000000000034</v>
      </c>
      <c r="R23" s="306">
        <f t="shared" ca="1" si="20"/>
        <v>0.10482308340353851</v>
      </c>
      <c r="S23" s="307">
        <f t="shared" ca="1" si="21"/>
        <v>2.1399277939168564</v>
      </c>
      <c r="T23" s="304">
        <f t="shared" ca="1" si="1"/>
        <v>20.992691658324361</v>
      </c>
      <c r="U23" s="311">
        <f t="shared" ca="1" si="2"/>
        <v>0</v>
      </c>
      <c r="V23" s="306">
        <f t="shared" ca="1" si="3"/>
        <v>1.1171699791746557</v>
      </c>
      <c r="W23" s="304">
        <f t="shared" ca="1" si="4"/>
        <v>52.215750886491342</v>
      </c>
      <c r="Y23" s="314" t="str">
        <f t="shared" ca="1" si="22"/>
        <v/>
      </c>
      <c r="Z23" s="315" t="str">
        <f t="shared" ca="1" si="23"/>
        <v/>
      </c>
      <c r="AA23" s="316" t="str">
        <f t="shared" ca="1" si="24"/>
        <v/>
      </c>
      <c r="AC23" s="310" t="e">
        <f t="shared" ca="1" si="25"/>
        <v>#N/A</v>
      </c>
      <c r="AD23" s="323" t="e">
        <f t="shared" ca="1" si="26"/>
        <v>#N/A</v>
      </c>
      <c r="AE23" s="324">
        <f t="shared" ca="1" si="5"/>
        <v>920.77024113631762</v>
      </c>
      <c r="AG23" s="306">
        <f t="shared" ca="1" si="27"/>
        <v>58.302290423688156</v>
      </c>
      <c r="AH23" s="304">
        <f t="shared" ca="1" si="28"/>
        <v>68.025275769315414</v>
      </c>
    </row>
    <row r="24" spans="1:34" x14ac:dyDescent="0.25">
      <c r="A24" s="347">
        <f t="shared" ca="1" si="6"/>
        <v>0.01</v>
      </c>
      <c r="B24" s="304">
        <f t="shared" ca="1" si="7"/>
        <v>5.8999999999999959</v>
      </c>
      <c r="D24" s="306">
        <f t="shared" ca="1" si="8"/>
        <v>8.9776638183834088</v>
      </c>
      <c r="E24" s="307">
        <f t="shared" ca="1" si="9"/>
        <v>57.112717776327415</v>
      </c>
      <c r="F24" s="304">
        <f t="shared" ca="1" si="10"/>
        <v>57.814020612947651</v>
      </c>
      <c r="G24" s="306">
        <f t="shared" ca="1" si="11"/>
        <v>27.44401215310727</v>
      </c>
      <c r="H24" s="307">
        <f t="shared" ca="1" si="12"/>
        <v>204.47938442436279</v>
      </c>
      <c r="I24" s="304">
        <f t="shared" ca="1" si="13"/>
        <v>206.31285092699932</v>
      </c>
      <c r="J24" s="306">
        <f t="shared" ca="1" si="14"/>
        <v>110.82158393281074</v>
      </c>
      <c r="K24" s="307">
        <f t="shared" ca="1" si="15"/>
        <v>922.81217934467247</v>
      </c>
      <c r="L24" s="304">
        <f t="shared" ca="1" si="0"/>
        <v>929.44270496477679</v>
      </c>
      <c r="M24" s="306">
        <f t="shared" ca="1" si="16"/>
        <v>1.4373795335759827</v>
      </c>
      <c r="N24" s="304">
        <f t="shared" ca="1" si="17"/>
        <v>82.355780832386614</v>
      </c>
      <c r="P24" s="310">
        <f t="shared" ca="1" si="18"/>
        <v>3</v>
      </c>
      <c r="Q24" s="304">
        <f t="shared" ca="1" si="19"/>
        <v>196.63793103448313</v>
      </c>
      <c r="R24" s="306">
        <f t="shared" ca="1" si="20"/>
        <v>0.10436554048165489</v>
      </c>
      <c r="S24" s="307">
        <f t="shared" ca="1" si="21"/>
        <v>2.1388841385120396</v>
      </c>
      <c r="T24" s="304">
        <f t="shared" ca="1" si="1"/>
        <v>20.982453398803109</v>
      </c>
      <c r="U24" s="311">
        <f t="shared" ca="1" si="2"/>
        <v>0</v>
      </c>
      <c r="V24" s="306">
        <f t="shared" ca="1" si="3"/>
        <v>1.1169413977425828</v>
      </c>
      <c r="W24" s="304">
        <f t="shared" ca="1" si="4"/>
        <v>52.498810017290552</v>
      </c>
      <c r="Y24" s="314" t="str">
        <f t="shared" ca="1" si="22"/>
        <v/>
      </c>
      <c r="Z24" s="315" t="str">
        <f t="shared" ca="1" si="23"/>
        <v/>
      </c>
      <c r="AA24" s="316" t="str">
        <f t="shared" ca="1" si="24"/>
        <v/>
      </c>
      <c r="AC24" s="310" t="e">
        <f t="shared" ca="1" si="25"/>
        <v>#N/A</v>
      </c>
      <c r="AD24" s="323" t="e">
        <f t="shared" ca="1" si="26"/>
        <v>#N/A</v>
      </c>
      <c r="AE24" s="324">
        <f t="shared" ca="1" si="5"/>
        <v>922.81217934467247</v>
      </c>
      <c r="AG24" s="306">
        <f t="shared" ca="1" si="27"/>
        <v>57.799305502620733</v>
      </c>
      <c r="AH24" s="304">
        <f t="shared" ca="1" si="28"/>
        <v>67.522208214822783</v>
      </c>
    </row>
    <row r="25" spans="1:34" x14ac:dyDescent="0.25">
      <c r="A25" s="347">
        <f t="shared" ca="1" si="6"/>
        <v>0.01</v>
      </c>
      <c r="B25" s="304">
        <f t="shared" ca="1" si="7"/>
        <v>5.9099999999999957</v>
      </c>
      <c r="D25" s="306">
        <f t="shared" ca="1" si="8"/>
        <v>8.9150079245016247</v>
      </c>
      <c r="E25" s="307">
        <f t="shared" ca="1" si="9"/>
        <v>56.613791185138737</v>
      </c>
      <c r="F25" s="304">
        <f t="shared" ca="1" si="10"/>
        <v>57.311418745730066</v>
      </c>
      <c r="G25" s="306">
        <f t="shared" ca="1" si="11"/>
        <v>27.533162232352286</v>
      </c>
      <c r="H25" s="307">
        <f t="shared" ca="1" si="12"/>
        <v>205.04552233621419</v>
      </c>
      <c r="I25" s="304">
        <f t="shared" ca="1" si="13"/>
        <v>206.88581694413938</v>
      </c>
      <c r="J25" s="306">
        <f t="shared" ca="1" si="14"/>
        <v>111.09646980473804</v>
      </c>
      <c r="K25" s="307">
        <f t="shared" ca="1" si="15"/>
        <v>924.8598038784753</v>
      </c>
      <c r="L25" s="304">
        <f t="shared" ca="1" si="0"/>
        <v>931.50849831507537</v>
      </c>
      <c r="M25" s="306">
        <f t="shared" ca="1" si="16"/>
        <v>1.4373164582343247</v>
      </c>
      <c r="N25" s="304">
        <f t="shared" ca="1" si="17"/>
        <v>82.352166881518272</v>
      </c>
      <c r="P25" s="310">
        <f t="shared" ca="1" si="18"/>
        <v>3</v>
      </c>
      <c r="Q25" s="304">
        <f t="shared" ca="1" si="19"/>
        <v>195.77586206896589</v>
      </c>
      <c r="R25" s="306">
        <f t="shared" ca="1" si="20"/>
        <v>0.10390799755977127</v>
      </c>
      <c r="S25" s="307">
        <f t="shared" ca="1" si="21"/>
        <v>2.1378450585364419</v>
      </c>
      <c r="T25" s="304">
        <f t="shared" ca="1" si="1"/>
        <v>20.972260024242495</v>
      </c>
      <c r="U25" s="311">
        <f t="shared" ca="1" si="2"/>
        <v>0</v>
      </c>
      <c r="V25" s="306">
        <f t="shared" ca="1" si="3"/>
        <v>1.116712224562562</v>
      </c>
      <c r="W25" s="304">
        <f t="shared" ca="1" si="4"/>
        <v>52.779979665780573</v>
      </c>
      <c r="Y25" s="314" t="str">
        <f t="shared" ca="1" si="22"/>
        <v/>
      </c>
      <c r="Z25" s="315" t="str">
        <f t="shared" ca="1" si="23"/>
        <v/>
      </c>
      <c r="AA25" s="316" t="str">
        <f t="shared" ca="1" si="24"/>
        <v/>
      </c>
      <c r="AC25" s="310" t="e">
        <f t="shared" ca="1" si="25"/>
        <v>#N/A</v>
      </c>
      <c r="AD25" s="323" t="e">
        <f t="shared" ca="1" si="26"/>
        <v>#N/A</v>
      </c>
      <c r="AE25" s="324">
        <f t="shared" ca="1" si="5"/>
        <v>924.8598038784753</v>
      </c>
      <c r="AG25" s="306">
        <f t="shared" ca="1" si="27"/>
        <v>57.296560559256406</v>
      </c>
      <c r="AH25" s="304">
        <f t="shared" ca="1" si="28"/>
        <v>67.019380791684739</v>
      </c>
    </row>
    <row r="26" spans="1:34" x14ac:dyDescent="0.25">
      <c r="A26" s="347">
        <f t="shared" ca="1" si="6"/>
        <v>0.01</v>
      </c>
      <c r="B26" s="304">
        <f t="shared" ca="1" si="7"/>
        <v>5.9199999999999955</v>
      </c>
      <c r="D26" s="306">
        <f t="shared" ca="1" si="8"/>
        <v>8.8523130413440381</v>
      </c>
      <c r="E26" s="307">
        <f t="shared" ca="1" si="9"/>
        <v>56.115124623471047</v>
      </c>
      <c r="F26" s="304">
        <f t="shared" ca="1" si="10"/>
        <v>56.809071966453004</v>
      </c>
      <c r="G26" s="306">
        <f t="shared" ca="1" si="11"/>
        <v>27.621685362765724</v>
      </c>
      <c r="H26" s="307">
        <f t="shared" ca="1" si="12"/>
        <v>205.60667358244891</v>
      </c>
      <c r="I26" s="304">
        <f t="shared" ca="1" si="13"/>
        <v>207.45375803759094</v>
      </c>
      <c r="J26" s="306">
        <f t="shared" ca="1" si="14"/>
        <v>111.37224404271363</v>
      </c>
      <c r="K26" s="307">
        <f t="shared" ca="1" si="15"/>
        <v>926.91306485806865</v>
      </c>
      <c r="L26" s="304">
        <f t="shared" ca="1" si="0"/>
        <v>933.57999472337019</v>
      </c>
      <c r="M26" s="306">
        <f t="shared" ca="1" si="16"/>
        <v>1.4372535260108374</v>
      </c>
      <c r="N26" s="304">
        <f t="shared" ca="1" si="17"/>
        <v>82.348561130717073</v>
      </c>
      <c r="P26" s="310">
        <f t="shared" ca="1" si="18"/>
        <v>3</v>
      </c>
      <c r="Q26" s="304">
        <f t="shared" ca="1" si="19"/>
        <v>194.91379310344868</v>
      </c>
      <c r="R26" s="306">
        <f t="shared" ca="1" si="20"/>
        <v>0.10345045463788767</v>
      </c>
      <c r="S26" s="307">
        <f t="shared" ca="1" si="21"/>
        <v>2.1368105539900633</v>
      </c>
      <c r="T26" s="304">
        <f t="shared" ca="1" si="1"/>
        <v>20.962111534642521</v>
      </c>
      <c r="U26" s="311">
        <f t="shared" ca="1" si="2"/>
        <v>0</v>
      </c>
      <c r="V26" s="306">
        <f t="shared" ca="1" si="3"/>
        <v>1.1164824655760728</v>
      </c>
      <c r="W26" s="304">
        <f t="shared" ca="1" si="4"/>
        <v>53.059240706465779</v>
      </c>
      <c r="Y26" s="314" t="str">
        <f t="shared" ca="1" si="22"/>
        <v/>
      </c>
      <c r="Z26" s="315" t="str">
        <f t="shared" ca="1" si="23"/>
        <v/>
      </c>
      <c r="AA26" s="316" t="str">
        <f t="shared" ca="1" si="24"/>
        <v/>
      </c>
      <c r="AC26" s="310" t="e">
        <f t="shared" ca="1" si="25"/>
        <v>#N/A</v>
      </c>
      <c r="AD26" s="323" t="e">
        <f t="shared" ca="1" si="26"/>
        <v>#N/A</v>
      </c>
      <c r="AE26" s="324">
        <f t="shared" ca="1" si="5"/>
        <v>926.91306485806865</v>
      </c>
      <c r="AG26" s="306">
        <f t="shared" ca="1" si="27"/>
        <v>56.794068264490171</v>
      </c>
      <c r="AH26" s="304">
        <f t="shared" ca="1" si="28"/>
        <v>66.516806168081601</v>
      </c>
    </row>
    <row r="27" spans="1:34" x14ac:dyDescent="0.25">
      <c r="A27" s="347">
        <f t="shared" ca="1" si="6"/>
        <v>0.01</v>
      </c>
      <c r="B27" s="304">
        <f t="shared" ca="1" si="7"/>
        <v>5.9299999999999953</v>
      </c>
      <c r="D27" s="306">
        <f t="shared" ca="1" si="8"/>
        <v>8.789581253647361</v>
      </c>
      <c r="E27" s="307">
        <f t="shared" ca="1" si="9"/>
        <v>55.616730484056575</v>
      </c>
      <c r="F27" s="304">
        <f t="shared" ca="1" si="10"/>
        <v>56.306992890320977</v>
      </c>
      <c r="G27" s="306">
        <f t="shared" ca="1" si="11"/>
        <v>27.709581175302198</v>
      </c>
      <c r="H27" s="307">
        <f t="shared" ca="1" si="12"/>
        <v>206.16284088728946</v>
      </c>
      <c r="I27" s="304">
        <f t="shared" ca="1" si="13"/>
        <v>208.01667685940109</v>
      </c>
      <c r="J27" s="306">
        <f t="shared" ca="1" si="14"/>
        <v>111.64890037540397</v>
      </c>
      <c r="K27" s="307">
        <f t="shared" ca="1" si="15"/>
        <v>928.97191243041732</v>
      </c>
      <c r="L27" s="304">
        <f t="shared" ca="1" si="0"/>
        <v>935.65714395801194</v>
      </c>
      <c r="M27" s="306">
        <f t="shared" ca="1" si="16"/>
        <v>1.4371907346752075</v>
      </c>
      <c r="N27" s="304">
        <f t="shared" ca="1" si="17"/>
        <v>82.344963452195486</v>
      </c>
      <c r="P27" s="310">
        <f t="shared" ca="1" si="18"/>
        <v>3</v>
      </c>
      <c r="Q27" s="304">
        <f t="shared" ca="1" si="19"/>
        <v>194.05172413793144</v>
      </c>
      <c r="R27" s="306">
        <f t="shared" ca="1" si="20"/>
        <v>0.10299291171600404</v>
      </c>
      <c r="S27" s="307">
        <f t="shared" ca="1" si="21"/>
        <v>2.1357806248729032</v>
      </c>
      <c r="T27" s="304">
        <f t="shared" ca="1" si="1"/>
        <v>20.95200793000318</v>
      </c>
      <c r="U27" s="311">
        <f t="shared" ca="1" si="2"/>
        <v>0</v>
      </c>
      <c r="V27" s="306">
        <f t="shared" ca="1" si="3"/>
        <v>1.1162521267180479</v>
      </c>
      <c r="W27" s="304">
        <f t="shared" ca="1" si="4"/>
        <v>53.336574307065618</v>
      </c>
      <c r="Y27" s="314" t="str">
        <f t="shared" ca="1" si="22"/>
        <v/>
      </c>
      <c r="Z27" s="315" t="str">
        <f t="shared" ca="1" si="23"/>
        <v/>
      </c>
      <c r="AA27" s="316" t="str">
        <f t="shared" ca="1" si="24"/>
        <v/>
      </c>
      <c r="AC27" s="310" t="e">
        <f t="shared" ca="1" si="25"/>
        <v>#N/A</v>
      </c>
      <c r="AD27" s="323" t="e">
        <f t="shared" ca="1" si="26"/>
        <v>#N/A</v>
      </c>
      <c r="AE27" s="324">
        <f t="shared" ca="1" si="5"/>
        <v>928.97191243041732</v>
      </c>
      <c r="AG27" s="306">
        <f t="shared" ca="1" si="27"/>
        <v>56.291841173111486</v>
      </c>
      <c r="AH27" s="304">
        <f t="shared" ca="1" si="28"/>
        <v>66.014496896120079</v>
      </c>
    </row>
    <row r="28" spans="1:34" x14ac:dyDescent="0.25">
      <c r="A28" s="347">
        <f t="shared" ca="1" si="6"/>
        <v>0.01</v>
      </c>
      <c r="B28" s="304">
        <f t="shared" ca="1" si="7"/>
        <v>5.9399999999999951</v>
      </c>
      <c r="D28" s="306">
        <f t="shared" ca="1" si="8"/>
        <v>8.7268146271698406</v>
      </c>
      <c r="E28" s="307">
        <f t="shared" ca="1" si="9"/>
        <v>55.118621044538955</v>
      </c>
      <c r="F28" s="304">
        <f t="shared" ca="1" si="10"/>
        <v>55.805194018016621</v>
      </c>
      <c r="G28" s="306">
        <f t="shared" ca="1" si="11"/>
        <v>27.796849321573895</v>
      </c>
      <c r="H28" s="307">
        <f t="shared" ca="1" si="12"/>
        <v>206.71402709773486</v>
      </c>
      <c r="I28" s="304">
        <f t="shared" ca="1" si="13"/>
        <v>208.57457618599958</v>
      </c>
      <c r="J28" s="306">
        <f t="shared" ca="1" si="14"/>
        <v>111.92643252788835</v>
      </c>
      <c r="K28" s="307">
        <f t="shared" ca="1" si="15"/>
        <v>931.03629677034246</v>
      </c>
      <c r="L28" s="304">
        <f t="shared" ca="1" si="0"/>
        <v>937.73989581453395</v>
      </c>
      <c r="M28" s="306">
        <f t="shared" ca="1" si="16"/>
        <v>1.4371280820251489</v>
      </c>
      <c r="N28" s="304">
        <f t="shared" ca="1" si="17"/>
        <v>82.341373719771809</v>
      </c>
      <c r="P28" s="310">
        <f t="shared" ca="1" si="18"/>
        <v>3</v>
      </c>
      <c r="Q28" s="304">
        <f t="shared" ca="1" si="19"/>
        <v>193.18965517241423</v>
      </c>
      <c r="R28" s="306">
        <f t="shared" ca="1" si="20"/>
        <v>0.10253536879412044</v>
      </c>
      <c r="S28" s="307">
        <f t="shared" ca="1" si="21"/>
        <v>2.1347552711849622</v>
      </c>
      <c r="T28" s="304">
        <f t="shared" ca="1" si="1"/>
        <v>20.941949210324481</v>
      </c>
      <c r="U28" s="311">
        <f t="shared" ca="1" si="2"/>
        <v>0</v>
      </c>
      <c r="V28" s="306">
        <f t="shared" ca="1" si="3"/>
        <v>1.1160212139167087</v>
      </c>
      <c r="W28" s="304">
        <f t="shared" ca="1" si="4"/>
        <v>53.611961928185593</v>
      </c>
      <c r="Y28" s="314" t="str">
        <f t="shared" ca="1" si="22"/>
        <v/>
      </c>
      <c r="Z28" s="315" t="str">
        <f t="shared" ca="1" si="23"/>
        <v/>
      </c>
      <c r="AA28" s="316" t="str">
        <f t="shared" ca="1" si="24"/>
        <v/>
      </c>
      <c r="AC28" s="310" t="e">
        <f t="shared" ca="1" si="25"/>
        <v>#N/A</v>
      </c>
      <c r="AD28" s="323" t="e">
        <f t="shared" ca="1" si="26"/>
        <v>#N/A</v>
      </c>
      <c r="AE28" s="324">
        <f t="shared" ca="1" si="5"/>
        <v>931.03629677034246</v>
      </c>
      <c r="AG28" s="306">
        <f t="shared" ca="1" si="27"/>
        <v>55.789891723390348</v>
      </c>
      <c r="AH28" s="304">
        <f t="shared" ca="1" si="28"/>
        <v>65.512465411418702</v>
      </c>
    </row>
    <row r="29" spans="1:34" x14ac:dyDescent="0.25">
      <c r="A29" s="347">
        <f t="shared" ca="1" si="6"/>
        <v>0.01</v>
      </c>
      <c r="B29" s="304">
        <f t="shared" ca="1" si="7"/>
        <v>5.9499999999999948</v>
      </c>
      <c r="D29" s="306">
        <f t="shared" ca="1" si="8"/>
        <v>8.6640152087006008</v>
      </c>
      <c r="E29" s="307">
        <f t="shared" ca="1" si="9"/>
        <v>54.62080846707687</v>
      </c>
      <c r="F29" s="304">
        <f t="shared" ca="1" si="10"/>
        <v>55.303687735391492</v>
      </c>
      <c r="G29" s="306">
        <f t="shared" ca="1" si="11"/>
        <v>27.883489473660902</v>
      </c>
      <c r="H29" s="307">
        <f t="shared" ca="1" si="12"/>
        <v>207.26023518240564</v>
      </c>
      <c r="I29" s="304">
        <f t="shared" ca="1" si="13"/>
        <v>209.12745891702949</v>
      </c>
      <c r="J29" s="306">
        <f t="shared" ca="1" si="14"/>
        <v>112.20483422186453</v>
      </c>
      <c r="K29" s="307">
        <f t="shared" ca="1" si="15"/>
        <v>933.10616808174314</v>
      </c>
      <c r="L29" s="304">
        <f t="shared" ca="1" si="0"/>
        <v>939.82820011688852</v>
      </c>
      <c r="M29" s="306">
        <f t="shared" ca="1" si="16"/>
        <v>1.4370655658858289</v>
      </c>
      <c r="N29" s="304">
        <f t="shared" ca="1" si="17"/>
        <v>82.337791808837324</v>
      </c>
      <c r="P29" s="310">
        <f t="shared" ca="1" si="18"/>
        <v>3</v>
      </c>
      <c r="Q29" s="304">
        <f t="shared" ca="1" si="19"/>
        <v>192.327586206897</v>
      </c>
      <c r="R29" s="306">
        <f t="shared" ca="1" si="20"/>
        <v>0.10207782587223681</v>
      </c>
      <c r="S29" s="307">
        <f t="shared" ca="1" si="21"/>
        <v>2.1337344929262398</v>
      </c>
      <c r="T29" s="304">
        <f t="shared" ca="1" si="1"/>
        <v>20.931935375606415</v>
      </c>
      <c r="U29" s="311">
        <f t="shared" ca="1" si="2"/>
        <v>0</v>
      </c>
      <c r="V29" s="306">
        <f t="shared" ca="1" si="3"/>
        <v>1.1157897330934063</v>
      </c>
      <c r="W29" s="304">
        <f t="shared" ca="1" si="4"/>
        <v>53.885385322949382</v>
      </c>
      <c r="Y29" s="314" t="str">
        <f t="shared" ca="1" si="22"/>
        <v/>
      </c>
      <c r="Z29" s="315" t="str">
        <f t="shared" ca="1" si="23"/>
        <v/>
      </c>
      <c r="AA29" s="316" t="str">
        <f t="shared" ca="1" si="24"/>
        <v/>
      </c>
      <c r="AC29" s="310" t="e">
        <f t="shared" ca="1" si="25"/>
        <v>#N/A</v>
      </c>
      <c r="AD29" s="323" t="e">
        <f t="shared" ca="1" si="26"/>
        <v>#N/A</v>
      </c>
      <c r="AE29" s="324">
        <f t="shared" ca="1" si="5"/>
        <v>933.10616808174314</v>
      </c>
      <c r="AG29" s="306">
        <f t="shared" ca="1" si="27"/>
        <v>55.288232236684493</v>
      </c>
      <c r="AH29" s="304">
        <f t="shared" ca="1" si="28"/>
        <v>65.010724032714322</v>
      </c>
    </row>
    <row r="30" spans="1:34" x14ac:dyDescent="0.25">
      <c r="A30" s="347">
        <f t="shared" ca="1" si="6"/>
        <v>0.01</v>
      </c>
      <c r="B30" s="304">
        <f t="shared" ca="1" si="7"/>
        <v>5.9599999999999946</v>
      </c>
      <c r="D30" s="306">
        <f t="shared" ca="1" si="8"/>
        <v>8.6011850260692899</v>
      </c>
      <c r="E30" s="307">
        <f t="shared" ca="1" si="9"/>
        <v>54.12330479796848</v>
      </c>
      <c r="F30" s="304">
        <f t="shared" ca="1" si="10"/>
        <v>54.802486313181781</v>
      </c>
      <c r="G30" s="306">
        <f t="shared" ca="1" si="11"/>
        <v>27.969501323921595</v>
      </c>
      <c r="H30" s="307">
        <f t="shared" ca="1" si="12"/>
        <v>207.80146823038532</v>
      </c>
      <c r="I30" s="304">
        <f t="shared" ca="1" si="13"/>
        <v>209.67532807417444</v>
      </c>
      <c r="J30" s="306">
        <f t="shared" ca="1" si="14"/>
        <v>112.48409917585245</v>
      </c>
      <c r="K30" s="307">
        <f t="shared" ca="1" si="15"/>
        <v>935.18147659880708</v>
      </c>
      <c r="L30" s="304">
        <f t="shared" ca="1" si="0"/>
        <v>941.92200671867101</v>
      </c>
      <c r="M30" s="306">
        <f t="shared" ca="1" si="16"/>
        <v>1.4370031841093061</v>
      </c>
      <c r="N30" s="304">
        <f t="shared" ca="1" si="17"/>
        <v>82.334217596324038</v>
      </c>
      <c r="P30" s="310">
        <f t="shared" ca="1" si="18"/>
        <v>3</v>
      </c>
      <c r="Q30" s="304">
        <f t="shared" ca="1" si="19"/>
        <v>191.46551724137979</v>
      </c>
      <c r="R30" s="306">
        <f t="shared" ca="1" si="20"/>
        <v>0.10162028295035321</v>
      </c>
      <c r="S30" s="307">
        <f t="shared" ca="1" si="21"/>
        <v>2.1327182900967365</v>
      </c>
      <c r="T30" s="304">
        <f t="shared" ca="1" si="1"/>
        <v>20.921966425848986</v>
      </c>
      <c r="U30" s="311">
        <f t="shared" ca="1" si="2"/>
        <v>0</v>
      </c>
      <c r="V30" s="306">
        <f t="shared" ca="1" si="3"/>
        <v>1.1155576901624593</v>
      </c>
      <c r="W30" s="304">
        <f t="shared" ca="1" si="4"/>
        <v>54.156826536592582</v>
      </c>
      <c r="Y30" s="314" t="str">
        <f t="shared" ca="1" si="22"/>
        <v/>
      </c>
      <c r="Z30" s="315" t="str">
        <f t="shared" ca="1" si="23"/>
        <v/>
      </c>
      <c r="AA30" s="316" t="str">
        <f t="shared" ca="1" si="24"/>
        <v/>
      </c>
      <c r="AC30" s="310" t="e">
        <f t="shared" ca="1" si="25"/>
        <v>#N/A</v>
      </c>
      <c r="AD30" s="323" t="e">
        <f t="shared" ca="1" si="26"/>
        <v>#N/A</v>
      </c>
      <c r="AE30" s="324">
        <f t="shared" ca="1" si="5"/>
        <v>935.18147659880708</v>
      </c>
      <c r="AG30" s="306">
        <f t="shared" ca="1" si="27"/>
        <v>54.786874917067109</v>
      </c>
      <c r="AH30" s="304">
        <f t="shared" ca="1" si="28"/>
        <v>64.509284961489215</v>
      </c>
    </row>
    <row r="31" spans="1:34" x14ac:dyDescent="0.25">
      <c r="A31" s="347">
        <f t="shared" ca="1" si="6"/>
        <v>0.01</v>
      </c>
      <c r="B31" s="304">
        <f t="shared" ca="1" si="7"/>
        <v>5.9699999999999944</v>
      </c>
      <c r="D31" s="306">
        <f t="shared" ca="1" si="8"/>
        <v>8.538326088156678</v>
      </c>
      <c r="E31" s="307">
        <f t="shared" ca="1" si="9"/>
        <v>53.626121967296775</v>
      </c>
      <c r="F31" s="304">
        <f t="shared" ca="1" si="10"/>
        <v>54.301601906749369</v>
      </c>
      <c r="G31" s="306">
        <f t="shared" ca="1" si="11"/>
        <v>28.054884584803162</v>
      </c>
      <c r="H31" s="307">
        <f t="shared" ca="1" si="12"/>
        <v>208.3377294500583</v>
      </c>
      <c r="I31" s="304">
        <f t="shared" ca="1" si="13"/>
        <v>210.21818679998245</v>
      </c>
      <c r="J31" s="306">
        <f t="shared" ca="1" si="14"/>
        <v>112.76422110539608</v>
      </c>
      <c r="K31" s="307">
        <f t="shared" ca="1" si="15"/>
        <v>937.26217258720931</v>
      </c>
      <c r="L31" s="304">
        <f t="shared" ca="1" si="0"/>
        <v>944.02126550433309</v>
      </c>
      <c r="M31" s="306">
        <f t="shared" ca="1" si="16"/>
        <v>1.4369409345739825</v>
      </c>
      <c r="N31" s="304">
        <f t="shared" ca="1" si="17"/>
        <v>82.330650960673353</v>
      </c>
      <c r="P31" s="310">
        <f t="shared" ca="1" si="18"/>
        <v>3</v>
      </c>
      <c r="Q31" s="304">
        <f t="shared" ca="1" si="19"/>
        <v>190.60344827586255</v>
      </c>
      <c r="R31" s="306">
        <f t="shared" ca="1" si="20"/>
        <v>0.10116274002846957</v>
      </c>
      <c r="S31" s="307">
        <f t="shared" ca="1" si="21"/>
        <v>2.1317066626964518</v>
      </c>
      <c r="T31" s="304">
        <f t="shared" ca="1" si="1"/>
        <v>20.912042361052194</v>
      </c>
      <c r="U31" s="311">
        <f t="shared" ca="1" si="2"/>
        <v>0</v>
      </c>
      <c r="V31" s="306">
        <f t="shared" ca="1" si="3"/>
        <v>1.1153250910309966</v>
      </c>
      <c r="W31" s="304">
        <f t="shared" ca="1" si="4"/>
        <v>54.426267906019092</v>
      </c>
      <c r="Y31" s="314" t="str">
        <f t="shared" ca="1" si="22"/>
        <v/>
      </c>
      <c r="Z31" s="315" t="str">
        <f t="shared" ca="1" si="23"/>
        <v/>
      </c>
      <c r="AA31" s="316" t="str">
        <f t="shared" ca="1" si="24"/>
        <v/>
      </c>
      <c r="AC31" s="310" t="e">
        <f t="shared" ca="1" si="25"/>
        <v>#N/A</v>
      </c>
      <c r="AD31" s="323" t="e">
        <f t="shared" ca="1" si="26"/>
        <v>#N/A</v>
      </c>
      <c r="AE31" s="324">
        <f t="shared" ca="1" si="5"/>
        <v>937.26217258720931</v>
      </c>
      <c r="AG31" s="306">
        <f t="shared" ca="1" si="27"/>
        <v>54.285831850975526</v>
      </c>
      <c r="AH31" s="304">
        <f t="shared" ca="1" si="28"/>
        <v>64.008160281619169</v>
      </c>
    </row>
    <row r="32" spans="1:34" x14ac:dyDescent="0.25">
      <c r="A32" s="347">
        <f t="shared" ca="1" si="6"/>
        <v>0.01</v>
      </c>
      <c r="B32" s="304">
        <f t="shared" ca="1" si="7"/>
        <v>5.9799999999999942</v>
      </c>
      <c r="D32" s="306">
        <f t="shared" ca="1" si="8"/>
        <v>8.475440384905756</v>
      </c>
      <c r="E32" s="307">
        <f t="shared" ca="1" si="9"/>
        <v>53.129271788595069</v>
      </c>
      <c r="F32" s="304">
        <f t="shared" ca="1" si="10"/>
        <v>53.801046555847734</v>
      </c>
      <c r="G32" s="306">
        <f t="shared" ca="1" si="11"/>
        <v>28.139638988652219</v>
      </c>
      <c r="H32" s="307">
        <f t="shared" ca="1" si="12"/>
        <v>208.86902216794425</v>
      </c>
      <c r="I32" s="304">
        <f t="shared" ca="1" si="13"/>
        <v>210.75603835668591</v>
      </c>
      <c r="J32" s="306">
        <f t="shared" ca="1" si="14"/>
        <v>113.04519372326335</v>
      </c>
      <c r="K32" s="307">
        <f t="shared" ca="1" si="15"/>
        <v>939.34820634529933</v>
      </c>
      <c r="L32" s="304">
        <f t="shared" ca="1" si="0"/>
        <v>946.12592639038337</v>
      </c>
      <c r="M32" s="306">
        <f t="shared" ca="1" si="16"/>
        <v>1.436878815184067</v>
      </c>
      <c r="N32" s="304">
        <f t="shared" ca="1" si="17"/>
        <v>82.327091781805265</v>
      </c>
      <c r="P32" s="310">
        <f t="shared" ca="1" si="18"/>
        <v>3</v>
      </c>
      <c r="Q32" s="304">
        <f t="shared" ca="1" si="19"/>
        <v>189.74137931034534</v>
      </c>
      <c r="R32" s="306">
        <f t="shared" ca="1" si="20"/>
        <v>0.10070519710658597</v>
      </c>
      <c r="S32" s="307">
        <f t="shared" ca="1" si="21"/>
        <v>2.1306996107253862</v>
      </c>
      <c r="T32" s="304">
        <f t="shared" ca="1" si="1"/>
        <v>20.902163181216039</v>
      </c>
      <c r="U32" s="311">
        <f t="shared" ca="1" si="2"/>
        <v>0</v>
      </c>
      <c r="V32" s="306">
        <f t="shared" ca="1" si="3"/>
        <v>1.1150919415988039</v>
      </c>
      <c r="W32" s="304">
        <f t="shared" ca="1" si="4"/>
        <v>54.693692059319929</v>
      </c>
      <c r="Y32" s="314" t="str">
        <f t="shared" ca="1" si="22"/>
        <v/>
      </c>
      <c r="Z32" s="315" t="str">
        <f t="shared" ca="1" si="23"/>
        <v/>
      </c>
      <c r="AA32" s="316" t="str">
        <f t="shared" ca="1" si="24"/>
        <v/>
      </c>
      <c r="AC32" s="310" t="e">
        <f t="shared" ca="1" si="25"/>
        <v>#N/A</v>
      </c>
      <c r="AD32" s="323" t="e">
        <f t="shared" ca="1" si="26"/>
        <v>#N/A</v>
      </c>
      <c r="AE32" s="324">
        <f t="shared" ca="1" si="5"/>
        <v>939.34820634529933</v>
      </c>
      <c r="AG32" s="306">
        <f t="shared" ca="1" si="27"/>
        <v>53.785115006880034</v>
      </c>
      <c r="AH32" s="304">
        <f t="shared" ca="1" si="28"/>
        <v>63.507361959041653</v>
      </c>
    </row>
    <row r="33" spans="1:34" x14ac:dyDescent="0.25">
      <c r="A33" s="347">
        <f t="shared" ca="1" si="6"/>
        <v>0.01</v>
      </c>
      <c r="B33" s="304">
        <f t="shared" ca="1" si="7"/>
        <v>5.989999999999994</v>
      </c>
      <c r="D33" s="306">
        <f t="shared" ca="1" si="8"/>
        <v>8.4125298873338465</v>
      </c>
      <c r="E33" s="307">
        <f t="shared" ca="1" si="9"/>
        <v>52.632765958533192</v>
      </c>
      <c r="F33" s="304">
        <f t="shared" ca="1" si="10"/>
        <v>53.300832184413551</v>
      </c>
      <c r="G33" s="306">
        <f t="shared" ca="1" si="11"/>
        <v>28.223764287525558</v>
      </c>
      <c r="H33" s="307">
        <f t="shared" ca="1" si="12"/>
        <v>209.39534982752957</v>
      </c>
      <c r="I33" s="304">
        <f t="shared" ca="1" si="13"/>
        <v>211.2888861250191</v>
      </c>
      <c r="J33" s="306">
        <f t="shared" ca="1" si="14"/>
        <v>113.32701073964424</v>
      </c>
      <c r="K33" s="307">
        <f t="shared" ca="1" si="15"/>
        <v>941.4395282052767</v>
      </c>
      <c r="L33" s="304">
        <f t="shared" ca="1" si="0"/>
        <v>948.23593932657786</v>
      </c>
      <c r="M33" s="306">
        <f t="shared" ca="1" si="16"/>
        <v>1.4368168238690522</v>
      </c>
      <c r="N33" s="304">
        <f t="shared" ca="1" si="17"/>
        <v>82.323539941088455</v>
      </c>
      <c r="P33" s="310">
        <f t="shared" ca="1" si="18"/>
        <v>3</v>
      </c>
      <c r="Q33" s="304">
        <f t="shared" ca="1" si="19"/>
        <v>188.8793103448281</v>
      </c>
      <c r="R33" s="306">
        <f t="shared" ca="1" si="20"/>
        <v>0.10024765418470236</v>
      </c>
      <c r="S33" s="307">
        <f t="shared" ca="1" si="21"/>
        <v>2.1296971341835391</v>
      </c>
      <c r="T33" s="304">
        <f t="shared" ca="1" si="1"/>
        <v>20.892328886340518</v>
      </c>
      <c r="U33" s="311">
        <f t="shared" ca="1" si="2"/>
        <v>0</v>
      </c>
      <c r="V33" s="306">
        <f t="shared" ca="1" si="3"/>
        <v>1.1148582477581666</v>
      </c>
      <c r="W33" s="304">
        <f t="shared" ca="1" si="4"/>
        <v>54.959081915255481</v>
      </c>
      <c r="Y33" s="314" t="str">
        <f t="shared" ca="1" si="22"/>
        <v/>
      </c>
      <c r="Z33" s="315" t="str">
        <f t="shared" ca="1" si="23"/>
        <v/>
      </c>
      <c r="AA33" s="316" t="str">
        <f t="shared" ca="1" si="24"/>
        <v/>
      </c>
      <c r="AC33" s="310" t="e">
        <f t="shared" ca="1" si="25"/>
        <v>#N/A</v>
      </c>
      <c r="AD33" s="323" t="e">
        <f t="shared" ca="1" si="26"/>
        <v>#N/A</v>
      </c>
      <c r="AE33" s="324">
        <f t="shared" ca="1" si="5"/>
        <v>941.4395282052767</v>
      </c>
      <c r="AG33" s="306">
        <f t="shared" ca="1" si="27"/>
        <v>53.284736234973245</v>
      </c>
      <c r="AH33" s="304">
        <f t="shared" ca="1" si="28"/>
        <v>63.006901841444616</v>
      </c>
    </row>
    <row r="34" spans="1:34" x14ac:dyDescent="0.25">
      <c r="A34" s="347">
        <f t="shared" ca="1" si="6"/>
        <v>0.01</v>
      </c>
      <c r="B34" s="304">
        <f t="shared" ca="1" si="7"/>
        <v>5.9999999999999938</v>
      </c>
      <c r="D34" s="306">
        <f t="shared" ca="1" si="8"/>
        <v>8.3495965475453602</v>
      </c>
      <c r="E34" s="307">
        <f t="shared" ca="1" si="9"/>
        <v>52.136616056623765</v>
      </c>
      <c r="F34" s="304">
        <f t="shared" ca="1" si="10"/>
        <v>52.800970600383671</v>
      </c>
      <c r="G34" s="306">
        <f t="shared" ca="1" si="11"/>
        <v>28.307260253001012</v>
      </c>
      <c r="H34" s="307">
        <f t="shared" ca="1" si="12"/>
        <v>209.9167159880958</v>
      </c>
      <c r="I34" s="304">
        <f t="shared" ca="1" si="13"/>
        <v>211.81673360303242</v>
      </c>
      <c r="J34" s="306">
        <f t="shared" ca="1" si="14"/>
        <v>113.60966586234687</v>
      </c>
      <c r="K34" s="307">
        <f t="shared" ca="1" si="15"/>
        <v>943.5360885343548</v>
      </c>
      <c r="L34" s="304">
        <f t="shared" ca="1" si="0"/>
        <v>950.35125429709626</v>
      </c>
      <c r="M34" s="306">
        <f t="shared" ca="1" si="16"/>
        <v>1.4367549585832027</v>
      </c>
      <c r="N34" s="304">
        <f t="shared" ca="1" si="17"/>
        <v>82.319995321310898</v>
      </c>
      <c r="P34" s="310">
        <f t="shared" ca="1" si="18"/>
        <v>3</v>
      </c>
      <c r="Q34" s="304">
        <f t="shared" ca="1" si="19"/>
        <v>188.01724137931089</v>
      </c>
      <c r="R34" s="306">
        <f t="shared" ca="1" si="20"/>
        <v>9.979011126281874E-2</v>
      </c>
      <c r="S34" s="307">
        <f t="shared" ca="1" si="21"/>
        <v>2.1286992330709111</v>
      </c>
      <c r="T34" s="304">
        <f t="shared" ca="1" si="1"/>
        <v>20.882539476425638</v>
      </c>
      <c r="U34" s="311">
        <f t="shared" ca="1" si="2"/>
        <v>0</v>
      </c>
      <c r="V34" s="306">
        <f t="shared" ca="1" si="3"/>
        <v>1.1146240153937186</v>
      </c>
      <c r="W34" s="304">
        <f t="shared" ca="1" si="4"/>
        <v>55.222420682701589</v>
      </c>
      <c r="Y34" s="314" t="str">
        <f t="shared" ca="1" si="22"/>
        <v/>
      </c>
      <c r="Z34" s="315" t="str">
        <f t="shared" ca="1" si="23"/>
        <v/>
      </c>
      <c r="AA34" s="316" t="str">
        <f t="shared" ca="1" si="24"/>
        <v/>
      </c>
      <c r="AC34" s="310">
        <f t="shared" ca="1" si="25"/>
        <v>5.9999999999999938</v>
      </c>
      <c r="AD34" s="323">
        <f t="shared" ca="1" si="26"/>
        <v>113.60966586234687</v>
      </c>
      <c r="AE34" s="324">
        <f t="shared" ca="1" si="5"/>
        <v>943.5360885343548</v>
      </c>
      <c r="AG34" s="306">
        <f t="shared" ca="1" si="27"/>
        <v>52.784707266879579</v>
      </c>
      <c r="AH34" s="304">
        <f t="shared" ca="1" si="28"/>
        <v>62.50679165797537</v>
      </c>
    </row>
    <row r="35" spans="1:34" x14ac:dyDescent="0.25">
      <c r="A35" s="347">
        <f t="shared" ca="1" si="6"/>
        <v>0.01</v>
      </c>
      <c r="B35" s="304">
        <f t="shared" ca="1" si="7"/>
        <v>6.0099999999999936</v>
      </c>
      <c r="D35" s="306">
        <f t="shared" ca="1" si="8"/>
        <v>8.2866422987454946</v>
      </c>
      <c r="E35" s="307">
        <f t="shared" ca="1" si="9"/>
        <v>51.640833544948421</v>
      </c>
      <c r="F35" s="304">
        <f t="shared" ca="1" si="10"/>
        <v>52.301473495537657</v>
      </c>
      <c r="G35" s="306">
        <f t="shared" ca="1" si="11"/>
        <v>28.390126675988466</v>
      </c>
      <c r="H35" s="307">
        <f t="shared" ca="1" si="12"/>
        <v>210.43312432354529</v>
      </c>
      <c r="I35" s="304">
        <f t="shared" ca="1" si="13"/>
        <v>212.33958440490397</v>
      </c>
      <c r="J35" s="306">
        <f t="shared" ca="1" si="14"/>
        <v>113.89315279699181</v>
      </c>
      <c r="K35" s="307">
        <f t="shared" ca="1" si="15"/>
        <v>945.63783773591297</v>
      </c>
      <c r="L35" s="304">
        <f t="shared" ca="1" si="0"/>
        <v>952.47182132170803</v>
      </c>
      <c r="M35" s="306">
        <f t="shared" ca="1" si="16"/>
        <v>1.4366932173050564</v>
      </c>
      <c r="N35" s="304">
        <f t="shared" ca="1" si="17"/>
        <v>82.316457806651385</v>
      </c>
      <c r="P35" s="310">
        <f t="shared" ca="1" si="18"/>
        <v>3</v>
      </c>
      <c r="Q35" s="304">
        <f t="shared" ca="1" si="19"/>
        <v>187.15517241379365</v>
      </c>
      <c r="R35" s="306">
        <f t="shared" ca="1" si="20"/>
        <v>9.9332568340935123E-2</v>
      </c>
      <c r="S35" s="307">
        <f t="shared" ca="1" si="21"/>
        <v>2.1277059073875018</v>
      </c>
      <c r="T35" s="304">
        <f t="shared" ca="1" si="1"/>
        <v>20.872794951471395</v>
      </c>
      <c r="U35" s="311">
        <f t="shared" ca="1" si="2"/>
        <v>0</v>
      </c>
      <c r="V35" s="306">
        <f t="shared" ca="1" si="3"/>
        <v>1.1143892503822923</v>
      </c>
      <c r="W35" s="304">
        <f t="shared" ca="1" si="4"/>
        <v>55.48369186006007</v>
      </c>
      <c r="Y35" s="314" t="str">
        <f t="shared" ca="1" si="22"/>
        <v/>
      </c>
      <c r="Z35" s="315" t="str">
        <f t="shared" ca="1" si="23"/>
        <v/>
      </c>
      <c r="AA35" s="316" t="str">
        <f t="shared" ca="1" si="24"/>
        <v/>
      </c>
      <c r="AC35" s="310" t="e">
        <f t="shared" ca="1" si="25"/>
        <v>#N/A</v>
      </c>
      <c r="AD35" s="323" t="e">
        <f t="shared" ca="1" si="26"/>
        <v>#N/A</v>
      </c>
      <c r="AE35" s="324">
        <f t="shared" ca="1" si="5"/>
        <v>945.63783773591297</v>
      </c>
      <c r="AG35" s="306">
        <f t="shared" ca="1" si="27"/>
        <v>52.285039715384571</v>
      </c>
      <c r="AH35" s="304">
        <f t="shared" ca="1" si="28"/>
        <v>62.007043018969355</v>
      </c>
    </row>
    <row r="36" spans="1:34" x14ac:dyDescent="0.25">
      <c r="A36" s="347">
        <f t="shared" ca="1" si="6"/>
        <v>0.01</v>
      </c>
      <c r="B36" s="304">
        <f t="shared" ca="1" si="7"/>
        <v>6.0199999999999934</v>
      </c>
      <c r="D36" s="306">
        <f t="shared" ca="1" si="8"/>
        <v>8.223669055254728</v>
      </c>
      <c r="E36" s="307">
        <f t="shared" ca="1" si="9"/>
        <v>51.145429767903963</v>
      </c>
      <c r="F36" s="304">
        <f t="shared" ca="1" si="10"/>
        <v>51.802352445366331</v>
      </c>
      <c r="G36" s="306">
        <f t="shared" ca="1" si="11"/>
        <v>28.472363366541014</v>
      </c>
      <c r="H36" s="307">
        <f t="shared" ca="1" si="12"/>
        <v>210.94457862122434</v>
      </c>
      <c r="I36" s="304">
        <f t="shared" ca="1" si="13"/>
        <v>212.85744225974869</v>
      </c>
      <c r="J36" s="306">
        <f t="shared" ca="1" si="14"/>
        <v>114.17746524720447</v>
      </c>
      <c r="K36" s="307">
        <f t="shared" ca="1" si="15"/>
        <v>947.74472625063686</v>
      </c>
      <c r="L36" s="304">
        <f t="shared" ca="1" si="0"/>
        <v>954.59759045692715</v>
      </c>
      <c r="M36" s="306">
        <f t="shared" ca="1" si="16"/>
        <v>1.4366315980369346</v>
      </c>
      <c r="N36" s="304">
        <f t="shared" ca="1" si="17"/>
        <v>82.312927282651316</v>
      </c>
      <c r="P36" s="310">
        <f t="shared" ca="1" si="18"/>
        <v>3</v>
      </c>
      <c r="Q36" s="304">
        <f t="shared" ca="1" si="19"/>
        <v>186.29310344827644</v>
      </c>
      <c r="R36" s="306">
        <f t="shared" ca="1" si="20"/>
        <v>9.8875025419051507E-2</v>
      </c>
      <c r="S36" s="307">
        <f t="shared" ca="1" si="21"/>
        <v>2.1267171571333114</v>
      </c>
      <c r="T36" s="304">
        <f t="shared" ca="1" si="1"/>
        <v>20.863095311477785</v>
      </c>
      <c r="U36" s="311">
        <f t="shared" ca="1" si="2"/>
        <v>0</v>
      </c>
      <c r="V36" s="306">
        <f t="shared" ca="1" si="3"/>
        <v>1.1141539585927702</v>
      </c>
      <c r="W36" s="304">
        <f t="shared" ca="1" si="4"/>
        <v>55.742879234634046</v>
      </c>
      <c r="Y36" s="314" t="str">
        <f t="shared" ca="1" si="22"/>
        <v/>
      </c>
      <c r="Z36" s="315" t="str">
        <f t="shared" ca="1" si="23"/>
        <v/>
      </c>
      <c r="AA36" s="316" t="str">
        <f t="shared" ca="1" si="24"/>
        <v/>
      </c>
      <c r="AC36" s="310" t="e">
        <f t="shared" ca="1" si="25"/>
        <v>#N/A</v>
      </c>
      <c r="AD36" s="323" t="e">
        <f t="shared" ca="1" si="26"/>
        <v>#N/A</v>
      </c>
      <c r="AE36" s="324">
        <f t="shared" ca="1" si="5"/>
        <v>947.74472625063686</v>
      </c>
      <c r="AG36" s="306">
        <f t="shared" ca="1" si="27"/>
        <v>51.785745074184206</v>
      </c>
      <c r="AH36" s="304">
        <f t="shared" ca="1" si="28"/>
        <v>61.50766741569889</v>
      </c>
    </row>
    <row r="37" spans="1:34" x14ac:dyDescent="0.25">
      <c r="A37" s="347">
        <f t="shared" ca="1" si="6"/>
        <v>0.01</v>
      </c>
      <c r="B37" s="304">
        <f t="shared" ca="1" si="7"/>
        <v>6.0299999999999931</v>
      </c>
      <c r="D37" s="306">
        <f t="shared" ca="1" si="8"/>
        <v>8.1606787125243709</v>
      </c>
      <c r="E37" s="307">
        <f t="shared" ca="1" si="9"/>
        <v>50.650415951968149</v>
      </c>
      <c r="F37" s="304">
        <f t="shared" ca="1" si="10"/>
        <v>51.303618908966236</v>
      </c>
      <c r="G37" s="306">
        <f t="shared" ca="1" si="11"/>
        <v>28.553970153666256</v>
      </c>
      <c r="H37" s="307">
        <f t="shared" ca="1" si="12"/>
        <v>211.45108278074403</v>
      </c>
      <c r="I37" s="304">
        <f t="shared" ca="1" si="13"/>
        <v>213.3703110104251</v>
      </c>
      <c r="J37" s="306">
        <f t="shared" ca="1" si="14"/>
        <v>114.4625969148055</v>
      </c>
      <c r="K37" s="307">
        <f t="shared" ca="1" si="15"/>
        <v>949.85670455764671</v>
      </c>
      <c r="L37" s="304">
        <f t="shared" ca="1" si="0"/>
        <v>956.72851179715224</v>
      </c>
      <c r="M37" s="306">
        <f t="shared" ca="1" si="16"/>
        <v>1.4365700988044658</v>
      </c>
      <c r="N37" s="304">
        <f t="shared" ca="1" si="17"/>
        <v>82.309403636187568</v>
      </c>
      <c r="P37" s="310">
        <f t="shared" ca="1" si="18"/>
        <v>3</v>
      </c>
      <c r="Q37" s="304">
        <f t="shared" ca="1" si="19"/>
        <v>185.43103448275923</v>
      </c>
      <c r="R37" s="306">
        <f t="shared" ca="1" si="20"/>
        <v>9.8417482497167905E-2</v>
      </c>
      <c r="S37" s="307">
        <f t="shared" ca="1" si="21"/>
        <v>2.1257329823083397</v>
      </c>
      <c r="T37" s="304">
        <f t="shared" ca="1" si="1"/>
        <v>20.853440556444813</v>
      </c>
      <c r="U37" s="311">
        <f t="shared" ca="1" si="2"/>
        <v>0</v>
      </c>
      <c r="V37" s="306">
        <f t="shared" ca="1" si="3"/>
        <v>1.1139181458859355</v>
      </c>
      <c r="W37" s="304">
        <f t="shared" ca="1" si="4"/>
        <v>55.999966881968618</v>
      </c>
      <c r="Y37" s="314" t="str">
        <f t="shared" ca="1" si="22"/>
        <v/>
      </c>
      <c r="Z37" s="315" t="str">
        <f t="shared" ca="1" si="23"/>
        <v/>
      </c>
      <c r="AA37" s="316" t="str">
        <f t="shared" ca="1" si="24"/>
        <v/>
      </c>
      <c r="AC37" s="310" t="e">
        <f t="shared" ca="1" si="25"/>
        <v>#N/A</v>
      </c>
      <c r="AD37" s="323" t="e">
        <f t="shared" ca="1" si="26"/>
        <v>#N/A</v>
      </c>
      <c r="AE37" s="324">
        <f t="shared" ca="1" si="5"/>
        <v>949.85670455764671</v>
      </c>
      <c r="AG37" s="306">
        <f t="shared" ca="1" si="27"/>
        <v>51.286834717653718</v>
      </c>
      <c r="AH37" s="304">
        <f t="shared" ca="1" si="28"/>
        <v>61.008676220141453</v>
      </c>
    </row>
    <row r="38" spans="1:34" x14ac:dyDescent="0.25">
      <c r="A38" s="347">
        <f t="shared" ca="1" si="6"/>
        <v>0.01</v>
      </c>
      <c r="B38" s="304">
        <f t="shared" ca="1" si="7"/>
        <v>6.0399999999999929</v>
      </c>
      <c r="D38" s="306">
        <f t="shared" ca="1" si="8"/>
        <v>8.0976731471529266</v>
      </c>
      <c r="E38" s="307">
        <f t="shared" ca="1" si="9"/>
        <v>50.155803205484979</v>
      </c>
      <c r="F38" s="304">
        <f t="shared" ca="1" si="10"/>
        <v>50.805284228960467</v>
      </c>
      <c r="G38" s="306">
        <f t="shared" ca="1" si="11"/>
        <v>28.634946885137786</v>
      </c>
      <c r="H38" s="307">
        <f t="shared" ca="1" si="12"/>
        <v>211.95264081279888</v>
      </c>
      <c r="I38" s="304">
        <f t="shared" ca="1" si="13"/>
        <v>213.87819461234005</v>
      </c>
      <c r="J38" s="306">
        <f t="shared" ca="1" si="14"/>
        <v>114.74854149999952</v>
      </c>
      <c r="K38" s="307">
        <f t="shared" ca="1" si="15"/>
        <v>951.9737231756144</v>
      </c>
      <c r="L38" s="304">
        <f t="shared" ca="1" si="0"/>
        <v>958.86453547579822</v>
      </c>
      <c r="M38" s="306">
        <f t="shared" ca="1" si="16"/>
        <v>1.436508717656118</v>
      </c>
      <c r="N38" s="304">
        <f t="shared" ca="1" si="17"/>
        <v>82.30588675544557</v>
      </c>
      <c r="P38" s="310">
        <f t="shared" ca="1" si="18"/>
        <v>3</v>
      </c>
      <c r="Q38" s="304">
        <f t="shared" ca="1" si="19"/>
        <v>184.56896551724199</v>
      </c>
      <c r="R38" s="306">
        <f t="shared" ca="1" si="20"/>
        <v>9.7959939575284288E-2</v>
      </c>
      <c r="S38" s="307">
        <f t="shared" ca="1" si="21"/>
        <v>2.1247533829125871</v>
      </c>
      <c r="T38" s="304">
        <f t="shared" ca="1" si="1"/>
        <v>20.843830686372481</v>
      </c>
      <c r="U38" s="311">
        <f t="shared" ca="1" si="2"/>
        <v>0</v>
      </c>
      <c r="V38" s="306">
        <f t="shared" ca="1" si="3"/>
        <v>1.1136818181143293</v>
      </c>
      <c r="W38" s="304">
        <f t="shared" ca="1" si="4"/>
        <v>56.254939165157786</v>
      </c>
      <c r="Y38" s="314" t="str">
        <f t="shared" ca="1" si="22"/>
        <v/>
      </c>
      <c r="Z38" s="315" t="str">
        <f t="shared" ca="1" si="23"/>
        <v/>
      </c>
      <c r="AA38" s="316" t="str">
        <f t="shared" ca="1" si="24"/>
        <v/>
      </c>
      <c r="AC38" s="310" t="e">
        <f t="shared" ca="1" si="25"/>
        <v>#N/A</v>
      </c>
      <c r="AD38" s="323" t="e">
        <f t="shared" ca="1" si="26"/>
        <v>#N/A</v>
      </c>
      <c r="AE38" s="324">
        <f t="shared" ca="1" si="5"/>
        <v>951.9737231756144</v>
      </c>
      <c r="AG38" s="306">
        <f t="shared" ca="1" si="27"/>
        <v>50.788319900635983</v>
      </c>
      <c r="AH38" s="304">
        <f t="shared" ca="1" si="28"/>
        <v>60.510080684767516</v>
      </c>
    </row>
    <row r="39" spans="1:34" x14ac:dyDescent="0.25">
      <c r="A39" s="347">
        <f t="shared" ca="1" si="6"/>
        <v>0.01</v>
      </c>
      <c r="B39" s="304">
        <f t="shared" ca="1" si="7"/>
        <v>6.0499999999999927</v>
      </c>
      <c r="D39" s="306">
        <f t="shared" ca="1" si="8"/>
        <v>8.0346542169035438</v>
      </c>
      <c r="E39" s="307">
        <f t="shared" ca="1" si="9"/>
        <v>49.661602518469309</v>
      </c>
      <c r="F39" s="304">
        <f t="shared" ca="1" si="10"/>
        <v>50.307359631446005</v>
      </c>
      <c r="G39" s="306">
        <f t="shared" ca="1" si="11"/>
        <v>28.715293427306822</v>
      </c>
      <c r="H39" s="307">
        <f t="shared" ca="1" si="12"/>
        <v>212.44925683798357</v>
      </c>
      <c r="I39" s="304">
        <f t="shared" ca="1" si="13"/>
        <v>214.38109713225145</v>
      </c>
      <c r="J39" s="306">
        <f t="shared" ca="1" si="14"/>
        <v>115.03529270156174</v>
      </c>
      <c r="K39" s="307">
        <f t="shared" ca="1" si="15"/>
        <v>954.09573266386826</v>
      </c>
      <c r="L39" s="304">
        <f t="shared" ca="1" si="0"/>
        <v>961.00561166641353</v>
      </c>
      <c r="M39" s="306">
        <f t="shared" ca="1" si="16"/>
        <v>1.4364474526627433</v>
      </c>
      <c r="N39" s="304">
        <f t="shared" ca="1" si="17"/>
        <v>82.302376529893294</v>
      </c>
      <c r="P39" s="310">
        <f t="shared" ca="1" si="18"/>
        <v>3</v>
      </c>
      <c r="Q39" s="304">
        <f t="shared" ca="1" si="19"/>
        <v>183.70689655172475</v>
      </c>
      <c r="R39" s="306">
        <f t="shared" ca="1" si="20"/>
        <v>9.7502396653400658E-2</v>
      </c>
      <c r="S39" s="307">
        <f t="shared" ca="1" si="21"/>
        <v>2.123778358946053</v>
      </c>
      <c r="T39" s="304">
        <f t="shared" ca="1" si="1"/>
        <v>20.834265701260783</v>
      </c>
      <c r="U39" s="311">
        <f t="shared" ca="1" si="2"/>
        <v>0</v>
      </c>
      <c r="V39" s="306">
        <f t="shared" ca="1" si="3"/>
        <v>1.1134449811221081</v>
      </c>
      <c r="W39" s="304">
        <f t="shared" ca="1" si="4"/>
        <v>56.507780734117745</v>
      </c>
      <c r="Y39" s="314" t="str">
        <f t="shared" ca="1" si="22"/>
        <v/>
      </c>
      <c r="Z39" s="315" t="str">
        <f t="shared" ca="1" si="23"/>
        <v/>
      </c>
      <c r="AA39" s="316" t="str">
        <f t="shared" ca="1" si="24"/>
        <v/>
      </c>
      <c r="AC39" s="310" t="e">
        <f t="shared" ca="1" si="25"/>
        <v>#N/A</v>
      </c>
      <c r="AD39" s="323" t="e">
        <f t="shared" ca="1" si="26"/>
        <v>#N/A</v>
      </c>
      <c r="AE39" s="324">
        <f t="shared" ca="1" si="5"/>
        <v>954.09573266386826</v>
      </c>
      <c r="AG39" s="306">
        <f t="shared" ca="1" si="27"/>
        <v>50.290211758249114</v>
      </c>
      <c r="AH39" s="304">
        <f t="shared" ca="1" si="28"/>
        <v>60.011891942347653</v>
      </c>
    </row>
    <row r="40" spans="1:34" x14ac:dyDescent="0.25">
      <c r="A40" s="347">
        <f t="shared" ca="1" si="6"/>
        <v>0.01</v>
      </c>
      <c r="B40" s="304">
        <f t="shared" ca="1" si="7"/>
        <v>6.0599999999999925</v>
      </c>
      <c r="D40" s="306">
        <f t="shared" ca="1" si="8"/>
        <v>7.9716237607223386</v>
      </c>
      <c r="E40" s="307">
        <f t="shared" ca="1" si="9"/>
        <v>49.167824762430435</v>
      </c>
      <c r="F40" s="304">
        <f t="shared" ca="1" si="10"/>
        <v>49.809856225967771</v>
      </c>
      <c r="G40" s="306">
        <f t="shared" ca="1" si="11"/>
        <v>28.795009664914044</v>
      </c>
      <c r="H40" s="307">
        <f t="shared" ca="1" si="12"/>
        <v>212.94093508560786</v>
      </c>
      <c r="I40" s="304">
        <f t="shared" ca="1" si="13"/>
        <v>214.87902274706937</v>
      </c>
      <c r="J40" s="306">
        <f t="shared" ca="1" si="14"/>
        <v>115.32284421702285</v>
      </c>
      <c r="K40" s="307">
        <f t="shared" ca="1" si="15"/>
        <v>956.2226836234862</v>
      </c>
      <c r="L40" s="304">
        <f t="shared" ca="1" si="0"/>
        <v>963.15169058378626</v>
      </c>
      <c r="M40" s="306">
        <f t="shared" ca="1" si="16"/>
        <v>1.4363863019171306</v>
      </c>
      <c r="N40" s="304">
        <f t="shared" ca="1" si="17"/>
        <v>82.298872850255606</v>
      </c>
      <c r="P40" s="310">
        <f t="shared" ca="1" si="18"/>
        <v>3</v>
      </c>
      <c r="Q40" s="304">
        <f t="shared" ca="1" si="19"/>
        <v>182.84482758620754</v>
      </c>
      <c r="R40" s="306">
        <f t="shared" ca="1" si="20"/>
        <v>9.7044853731517056E-2</v>
      </c>
      <c r="S40" s="307">
        <f t="shared" ca="1" si="21"/>
        <v>2.1228079104087381</v>
      </c>
      <c r="T40" s="304">
        <f t="shared" ca="1" si="1"/>
        <v>20.824745601109722</v>
      </c>
      <c r="U40" s="311">
        <f t="shared" ca="1" si="2"/>
        <v>0</v>
      </c>
      <c r="V40" s="306">
        <f t="shared" ca="1" si="3"/>
        <v>1.1132076407448985</v>
      </c>
      <c r="W40" s="304">
        <f t="shared" ca="1" si="4"/>
        <v>56.758476524827067</v>
      </c>
      <c r="Y40" s="314" t="str">
        <f t="shared" ca="1" si="22"/>
        <v/>
      </c>
      <c r="Z40" s="315" t="str">
        <f t="shared" ca="1" si="23"/>
        <v/>
      </c>
      <c r="AA40" s="316" t="str">
        <f t="shared" ca="1" si="24"/>
        <v/>
      </c>
      <c r="AC40" s="310" t="e">
        <f t="shared" ca="1" si="25"/>
        <v>#N/A</v>
      </c>
      <c r="AD40" s="323" t="e">
        <f t="shared" ca="1" si="26"/>
        <v>#N/A</v>
      </c>
      <c r="AE40" s="324">
        <f t="shared" ca="1" si="5"/>
        <v>956.2226836234862</v>
      </c>
      <c r="AG40" s="306">
        <f t="shared" ca="1" si="27"/>
        <v>49.792521305713123</v>
      </c>
      <c r="AH40" s="304">
        <f t="shared" ca="1" si="28"/>
        <v>59.514121005778669</v>
      </c>
    </row>
    <row r="41" spans="1:34" x14ac:dyDescent="0.25">
      <c r="A41" s="347">
        <f t="shared" ca="1" si="6"/>
        <v>0.01</v>
      </c>
      <c r="B41" s="304">
        <f t="shared" ca="1" si="7"/>
        <v>6.0699999999999923</v>
      </c>
      <c r="D41" s="306">
        <f t="shared" ca="1" si="8"/>
        <v>7.9085835987579234</v>
      </c>
      <c r="E41" s="307">
        <f t="shared" ca="1" si="9"/>
        <v>48.674480690214786</v>
      </c>
      <c r="F41" s="304">
        <f t="shared" ca="1" si="10"/>
        <v>49.312785005519963</v>
      </c>
      <c r="G41" s="306">
        <f t="shared" ca="1" si="11"/>
        <v>28.874095500901625</v>
      </c>
      <c r="H41" s="307">
        <f t="shared" ca="1" si="12"/>
        <v>213.42767989251001</v>
      </c>
      <c r="I41" s="304">
        <f t="shared" ca="1" si="13"/>
        <v>215.37197574265531</v>
      </c>
      <c r="J41" s="306">
        <f t="shared" ca="1" si="14"/>
        <v>115.61118974285192</v>
      </c>
      <c r="K41" s="307">
        <f t="shared" ca="1" si="15"/>
        <v>958.35452669837684</v>
      </c>
      <c r="L41" s="304">
        <f t="shared" ca="1" si="0"/>
        <v>965.30272248503866</v>
      </c>
      <c r="M41" s="306">
        <f t="shared" ca="1" si="16"/>
        <v>1.4363252635335697</v>
      </c>
      <c r="N41" s="304">
        <f t="shared" ca="1" si="17"/>
        <v>82.295375608489266</v>
      </c>
      <c r="P41" s="310">
        <f t="shared" ca="1" si="18"/>
        <v>3</v>
      </c>
      <c r="Q41" s="304">
        <f t="shared" ca="1" si="19"/>
        <v>181.98275862069033</v>
      </c>
      <c r="R41" s="306">
        <f t="shared" ca="1" si="20"/>
        <v>9.6587310809633439E-2</v>
      </c>
      <c r="S41" s="307">
        <f t="shared" ca="1" si="21"/>
        <v>2.1218420373006417</v>
      </c>
      <c r="T41" s="304">
        <f t="shared" ca="1" si="1"/>
        <v>20.815270385919295</v>
      </c>
      <c r="U41" s="311">
        <f t="shared" ca="1" si="2"/>
        <v>0</v>
      </c>
      <c r="V41" s="306">
        <f t="shared" ca="1" si="3"/>
        <v>1.1129698028096624</v>
      </c>
      <c r="W41" s="304">
        <f t="shared" ca="1" si="4"/>
        <v>57.007011758534816</v>
      </c>
      <c r="Y41" s="314" t="str">
        <f t="shared" ca="1" si="22"/>
        <v/>
      </c>
      <c r="Z41" s="315" t="str">
        <f t="shared" ca="1" si="23"/>
        <v/>
      </c>
      <c r="AA41" s="316" t="str">
        <f t="shared" ca="1" si="24"/>
        <v/>
      </c>
      <c r="AC41" s="310" t="e">
        <f t="shared" ca="1" si="25"/>
        <v>#N/A</v>
      </c>
      <c r="AD41" s="323" t="e">
        <f t="shared" ca="1" si="26"/>
        <v>#N/A</v>
      </c>
      <c r="AE41" s="324">
        <f t="shared" ca="1" si="5"/>
        <v>958.35452669837684</v>
      </c>
      <c r="AG41" s="306">
        <f t="shared" ca="1" si="27"/>
        <v>49.295259438195593</v>
      </c>
      <c r="AH41" s="304">
        <f t="shared" ca="1" si="28"/>
        <v>59.016778767928784</v>
      </c>
    </row>
    <row r="42" spans="1:34" x14ac:dyDescent="0.25">
      <c r="A42" s="347">
        <f t="shared" ca="1" si="6"/>
        <v>0.01</v>
      </c>
      <c r="B42" s="304">
        <f t="shared" ca="1" si="7"/>
        <v>6.0799999999999921</v>
      </c>
      <c r="D42" s="306">
        <f t="shared" ca="1" si="8"/>
        <v>7.8455355323818061</v>
      </c>
      <c r="E42" s="307">
        <f t="shared" ca="1" si="9"/>
        <v>48.181580935867203</v>
      </c>
      <c r="F42" s="304">
        <f t="shared" ca="1" si="10"/>
        <v>48.816156846574749</v>
      </c>
      <c r="G42" s="306">
        <f t="shared" ca="1" si="11"/>
        <v>28.952550856225443</v>
      </c>
      <c r="H42" s="307">
        <f t="shared" ca="1" si="12"/>
        <v>213.90949570186868</v>
      </c>
      <c r="I42" s="304">
        <f t="shared" ca="1" si="13"/>
        <v>215.85996051262055</v>
      </c>
      <c r="J42" s="306">
        <f t="shared" ca="1" si="14"/>
        <v>115.90032297463756</v>
      </c>
      <c r="K42" s="307">
        <f t="shared" ca="1" si="15"/>
        <v>960.49121257634874</v>
      </c>
      <c r="L42" s="304">
        <f t="shared" ca="1" si="0"/>
        <v>967.45865767070893</v>
      </c>
      <c r="M42" s="306">
        <f t="shared" ca="1" si="16"/>
        <v>1.436264335647425</v>
      </c>
      <c r="N42" s="304">
        <f t="shared" ca="1" si="17"/>
        <v>82.291884697758519</v>
      </c>
      <c r="P42" s="310">
        <f t="shared" ca="1" si="18"/>
        <v>3</v>
      </c>
      <c r="Q42" s="304">
        <f t="shared" ca="1" si="19"/>
        <v>181.12068965517309</v>
      </c>
      <c r="R42" s="306">
        <f t="shared" ca="1" si="20"/>
        <v>9.6129767887749823E-2</v>
      </c>
      <c r="S42" s="307">
        <f t="shared" ca="1" si="21"/>
        <v>2.1208807396217644</v>
      </c>
      <c r="T42" s="304">
        <f t="shared" ca="1" si="1"/>
        <v>20.805840055689508</v>
      </c>
      <c r="U42" s="311">
        <f t="shared" ca="1" si="2"/>
        <v>0</v>
      </c>
      <c r="V42" s="306">
        <f t="shared" ca="1" si="3"/>
        <v>1.112731473134555</v>
      </c>
      <c r="W42" s="304">
        <f t="shared" ca="1" si="4"/>
        <v>57.253371940936468</v>
      </c>
      <c r="Y42" s="314" t="str">
        <f t="shared" ca="1" si="22"/>
        <v/>
      </c>
      <c r="Z42" s="315" t="str">
        <f t="shared" ca="1" si="23"/>
        <v/>
      </c>
      <c r="AA42" s="316" t="str">
        <f t="shared" ca="1" si="24"/>
        <v/>
      </c>
      <c r="AC42" s="310" t="e">
        <f t="shared" ca="1" si="25"/>
        <v>#N/A</v>
      </c>
      <c r="AD42" s="323" t="e">
        <f t="shared" ca="1" si="26"/>
        <v>#N/A</v>
      </c>
      <c r="AE42" s="324">
        <f t="shared" ca="1" si="5"/>
        <v>960.49121257634874</v>
      </c>
      <c r="AG42" s="306">
        <f t="shared" ca="1" si="27"/>
        <v>48.798436930675962</v>
      </c>
      <c r="AH42" s="304">
        <f t="shared" ca="1" si="28"/>
        <v>58.519876001501423</v>
      </c>
    </row>
    <row r="43" spans="1:34" x14ac:dyDescent="0.25">
      <c r="A43" s="347">
        <f t="shared" ca="1" si="6"/>
        <v>0.01</v>
      </c>
      <c r="B43" s="304">
        <f t="shared" ca="1" si="7"/>
        <v>6.0899999999999919</v>
      </c>
      <c r="D43" s="306">
        <f t="shared" ca="1" si="8"/>
        <v>7.7824813442099456</v>
      </c>
      <c r="E43" s="307">
        <f t="shared" ca="1" si="9"/>
        <v>47.689136014510922</v>
      </c>
      <c r="F43" s="304">
        <f t="shared" ca="1" si="10"/>
        <v>48.319982509138995</v>
      </c>
      <c r="G43" s="306">
        <f t="shared" ca="1" si="11"/>
        <v>29.030375669667542</v>
      </c>
      <c r="H43" s="307">
        <f t="shared" ca="1" si="12"/>
        <v>214.3863870620138</v>
      </c>
      <c r="I43" s="304">
        <f t="shared" ca="1" si="13"/>
        <v>216.3429815571229</v>
      </c>
      <c r="J43" s="306">
        <f t="shared" ca="1" si="14"/>
        <v>116.19023760726702</v>
      </c>
      <c r="K43" s="307">
        <f t="shared" ca="1" si="15"/>
        <v>962.63269199016815</v>
      </c>
      <c r="L43" s="304">
        <f t="shared" ca="1" si="0"/>
        <v>969.61944648582164</v>
      </c>
      <c r="M43" s="306">
        <f t="shared" ca="1" si="16"/>
        <v>1.436203516414716</v>
      </c>
      <c r="N43" s="304">
        <f t="shared" ca="1" si="17"/>
        <v>82.288400012411074</v>
      </c>
      <c r="P43" s="310">
        <f t="shared" ca="1" si="18"/>
        <v>3</v>
      </c>
      <c r="Q43" s="304">
        <f t="shared" ca="1" si="19"/>
        <v>180.25862068965588</v>
      </c>
      <c r="R43" s="306">
        <f t="shared" ca="1" si="20"/>
        <v>9.567222496586622E-2</v>
      </c>
      <c r="S43" s="307">
        <f t="shared" ca="1" si="21"/>
        <v>2.1199240173721057</v>
      </c>
      <c r="T43" s="304">
        <f t="shared" ca="1" si="1"/>
        <v>20.796454610420358</v>
      </c>
      <c r="U43" s="311">
        <f t="shared" ca="1" si="2"/>
        <v>0</v>
      </c>
      <c r="V43" s="306">
        <f t="shared" ca="1" si="3"/>
        <v>1.1124926575287903</v>
      </c>
      <c r="W43" s="304">
        <f t="shared" ca="1" si="4"/>
        <v>57.497542861318678</v>
      </c>
      <c r="Y43" s="314" t="str">
        <f t="shared" ca="1" si="22"/>
        <v/>
      </c>
      <c r="Z43" s="315" t="str">
        <f t="shared" ca="1" si="23"/>
        <v/>
      </c>
      <c r="AA43" s="316" t="str">
        <f t="shared" ca="1" si="24"/>
        <v/>
      </c>
      <c r="AC43" s="310" t="e">
        <f t="shared" ca="1" si="25"/>
        <v>#N/A</v>
      </c>
      <c r="AD43" s="323" t="e">
        <f t="shared" ca="1" si="26"/>
        <v>#N/A</v>
      </c>
      <c r="AE43" s="324">
        <f t="shared" ca="1" si="5"/>
        <v>962.63269199016815</v>
      </c>
      <c r="AG43" s="306">
        <f t="shared" ca="1" si="27"/>
        <v>48.302064437828534</v>
      </c>
      <c r="AH43" s="304">
        <f t="shared" ca="1" si="28"/>
        <v>58.023423358917761</v>
      </c>
    </row>
    <row r="44" spans="1:34" x14ac:dyDescent="0.25">
      <c r="A44" s="347">
        <f t="shared" ca="1" si="6"/>
        <v>0.01</v>
      </c>
      <c r="B44" s="304">
        <f t="shared" ca="1" si="7"/>
        <v>6.0999999999999917</v>
      </c>
      <c r="D44" s="306">
        <f t="shared" ca="1" si="8"/>
        <v>7.7194227981254482</v>
      </c>
      <c r="E44" s="307">
        <f t="shared" ca="1" si="9"/>
        <v>47.197156322245682</v>
      </c>
      <c r="F44" s="304">
        <f t="shared" ca="1" si="10"/>
        <v>47.824272636839069</v>
      </c>
      <c r="G44" s="306">
        <f t="shared" ca="1" si="11"/>
        <v>29.107569897648798</v>
      </c>
      <c r="H44" s="307">
        <f t="shared" ca="1" si="12"/>
        <v>214.85835862523626</v>
      </c>
      <c r="I44" s="304">
        <f t="shared" ca="1" si="13"/>
        <v>216.82104348166288</v>
      </c>
      <c r="J44" s="306">
        <f t="shared" ca="1" si="14"/>
        <v>116.4809273351036</v>
      </c>
      <c r="K44" s="307">
        <f t="shared" ca="1" si="15"/>
        <v>964.77891571860437</v>
      </c>
      <c r="L44" s="304">
        <f t="shared" ca="1" si="0"/>
        <v>971.78503932094554</v>
      </c>
      <c r="M44" s="306">
        <f t="shared" ca="1" si="16"/>
        <v>1.4361428040117112</v>
      </c>
      <c r="N44" s="304">
        <f t="shared" ca="1" si="17"/>
        <v>82.284921447954801</v>
      </c>
      <c r="P44" s="310">
        <f t="shared" ca="1" si="18"/>
        <v>3</v>
      </c>
      <c r="Q44" s="304">
        <f t="shared" ca="1" si="19"/>
        <v>179.39655172413865</v>
      </c>
      <c r="R44" s="306">
        <f t="shared" ca="1" si="20"/>
        <v>9.521468204398259E-2</v>
      </c>
      <c r="S44" s="307">
        <f t="shared" ca="1" si="21"/>
        <v>2.118971870551666</v>
      </c>
      <c r="T44" s="304">
        <f t="shared" ca="1" si="1"/>
        <v>20.787114050111846</v>
      </c>
      <c r="U44" s="311">
        <f t="shared" ca="1" si="2"/>
        <v>0</v>
      </c>
      <c r="V44" s="306">
        <f t="shared" ca="1" si="3"/>
        <v>1.1122533617925079</v>
      </c>
      <c r="W44" s="304">
        <f t="shared" ca="1" si="4"/>
        <v>57.739510591673387</v>
      </c>
      <c r="Y44" s="314" t="str">
        <f t="shared" ca="1" si="22"/>
        <v/>
      </c>
      <c r="Z44" s="315" t="str">
        <f t="shared" ca="1" si="23"/>
        <v/>
      </c>
      <c r="AA44" s="316" t="str">
        <f t="shared" ca="1" si="24"/>
        <v/>
      </c>
      <c r="AC44" s="310" t="e">
        <f t="shared" ca="1" si="25"/>
        <v>#N/A</v>
      </c>
      <c r="AD44" s="323" t="e">
        <f t="shared" ca="1" si="26"/>
        <v>#N/A</v>
      </c>
      <c r="AE44" s="324">
        <f t="shared" ca="1" si="5"/>
        <v>964.77891571860437</v>
      </c>
      <c r="AG44" s="306">
        <f t="shared" ca="1" si="27"/>
        <v>47.806152493923577</v>
      </c>
      <c r="AH44" s="304">
        <f t="shared" ca="1" si="28"/>
        <v>57.527431372217336</v>
      </c>
    </row>
    <row r="45" spans="1:34" x14ac:dyDescent="0.25">
      <c r="A45" s="347">
        <f t="shared" ca="1" si="6"/>
        <v>0.01</v>
      </c>
      <c r="B45" s="304">
        <f t="shared" ca="1" si="7"/>
        <v>6.1099999999999914</v>
      </c>
      <c r="D45" s="306">
        <f t="shared" ca="1" si="8"/>
        <v>7.6563616393021947</v>
      </c>
      <c r="E45" s="307">
        <f t="shared" ca="1" si="9"/>
        <v>46.705652136064195</v>
      </c>
      <c r="F45" s="304">
        <f t="shared" ca="1" si="10"/>
        <v>47.329037757034705</v>
      </c>
      <c r="G45" s="306">
        <f t="shared" ca="1" si="11"/>
        <v>29.184133514041818</v>
      </c>
      <c r="H45" s="307">
        <f t="shared" ca="1" si="12"/>
        <v>215.3254151465969</v>
      </c>
      <c r="I45" s="304">
        <f t="shared" ca="1" si="13"/>
        <v>217.29415099587868</v>
      </c>
      <c r="J45" s="306">
        <f t="shared" ca="1" si="14"/>
        <v>116.77238585216206</v>
      </c>
      <c r="K45" s="307">
        <f t="shared" ca="1" si="15"/>
        <v>966.92983458746357</v>
      </c>
      <c r="L45" s="304">
        <f t="shared" ca="1" si="0"/>
        <v>973.95538661324008</v>
      </c>
      <c r="M45" s="306">
        <f t="shared" ca="1" si="16"/>
        <v>1.4360821966345261</v>
      </c>
      <c r="N45" s="304">
        <f t="shared" ca="1" si="17"/>
        <v>82.281448901034736</v>
      </c>
      <c r="P45" s="310">
        <f t="shared" ca="1" si="18"/>
        <v>3</v>
      </c>
      <c r="Q45" s="304">
        <f t="shared" ca="1" si="19"/>
        <v>178.53448275862144</v>
      </c>
      <c r="R45" s="306">
        <f t="shared" ca="1" si="20"/>
        <v>9.4757139122098988E-2</v>
      </c>
      <c r="S45" s="307">
        <f t="shared" ca="1" si="21"/>
        <v>2.118024299160445</v>
      </c>
      <c r="T45" s="304">
        <f t="shared" ca="1" si="1"/>
        <v>20.777818374763967</v>
      </c>
      <c r="U45" s="311">
        <f t="shared" ca="1" si="2"/>
        <v>0</v>
      </c>
      <c r="V45" s="306">
        <f t="shared" ca="1" si="3"/>
        <v>1.1120135917166389</v>
      </c>
      <c r="W45" s="304">
        <f t="shared" ca="1" si="4"/>
        <v>57.979261485781429</v>
      </c>
      <c r="Y45" s="314" t="str">
        <f t="shared" ca="1" si="22"/>
        <v/>
      </c>
      <c r="Z45" s="315" t="str">
        <f t="shared" ca="1" si="23"/>
        <v/>
      </c>
      <c r="AA45" s="316" t="str">
        <f t="shared" ca="1" si="24"/>
        <v/>
      </c>
      <c r="AC45" s="310" t="e">
        <f t="shared" ca="1" si="25"/>
        <v>#N/A</v>
      </c>
      <c r="AD45" s="323" t="e">
        <f t="shared" ca="1" si="26"/>
        <v>#N/A</v>
      </c>
      <c r="AE45" s="324">
        <f t="shared" ca="1" si="5"/>
        <v>966.92983458746357</v>
      </c>
      <c r="AG45" s="306">
        <f t="shared" ca="1" si="27"/>
        <v>47.310711512746785</v>
      </c>
      <c r="AH45" s="304">
        <f t="shared" ca="1" si="28"/>
        <v>57.03191045297708</v>
      </c>
    </row>
    <row r="46" spans="1:34" x14ac:dyDescent="0.25">
      <c r="A46" s="347">
        <f t="shared" ca="1" si="6"/>
        <v>0.01</v>
      </c>
      <c r="B46" s="304">
        <f t="shared" ca="1" si="7"/>
        <v>6.1199999999999912</v>
      </c>
      <c r="D46" s="306">
        <f t="shared" ca="1" si="8"/>
        <v>7.5932995942298005</v>
      </c>
      <c r="E46" s="307">
        <f t="shared" ca="1" si="9"/>
        <v>46.214633613786383</v>
      </c>
      <c r="F46" s="304">
        <f t="shared" ca="1" si="10"/>
        <v>46.834288280961893</v>
      </c>
      <c r="G46" s="306">
        <f t="shared" ca="1" si="11"/>
        <v>29.260066509984117</v>
      </c>
      <c r="H46" s="307">
        <f t="shared" ca="1" si="12"/>
        <v>215.78756148273476</v>
      </c>
      <c r="I46" s="304">
        <f t="shared" ca="1" si="13"/>
        <v>217.76230891234079</v>
      </c>
      <c r="J46" s="306">
        <f t="shared" ca="1" si="14"/>
        <v>117.0646068522822</v>
      </c>
      <c r="K46" s="307">
        <f t="shared" ca="1" si="15"/>
        <v>969.08539947061024</v>
      </c>
      <c r="L46" s="304">
        <f t="shared" ca="1" si="0"/>
        <v>976.13043884748913</v>
      </c>
      <c r="M46" s="306">
        <f t="shared" ca="1" si="16"/>
        <v>1.4360216924987332</v>
      </c>
      <c r="N46" s="304">
        <f t="shared" ca="1" si="17"/>
        <v>82.277982269410728</v>
      </c>
      <c r="P46" s="310">
        <f t="shared" ca="1" si="18"/>
        <v>3</v>
      </c>
      <c r="Q46" s="304">
        <f t="shared" ca="1" si="19"/>
        <v>177.6724137931042</v>
      </c>
      <c r="R46" s="306">
        <f t="shared" ca="1" si="20"/>
        <v>9.4299596200215358E-2</v>
      </c>
      <c r="S46" s="307">
        <f t="shared" ca="1" si="21"/>
        <v>2.117081303198443</v>
      </c>
      <c r="T46" s="304">
        <f t="shared" ca="1" si="1"/>
        <v>20.768567584376726</v>
      </c>
      <c r="U46" s="311">
        <f t="shared" ca="1" si="2"/>
        <v>0</v>
      </c>
      <c r="V46" s="306">
        <f t="shared" ca="1" si="3"/>
        <v>1.1117733530827754</v>
      </c>
      <c r="W46" s="304">
        <f t="shared" ca="1" si="4"/>
        <v>58.216782178266634</v>
      </c>
      <c r="Y46" s="314" t="str">
        <f t="shared" ca="1" si="22"/>
        <v/>
      </c>
      <c r="Z46" s="315" t="str">
        <f t="shared" ca="1" si="23"/>
        <v/>
      </c>
      <c r="AA46" s="316" t="str">
        <f t="shared" ca="1" si="24"/>
        <v/>
      </c>
      <c r="AC46" s="310" t="e">
        <f t="shared" ca="1" si="25"/>
        <v>#N/A</v>
      </c>
      <c r="AD46" s="323" t="e">
        <f t="shared" ca="1" si="26"/>
        <v>#N/A</v>
      </c>
      <c r="AE46" s="324">
        <f t="shared" ca="1" si="5"/>
        <v>969.08539947061024</v>
      </c>
      <c r="AG46" s="306">
        <f t="shared" ca="1" si="27"/>
        <v>46.815751787536563</v>
      </c>
      <c r="AH46" s="304">
        <f t="shared" ca="1" si="28"/>
        <v>56.536870892248125</v>
      </c>
    </row>
    <row r="47" spans="1:34" x14ac:dyDescent="0.25">
      <c r="A47" s="347">
        <f t="shared" ca="1" si="6"/>
        <v>0.01</v>
      </c>
      <c r="B47" s="304">
        <f t="shared" ca="1" si="7"/>
        <v>6.129999999999991</v>
      </c>
      <c r="D47" s="306">
        <f t="shared" ca="1" si="8"/>
        <v>7.5302383707395224</v>
      </c>
      <c r="E47" s="307">
        <f t="shared" ca="1" si="9"/>
        <v>45.724110794011487</v>
      </c>
      <c r="F47" s="304">
        <f t="shared" ca="1" si="10"/>
        <v>46.340034503905969</v>
      </c>
      <c r="G47" s="306">
        <f t="shared" ca="1" si="11"/>
        <v>29.335368893691513</v>
      </c>
      <c r="H47" s="307">
        <f t="shared" ca="1" si="12"/>
        <v>216.24480259067488</v>
      </c>
      <c r="I47" s="304">
        <f t="shared" ca="1" si="13"/>
        <v>218.22552214534605</v>
      </c>
      <c r="J47" s="306">
        <f t="shared" ca="1" si="14"/>
        <v>117.35758402930057</v>
      </c>
      <c r="K47" s="307">
        <f t="shared" ca="1" si="15"/>
        <v>971.24556129097732</v>
      </c>
      <c r="L47" s="304">
        <f t="shared" ca="1" si="0"/>
        <v>978.31014655712329</v>
      </c>
      <c r="M47" s="306">
        <f t="shared" ca="1" si="16"/>
        <v>1.4359612898389784</v>
      </c>
      <c r="N47" s="304">
        <f t="shared" ca="1" si="17"/>
        <v>82.274521451935414</v>
      </c>
      <c r="P47" s="310">
        <f t="shared" ca="1" si="18"/>
        <v>3</v>
      </c>
      <c r="Q47" s="304">
        <f t="shared" ca="1" si="19"/>
        <v>176.81034482758699</v>
      </c>
      <c r="R47" s="306">
        <f t="shared" ca="1" si="20"/>
        <v>9.3842053278331755E-2</v>
      </c>
      <c r="S47" s="307">
        <f t="shared" ca="1" si="21"/>
        <v>2.1161428826656596</v>
      </c>
      <c r="T47" s="304">
        <f t="shared" ca="1" si="1"/>
        <v>20.759361678950121</v>
      </c>
      <c r="U47" s="311">
        <f t="shared" ca="1" si="2"/>
        <v>0</v>
      </c>
      <c r="V47" s="306">
        <f t="shared" ca="1" si="3"/>
        <v>1.1115326516630419</v>
      </c>
      <c r="W47" s="304">
        <f t="shared" ca="1" si="4"/>
        <v>58.452059583620773</v>
      </c>
      <c r="Y47" s="314" t="str">
        <f t="shared" ca="1" si="22"/>
        <v/>
      </c>
      <c r="Z47" s="315" t="str">
        <f t="shared" ca="1" si="23"/>
        <v/>
      </c>
      <c r="AA47" s="316" t="str">
        <f t="shared" ca="1" si="24"/>
        <v/>
      </c>
      <c r="AC47" s="310" t="e">
        <f t="shared" ca="1" si="25"/>
        <v>#N/A</v>
      </c>
      <c r="AD47" s="323" t="e">
        <f t="shared" ca="1" si="26"/>
        <v>#N/A</v>
      </c>
      <c r="AE47" s="324">
        <f t="shared" ca="1" si="5"/>
        <v>971.24556129097732</v>
      </c>
      <c r="AG47" s="306">
        <f t="shared" ca="1" si="27"/>
        <v>46.321283490939152</v>
      </c>
      <c r="AH47" s="304">
        <f t="shared" ca="1" si="28"/>
        <v>56.042322860510531</v>
      </c>
    </row>
    <row r="48" spans="1:34" x14ac:dyDescent="0.25">
      <c r="A48" s="347">
        <f t="shared" ca="1" si="6"/>
        <v>0.01</v>
      </c>
      <c r="B48" s="304">
        <f t="shared" ca="1" si="7"/>
        <v>6.1399999999999908</v>
      </c>
      <c r="D48" s="306">
        <f t="shared" ca="1" si="8"/>
        <v>7.467179658031454</v>
      </c>
      <c r="E48" s="307">
        <f t="shared" ca="1" si="9"/>
        <v>45.234093596087682</v>
      </c>
      <c r="F48" s="304">
        <f t="shared" ca="1" si="10"/>
        <v>45.846286605405012</v>
      </c>
      <c r="G48" s="306">
        <f t="shared" ca="1" si="11"/>
        <v>29.410040690271828</v>
      </c>
      <c r="H48" s="307">
        <f t="shared" ca="1" si="12"/>
        <v>216.69714352663576</v>
      </c>
      <c r="I48" s="304">
        <f t="shared" ca="1" si="13"/>
        <v>218.68379570971146</v>
      </c>
      <c r="J48" s="306">
        <f t="shared" ca="1" si="14"/>
        <v>117.65131107722038</v>
      </c>
      <c r="K48" s="307">
        <f t="shared" ca="1" si="15"/>
        <v>973.41027102156386</v>
      </c>
      <c r="L48" s="304">
        <f t="shared" ca="1" si="0"/>
        <v>980.49446032522962</v>
      </c>
      <c r="M48" s="306">
        <f t="shared" ca="1" si="16"/>
        <v>1.4359009869086061</v>
      </c>
      <c r="N48" s="304">
        <f t="shared" ca="1" si="17"/>
        <v>82.271066348532798</v>
      </c>
      <c r="P48" s="310">
        <f t="shared" ca="1" si="18"/>
        <v>3</v>
      </c>
      <c r="Q48" s="304">
        <f t="shared" ca="1" si="19"/>
        <v>175.94827586206975</v>
      </c>
      <c r="R48" s="306">
        <f t="shared" ca="1" si="20"/>
        <v>9.3384510356448125E-2</v>
      </c>
      <c r="S48" s="307">
        <f t="shared" ca="1" si="21"/>
        <v>2.1152090375620953</v>
      </c>
      <c r="T48" s="304">
        <f t="shared" ca="1" si="1"/>
        <v>20.750200658484157</v>
      </c>
      <c r="U48" s="311">
        <f t="shared" ca="1" si="2"/>
        <v>0</v>
      </c>
      <c r="V48" s="306">
        <f t="shared" ca="1" si="3"/>
        <v>1.1112914932199691</v>
      </c>
      <c r="W48" s="304">
        <f t="shared" ca="1" si="4"/>
        <v>58.685080895199881</v>
      </c>
      <c r="Y48" s="314" t="str">
        <f t="shared" ca="1" si="22"/>
        <v/>
      </c>
      <c r="Z48" s="315" t="str">
        <f t="shared" ca="1" si="23"/>
        <v/>
      </c>
      <c r="AA48" s="316" t="str">
        <f t="shared" ca="1" si="24"/>
        <v/>
      </c>
      <c r="AC48" s="310" t="e">
        <f t="shared" ca="1" si="25"/>
        <v>#N/A</v>
      </c>
      <c r="AD48" s="323" t="e">
        <f t="shared" ca="1" si="26"/>
        <v>#N/A</v>
      </c>
      <c r="AE48" s="324">
        <f t="shared" ca="1" si="5"/>
        <v>973.41027102156386</v>
      </c>
      <c r="AG48" s="306">
        <f t="shared" ca="1" si="27"/>
        <v>45.827316674981283</v>
      </c>
      <c r="AH48" s="304">
        <f t="shared" ca="1" si="28"/>
        <v>55.548276407645446</v>
      </c>
    </row>
    <row r="49" spans="1:34" x14ac:dyDescent="0.25">
      <c r="A49" s="347">
        <f t="shared" ca="1" si="6"/>
        <v>0.01</v>
      </c>
      <c r="B49" s="304">
        <f t="shared" ca="1" si="7"/>
        <v>6.1499999999999906</v>
      </c>
      <c r="D49" s="306">
        <f t="shared" ca="1" si="8"/>
        <v>7.4041251267027848</v>
      </c>
      <c r="E49" s="307">
        <f t="shared" ca="1" si="9"/>
        <v>44.744591820099032</v>
      </c>
      <c r="F49" s="304">
        <f t="shared" ca="1" si="10"/>
        <v>45.35305464948469</v>
      </c>
      <c r="G49" s="306">
        <f t="shared" ca="1" si="11"/>
        <v>29.484081941538854</v>
      </c>
      <c r="H49" s="307">
        <f t="shared" ca="1" si="12"/>
        <v>217.14458944483675</v>
      </c>
      <c r="I49" s="304">
        <f t="shared" ca="1" si="13"/>
        <v>219.13713471956797</v>
      </c>
      <c r="J49" s="306">
        <f t="shared" ca="1" si="14"/>
        <v>117.94578169037943</v>
      </c>
      <c r="K49" s="307">
        <f t="shared" ca="1" si="15"/>
        <v>975.57947968642122</v>
      </c>
      <c r="L49" s="304">
        <f t="shared" ca="1" si="0"/>
        <v>982.6833307855502</v>
      </c>
      <c r="M49" s="306">
        <f t="shared" ca="1" si="16"/>
        <v>1.4358407819792924</v>
      </c>
      <c r="N49" s="304">
        <f t="shared" ca="1" si="17"/>
        <v>82.267616860177242</v>
      </c>
      <c r="P49" s="310">
        <f t="shared" ca="1" si="18"/>
        <v>3</v>
      </c>
      <c r="Q49" s="304">
        <f t="shared" ca="1" si="19"/>
        <v>175.08620689655254</v>
      </c>
      <c r="R49" s="306">
        <f t="shared" ca="1" si="20"/>
        <v>9.2926967434564522E-2</v>
      </c>
      <c r="S49" s="307">
        <f t="shared" ca="1" si="21"/>
        <v>2.1142797678877496</v>
      </c>
      <c r="T49" s="304">
        <f t="shared" ca="1" si="1"/>
        <v>20.741084522978824</v>
      </c>
      <c r="U49" s="311">
        <f t="shared" ca="1" si="2"/>
        <v>0</v>
      </c>
      <c r="V49" s="306">
        <f t="shared" ca="1" si="3"/>
        <v>1.1110498835063667</v>
      </c>
      <c r="W49" s="304">
        <f t="shared" ca="1" si="4"/>
        <v>58.915833584192598</v>
      </c>
      <c r="Y49" s="314" t="str">
        <f t="shared" ca="1" si="22"/>
        <v/>
      </c>
      <c r="Z49" s="315" t="str">
        <f t="shared" ca="1" si="23"/>
        <v/>
      </c>
      <c r="AA49" s="316" t="str">
        <f t="shared" ca="1" si="24"/>
        <v/>
      </c>
      <c r="AC49" s="310" t="e">
        <f t="shared" ca="1" si="25"/>
        <v>#N/A</v>
      </c>
      <c r="AD49" s="323" t="e">
        <f t="shared" ca="1" si="26"/>
        <v>#N/A</v>
      </c>
      <c r="AE49" s="324">
        <f t="shared" ca="1" si="5"/>
        <v>975.57947968642122</v>
      </c>
      <c r="AG49" s="306">
        <f t="shared" ca="1" si="27"/>
        <v>45.333861271060186</v>
      </c>
      <c r="AH49" s="304">
        <f t="shared" ca="1" si="28"/>
        <v>55.054741462924774</v>
      </c>
    </row>
    <row r="50" spans="1:34" x14ac:dyDescent="0.25">
      <c r="A50" s="347">
        <f t="shared" ca="1" si="6"/>
        <v>0.01</v>
      </c>
      <c r="B50" s="304">
        <f t="shared" ca="1" si="7"/>
        <v>6.1599999999999904</v>
      </c>
      <c r="D50" s="306">
        <f t="shared" ca="1" si="8"/>
        <v>7.3410764287772494</v>
      </c>
      <c r="E50" s="307">
        <f t="shared" ca="1" si="9"/>
        <v>44.255615146869495</v>
      </c>
      <c r="F50" s="304">
        <f t="shared" ca="1" si="10"/>
        <v>44.8603485849249</v>
      </c>
      <c r="G50" s="306">
        <f t="shared" ca="1" si="11"/>
        <v>29.557492705826625</v>
      </c>
      <c r="H50" s="307">
        <f t="shared" ca="1" si="12"/>
        <v>217.58714559630545</v>
      </c>
      <c r="I50" s="304">
        <f t="shared" ca="1" si="13"/>
        <v>219.58554438715407</v>
      </c>
      <c r="J50" s="306">
        <f t="shared" ca="1" si="14"/>
        <v>118.24098956361627</v>
      </c>
      <c r="K50" s="307">
        <f t="shared" ca="1" si="15"/>
        <v>977.75313836162695</v>
      </c>
      <c r="L50" s="304">
        <f t="shared" ca="1" si="0"/>
        <v>984.87670862346727</v>
      </c>
      <c r="M50" s="306">
        <f t="shared" ca="1" si="16"/>
        <v>1.4357806733406853</v>
      </c>
      <c r="N50" s="304">
        <f t="shared" ca="1" si="17"/>
        <v>82.264172888872778</v>
      </c>
      <c r="P50" s="310">
        <f t="shared" ca="1" si="18"/>
        <v>3</v>
      </c>
      <c r="Q50" s="304">
        <f t="shared" ca="1" si="19"/>
        <v>174.22413793103533</v>
      </c>
      <c r="R50" s="306">
        <f t="shared" ca="1" si="20"/>
        <v>9.246942451268092E-2</v>
      </c>
      <c r="S50" s="307">
        <f t="shared" ca="1" si="21"/>
        <v>2.113355073642623</v>
      </c>
      <c r="T50" s="304">
        <f t="shared" ca="1" si="1"/>
        <v>20.732013272434134</v>
      </c>
      <c r="U50" s="311">
        <f t="shared" ca="1" si="2"/>
        <v>0</v>
      </c>
      <c r="V50" s="306">
        <f t="shared" ca="1" si="3"/>
        <v>1.1108078282652023</v>
      </c>
      <c r="W50" s="304">
        <f t="shared" ca="1" si="4"/>
        <v>59.144305398560917</v>
      </c>
      <c r="Y50" s="314" t="str">
        <f t="shared" ca="1" si="22"/>
        <v/>
      </c>
      <c r="Z50" s="315" t="str">
        <f t="shared" ca="1" si="23"/>
        <v/>
      </c>
      <c r="AA50" s="316" t="str">
        <f t="shared" ca="1" si="24"/>
        <v/>
      </c>
      <c r="AC50" s="310" t="e">
        <f t="shared" ca="1" si="25"/>
        <v>#N/A</v>
      </c>
      <c r="AD50" s="323" t="e">
        <f t="shared" ca="1" si="26"/>
        <v>#N/A</v>
      </c>
      <c r="AE50" s="324">
        <f t="shared" ca="1" si="5"/>
        <v>977.75313836162695</v>
      </c>
      <c r="AG50" s="306">
        <f t="shared" ca="1" si="27"/>
        <v>44.840927089950654</v>
      </c>
      <c r="AH50" s="304">
        <f t="shared" ca="1" si="28"/>
        <v>54.56172783501777</v>
      </c>
    </row>
    <row r="51" spans="1:34" x14ac:dyDescent="0.25">
      <c r="A51" s="347">
        <f t="shared" ca="1" si="6"/>
        <v>0.01</v>
      </c>
      <c r="B51" s="304">
        <f t="shared" ca="1" si="7"/>
        <v>6.1699999999999902</v>
      </c>
      <c r="D51" s="306">
        <f t="shared" ca="1" si="8"/>
        <v>7.2780351977357833</v>
      </c>
      <c r="E51" s="307">
        <f t="shared" ca="1" si="9"/>
        <v>43.767173137983967</v>
      </c>
      <c r="F51" s="304">
        <f t="shared" ca="1" si="10"/>
        <v>44.368178245559577</v>
      </c>
      <c r="G51" s="306">
        <f t="shared" ca="1" si="11"/>
        <v>29.630273057803983</v>
      </c>
      <c r="H51" s="307">
        <f t="shared" ca="1" si="12"/>
        <v>218.0248173276853</v>
      </c>
      <c r="I51" s="304">
        <f t="shared" ca="1" si="13"/>
        <v>220.02903002161003</v>
      </c>
      <c r="J51" s="306">
        <f t="shared" ca="1" si="14"/>
        <v>118.53692839243442</v>
      </c>
      <c r="K51" s="307">
        <f t="shared" ca="1" si="15"/>
        <v>979.93119817624688</v>
      </c>
      <c r="L51" s="304">
        <f t="shared" ca="1" si="0"/>
        <v>987.0745445769777</v>
      </c>
      <c r="M51" s="306">
        <f t="shared" ca="1" si="16"/>
        <v>1.4357206593000529</v>
      </c>
      <c r="N51" s="304">
        <f t="shared" ca="1" si="17"/>
        <v>82.260734337633011</v>
      </c>
      <c r="P51" s="310">
        <f t="shared" ca="1" si="18"/>
        <v>3</v>
      </c>
      <c r="Q51" s="304">
        <f t="shared" ca="1" si="19"/>
        <v>173.36206896551809</v>
      </c>
      <c r="R51" s="306">
        <f t="shared" ca="1" si="20"/>
        <v>9.201188159079729E-2</v>
      </c>
      <c r="S51" s="307">
        <f t="shared" ca="1" si="21"/>
        <v>2.112434954826715</v>
      </c>
      <c r="T51" s="304">
        <f t="shared" ca="1" si="1"/>
        <v>20.722986906850075</v>
      </c>
      <c r="U51" s="311">
        <f t="shared" ca="1" si="2"/>
        <v>0</v>
      </c>
      <c r="V51" s="306">
        <f t="shared" ca="1" si="3"/>
        <v>1.1105653332294767</v>
      </c>
      <c r="W51" s="304">
        <f t="shared" ca="1" si="4"/>
        <v>59.370484361953963</v>
      </c>
      <c r="Y51" s="314" t="str">
        <f t="shared" ca="1" si="22"/>
        <v/>
      </c>
      <c r="Z51" s="315" t="str">
        <f t="shared" ca="1" si="23"/>
        <v/>
      </c>
      <c r="AA51" s="316" t="str">
        <f t="shared" ca="1" si="24"/>
        <v/>
      </c>
      <c r="AC51" s="310" t="e">
        <f t="shared" ca="1" si="25"/>
        <v>#N/A</v>
      </c>
      <c r="AD51" s="323" t="e">
        <f t="shared" ca="1" si="26"/>
        <v>#N/A</v>
      </c>
      <c r="AE51" s="324">
        <f t="shared" ca="1" si="5"/>
        <v>979.93119817624688</v>
      </c>
      <c r="AG51" s="306">
        <f t="shared" ca="1" si="27"/>
        <v>44.348523821829261</v>
      </c>
      <c r="AH51" s="304">
        <f t="shared" ca="1" si="28"/>
        <v>54.069245212014856</v>
      </c>
    </row>
    <row r="52" spans="1:34" x14ac:dyDescent="0.25">
      <c r="A52" s="347">
        <f t="shared" ca="1" si="6"/>
        <v>0.01</v>
      </c>
      <c r="B52" s="304">
        <f t="shared" ca="1" si="7"/>
        <v>6.1799999999999899</v>
      </c>
      <c r="D52" s="306">
        <f t="shared" ca="1" si="8"/>
        <v>7.2150030485483052</v>
      </c>
      <c r="E52" s="307">
        <f t="shared" ca="1" si="9"/>
        <v>43.279275235826056</v>
      </c>
      <c r="F52" s="304">
        <f t="shared" ca="1" si="10"/>
        <v>43.876553350610251</v>
      </c>
      <c r="G52" s="306">
        <f t="shared" ca="1" si="11"/>
        <v>29.702423088289464</v>
      </c>
      <c r="H52" s="307">
        <f t="shared" ca="1" si="12"/>
        <v>218.45761008004357</v>
      </c>
      <c r="I52" s="304">
        <f t="shared" ca="1" si="13"/>
        <v>220.46759702777209</v>
      </c>
      <c r="J52" s="306">
        <f t="shared" ca="1" si="14"/>
        <v>118.83359187316489</v>
      </c>
      <c r="K52" s="307">
        <f t="shared" ca="1" si="15"/>
        <v>982.11361031328556</v>
      </c>
      <c r="L52" s="304">
        <f t="shared" ca="1" si="0"/>
        <v>989.27678943765488</v>
      </c>
      <c r="M52" s="306">
        <f t="shared" ca="1" si="16"/>
        <v>1.4356607381819384</v>
      </c>
      <c r="N52" s="304">
        <f t="shared" ca="1" si="17"/>
        <v>82.257301110461356</v>
      </c>
      <c r="P52" s="310">
        <f t="shared" ca="1" si="18"/>
        <v>3</v>
      </c>
      <c r="Q52" s="304">
        <f t="shared" ca="1" si="19"/>
        <v>172.50000000000085</v>
      </c>
      <c r="R52" s="306">
        <f t="shared" ca="1" si="20"/>
        <v>9.1554338668913673E-2</v>
      </c>
      <c r="S52" s="307">
        <f t="shared" ca="1" si="21"/>
        <v>2.111519411440026</v>
      </c>
      <c r="T52" s="304">
        <f t="shared" ca="1" si="1"/>
        <v>20.714005426226656</v>
      </c>
      <c r="U52" s="311">
        <f t="shared" ca="1" si="2"/>
        <v>0</v>
      </c>
      <c r="V52" s="306">
        <f t="shared" ca="1" si="3"/>
        <v>1.1103224041221069</v>
      </c>
      <c r="W52" s="304">
        <f t="shared" ca="1" si="4"/>
        <v>59.594358772595548</v>
      </c>
      <c r="Y52" s="314" t="str">
        <f t="shared" ca="1" si="22"/>
        <v/>
      </c>
      <c r="Z52" s="315" t="str">
        <f t="shared" ca="1" si="23"/>
        <v/>
      </c>
      <c r="AA52" s="316" t="str">
        <f t="shared" ca="1" si="24"/>
        <v/>
      </c>
      <c r="AC52" s="310" t="e">
        <f t="shared" ca="1" si="25"/>
        <v>#N/A</v>
      </c>
      <c r="AD52" s="323" t="e">
        <f t="shared" ca="1" si="26"/>
        <v>#N/A</v>
      </c>
      <c r="AE52" s="324">
        <f t="shared" ca="1" si="5"/>
        <v>982.11361031328556</v>
      </c>
      <c r="AG52" s="306">
        <f t="shared" ca="1" si="27"/>
        <v>43.856661036315167</v>
      </c>
      <c r="AH52" s="304">
        <f t="shared" ca="1" si="28"/>
        <v>53.577303161468059</v>
      </c>
    </row>
    <row r="53" spans="1:34" x14ac:dyDescent="0.25">
      <c r="A53" s="347">
        <f t="shared" ca="1" si="6"/>
        <v>0.01</v>
      </c>
      <c r="B53" s="304">
        <f t="shared" ca="1" si="7"/>
        <v>6.1899999999999897</v>
      </c>
      <c r="D53" s="306">
        <f t="shared" ca="1" si="8"/>
        <v>7.1519815777067475</v>
      </c>
      <c r="E53" s="307">
        <f t="shared" ca="1" si="9"/>
        <v>42.791930763632287</v>
      </c>
      <c r="F53" s="304">
        <f t="shared" ca="1" si="10"/>
        <v>43.385483505054502</v>
      </c>
      <c r="G53" s="306">
        <f t="shared" ca="1" si="11"/>
        <v>29.77394290406653</v>
      </c>
      <c r="H53" s="307">
        <f t="shared" ca="1" si="12"/>
        <v>218.8855293876799</v>
      </c>
      <c r="I53" s="304">
        <f t="shared" ca="1" si="13"/>
        <v>220.9012509049677</v>
      </c>
      <c r="J53" s="306">
        <f t="shared" ca="1" si="14"/>
        <v>119.13097370312667</v>
      </c>
      <c r="K53" s="307">
        <f t="shared" ca="1" si="15"/>
        <v>984.30032601062419</v>
      </c>
      <c r="L53" s="304">
        <f t="shared" ca="1" si="0"/>
        <v>991.48339405159788</v>
      </c>
      <c r="M53" s="306">
        <f t="shared" ca="1" si="16"/>
        <v>1.4356009083278227</v>
      </c>
      <c r="N53" s="304">
        <f t="shared" ca="1" si="17"/>
        <v>82.253873112331632</v>
      </c>
      <c r="P53" s="310">
        <f t="shared" ca="1" si="18"/>
        <v>3</v>
      </c>
      <c r="Q53" s="304">
        <f t="shared" ca="1" si="19"/>
        <v>171.63793103448364</v>
      </c>
      <c r="R53" s="306">
        <f t="shared" ca="1" si="20"/>
        <v>9.1096795747030057E-2</v>
      </c>
      <c r="S53" s="307">
        <f t="shared" ca="1" si="21"/>
        <v>2.1106084434825556</v>
      </c>
      <c r="T53" s="304">
        <f t="shared" ca="1" si="1"/>
        <v>20.705068830563871</v>
      </c>
      <c r="U53" s="311">
        <f t="shared" ca="1" si="2"/>
        <v>0</v>
      </c>
      <c r="V53" s="306">
        <f t="shared" ca="1" si="3"/>
        <v>1.1100790466558059</v>
      </c>
      <c r="W53" s="304">
        <f t="shared" ca="1" si="4"/>
        <v>59.815917202145634</v>
      </c>
      <c r="Y53" s="314" t="str">
        <f t="shared" ca="1" si="22"/>
        <v/>
      </c>
      <c r="Z53" s="315" t="str">
        <f t="shared" ca="1" si="23"/>
        <v/>
      </c>
      <c r="AA53" s="316" t="str">
        <f t="shared" ca="1" si="24"/>
        <v/>
      </c>
      <c r="AC53" s="310" t="e">
        <f t="shared" ca="1" si="25"/>
        <v>#N/A</v>
      </c>
      <c r="AD53" s="323" t="e">
        <f t="shared" ca="1" si="26"/>
        <v>#N/A</v>
      </c>
      <c r="AE53" s="324">
        <f t="shared" ca="1" si="5"/>
        <v>984.30032601062419</v>
      </c>
      <c r="AG53" s="306">
        <f t="shared" ca="1" si="27"/>
        <v>43.365348182527498</v>
      </c>
      <c r="AH53" s="304">
        <f t="shared" ca="1" si="28"/>
        <v>53.08591113044799</v>
      </c>
    </row>
    <row r="54" spans="1:34" x14ac:dyDescent="0.25">
      <c r="A54" s="347">
        <f t="shared" ca="1" si="6"/>
        <v>0.01</v>
      </c>
      <c r="B54" s="304">
        <f t="shared" ca="1" si="7"/>
        <v>6.1999999999999895</v>
      </c>
      <c r="D54" s="306">
        <f t="shared" ca="1" si="8"/>
        <v>7.0889723632591943</v>
      </c>
      <c r="E54" s="307">
        <f t="shared" ca="1" si="9"/>
        <v>42.305148925562492</v>
      </c>
      <c r="F54" s="304">
        <f t="shared" ca="1" si="10"/>
        <v>42.894978200030295</v>
      </c>
      <c r="G54" s="306">
        <f t="shared" ca="1" si="11"/>
        <v>29.844832627699123</v>
      </c>
      <c r="H54" s="307">
        <f t="shared" ca="1" si="12"/>
        <v>219.30858087693551</v>
      </c>
      <c r="I54" s="304">
        <f t="shared" ca="1" si="13"/>
        <v>221.32999724581106</v>
      </c>
      <c r="J54" s="306">
        <f t="shared" ca="1" si="14"/>
        <v>119.4290675807855</v>
      </c>
      <c r="K54" s="307">
        <f t="shared" ca="1" si="15"/>
        <v>986.49129656194725</v>
      </c>
      <c r="L54" s="304">
        <f t="shared" ca="1" si="0"/>
        <v>993.69430932037017</v>
      </c>
      <c r="M54" s="306">
        <f t="shared" ca="1" si="16"/>
        <v>1.435541168095793</v>
      </c>
      <c r="N54" s="304">
        <f t="shared" ca="1" si="17"/>
        <v>82.250450249169205</v>
      </c>
      <c r="P54" s="310">
        <f t="shared" ca="1" si="18"/>
        <v>3</v>
      </c>
      <c r="Q54" s="304">
        <f t="shared" ca="1" si="19"/>
        <v>170.77586206896643</v>
      </c>
      <c r="R54" s="306">
        <f t="shared" ca="1" si="20"/>
        <v>9.0639252825146455E-2</v>
      </c>
      <c r="S54" s="307">
        <f t="shared" ca="1" si="21"/>
        <v>2.1097020509543043</v>
      </c>
      <c r="T54" s="304">
        <f t="shared" ca="1" si="1"/>
        <v>20.696177119861726</v>
      </c>
      <c r="U54" s="311">
        <f t="shared" ca="1" si="2"/>
        <v>0</v>
      </c>
      <c r="V54" s="306">
        <f t="shared" ca="1" si="3"/>
        <v>1.1098352665329667</v>
      </c>
      <c r="W54" s="304">
        <f t="shared" ca="1" si="4"/>
        <v>60.035148494536585</v>
      </c>
      <c r="Y54" s="314" t="str">
        <f t="shared" ca="1" si="22"/>
        <v/>
      </c>
      <c r="Z54" s="315" t="str">
        <f t="shared" ca="1" si="23"/>
        <v/>
      </c>
      <c r="AA54" s="316" t="str">
        <f t="shared" ca="1" si="24"/>
        <v/>
      </c>
      <c r="AC54" s="310" t="e">
        <f t="shared" ca="1" si="25"/>
        <v>#N/A</v>
      </c>
      <c r="AD54" s="323" t="e">
        <f t="shared" ca="1" si="26"/>
        <v>#N/A</v>
      </c>
      <c r="AE54" s="324">
        <f t="shared" ca="1" si="5"/>
        <v>986.49129656194725</v>
      </c>
      <c r="AG54" s="306">
        <f t="shared" ca="1" si="27"/>
        <v>42.874594589158932</v>
      </c>
      <c r="AH54" s="304">
        <f t="shared" ca="1" si="28"/>
        <v>52.595078445617041</v>
      </c>
    </row>
    <row r="55" spans="1:34" x14ac:dyDescent="0.25">
      <c r="A55" s="347">
        <f t="shared" ca="1" si="6"/>
        <v>0.01</v>
      </c>
      <c r="B55" s="304">
        <f t="shared" ca="1" si="7"/>
        <v>6.2099999999999893</v>
      </c>
      <c r="D55" s="306">
        <f t="shared" ca="1" si="8"/>
        <v>7.0259769648453227</v>
      </c>
      <c r="E55" s="307">
        <f t="shared" ca="1" si="9"/>
        <v>41.818938806786598</v>
      </c>
      <c r="F55" s="304">
        <f t="shared" ca="1" si="10"/>
        <v>42.405046813278005</v>
      </c>
      <c r="G55" s="306">
        <f t="shared" ca="1" si="11"/>
        <v>29.915092397347575</v>
      </c>
      <c r="H55" s="307">
        <f t="shared" ca="1" si="12"/>
        <v>219.72677026500338</v>
      </c>
      <c r="I55" s="304">
        <f t="shared" ca="1" si="13"/>
        <v>221.75384173499998</v>
      </c>
      <c r="J55" s="306">
        <f t="shared" ca="1" si="14"/>
        <v>119.72786720591073</v>
      </c>
      <c r="K55" s="307">
        <f t="shared" ca="1" si="15"/>
        <v>988.68647331765692</v>
      </c>
      <c r="L55" s="304">
        <f t="shared" ca="1" si="0"/>
        <v>995.90948620192489</v>
      </c>
      <c r="M55" s="306">
        <f t="shared" ca="1" si="16"/>
        <v>1.4354815158602192</v>
      </c>
      <c r="N55" s="304">
        <f t="shared" ca="1" si="17"/>
        <v>82.247032427832309</v>
      </c>
      <c r="P55" s="310">
        <f t="shared" ca="1" si="18"/>
        <v>3</v>
      </c>
      <c r="Q55" s="304">
        <f t="shared" ca="1" si="19"/>
        <v>169.91379310344919</v>
      </c>
      <c r="R55" s="306">
        <f t="shared" ca="1" si="20"/>
        <v>9.0181709903262838E-2</v>
      </c>
      <c r="S55" s="307">
        <f t="shared" ca="1" si="21"/>
        <v>2.1088002338552716</v>
      </c>
      <c r="T55" s="304">
        <f t="shared" ca="1" si="1"/>
        <v>20.687330294120216</v>
      </c>
      <c r="U55" s="311">
        <f t="shared" ca="1" si="2"/>
        <v>0</v>
      </c>
      <c r="V55" s="306">
        <f t="shared" ca="1" si="3"/>
        <v>1.1095910694455493</v>
      </c>
      <c r="W55" s="304">
        <f t="shared" ca="1" si="4"/>
        <v>60.252041764784771</v>
      </c>
      <c r="Y55" s="314" t="str">
        <f t="shared" ca="1" si="22"/>
        <v/>
      </c>
      <c r="Z55" s="315" t="str">
        <f t="shared" ca="1" si="23"/>
        <v/>
      </c>
      <c r="AA55" s="316" t="str">
        <f t="shared" ca="1" si="24"/>
        <v/>
      </c>
      <c r="AC55" s="310" t="e">
        <f t="shared" ca="1" si="25"/>
        <v>#N/A</v>
      </c>
      <c r="AD55" s="323" t="e">
        <f t="shared" ca="1" si="26"/>
        <v>#N/A</v>
      </c>
      <c r="AE55" s="324">
        <f t="shared" ca="1" si="5"/>
        <v>988.68647331765692</v>
      </c>
      <c r="AG55" s="306">
        <f t="shared" ca="1" si="27"/>
        <v>42.384409464565692</v>
      </c>
      <c r="AH55" s="304">
        <f t="shared" ca="1" si="28"/>
        <v>52.104814313318997</v>
      </c>
    </row>
    <row r="56" spans="1:34" x14ac:dyDescent="0.25">
      <c r="A56" s="347">
        <f t="shared" ca="1" si="6"/>
        <v>0.01</v>
      </c>
      <c r="B56" s="304">
        <f t="shared" ca="1" si="7"/>
        <v>6.2199999999999891</v>
      </c>
      <c r="D56" s="306">
        <f t="shared" ca="1" si="8"/>
        <v>6.9629969237329083</v>
      </c>
      <c r="E56" s="307">
        <f t="shared" ca="1" si="9"/>
        <v>41.333309373586928</v>
      </c>
      <c r="F56" s="304">
        <f t="shared" ca="1" si="10"/>
        <v>41.915698609620755</v>
      </c>
      <c r="G56" s="306">
        <f t="shared" ca="1" si="11"/>
        <v>29.984722366584904</v>
      </c>
      <c r="H56" s="307">
        <f t="shared" ca="1" si="12"/>
        <v>220.14010335873925</v>
      </c>
      <c r="I56" s="304">
        <f t="shared" ca="1" si="13"/>
        <v>222.17279014811328</v>
      </c>
      <c r="J56" s="306">
        <f t="shared" ca="1" si="14"/>
        <v>120.02736627973039</v>
      </c>
      <c r="K56" s="307">
        <f t="shared" ca="1" si="15"/>
        <v>990.8858076857756</v>
      </c>
      <c r="L56" s="304">
        <f t="shared" ca="1" si="0"/>
        <v>998.12887571151873</v>
      </c>
      <c r="M56" s="306">
        <f t="shared" ca="1" si="16"/>
        <v>1.4354219500114356</v>
      </c>
      <c r="N56" s="304">
        <f t="shared" ca="1" si="17"/>
        <v>82.24361955609389</v>
      </c>
      <c r="P56" s="310">
        <f t="shared" ca="1" si="18"/>
        <v>3</v>
      </c>
      <c r="Q56" s="304">
        <f t="shared" ca="1" si="19"/>
        <v>169.05172413793198</v>
      </c>
      <c r="R56" s="306">
        <f t="shared" ca="1" si="20"/>
        <v>8.9724166981379222E-2</v>
      </c>
      <c r="S56" s="307">
        <f t="shared" ca="1" si="21"/>
        <v>2.107902992185458</v>
      </c>
      <c r="T56" s="304">
        <f t="shared" ca="1" si="1"/>
        <v>20.678528353339345</v>
      </c>
      <c r="U56" s="311">
        <f t="shared" ca="1" si="2"/>
        <v>0</v>
      </c>
      <c r="V56" s="306">
        <f t="shared" ca="1" si="3"/>
        <v>1.1093464610749653</v>
      </c>
      <c r="W56" s="304">
        <f t="shared" ca="1" si="4"/>
        <v>60.466586397777505</v>
      </c>
      <c r="Y56" s="314" t="str">
        <f t="shared" ca="1" si="22"/>
        <v/>
      </c>
      <c r="Z56" s="315" t="str">
        <f t="shared" ca="1" si="23"/>
        <v/>
      </c>
      <c r="AA56" s="316" t="str">
        <f t="shared" ca="1" si="24"/>
        <v/>
      </c>
      <c r="AC56" s="310" t="e">
        <f t="shared" ca="1" si="25"/>
        <v>#N/A</v>
      </c>
      <c r="AD56" s="323" t="e">
        <f t="shared" ca="1" si="26"/>
        <v>#N/A</v>
      </c>
      <c r="AE56" s="324">
        <f t="shared" ca="1" si="5"/>
        <v>990.8858076857756</v>
      </c>
      <c r="AG56" s="306">
        <f t="shared" ca="1" si="27"/>
        <v>41.894801896873048</v>
      </c>
      <c r="AH56" s="304">
        <f t="shared" ca="1" si="28"/>
        <v>51.615127819684211</v>
      </c>
    </row>
    <row r="57" spans="1:34" x14ac:dyDescent="0.25">
      <c r="A57" s="347">
        <f t="shared" ca="1" si="6"/>
        <v>0.01</v>
      </c>
      <c r="B57" s="304">
        <f t="shared" ca="1" si="7"/>
        <v>6.2299999999999889</v>
      </c>
      <c r="D57" s="306">
        <f t="shared" ca="1" si="8"/>
        <v>6.9000337628556547</v>
      </c>
      <c r="E57" s="307">
        <f t="shared" ca="1" si="9"/>
        <v>40.848269473476435</v>
      </c>
      <c r="F57" s="304">
        <f t="shared" ca="1" si="10"/>
        <v>41.42694274148522</v>
      </c>
      <c r="G57" s="306">
        <f t="shared" ca="1" si="11"/>
        <v>30.05372270421346</v>
      </c>
      <c r="H57" s="307">
        <f t="shared" ca="1" si="12"/>
        <v>220.54858605347403</v>
      </c>
      <c r="I57" s="304">
        <f t="shared" ca="1" si="13"/>
        <v>222.58684835040995</v>
      </c>
      <c r="J57" s="306">
        <f t="shared" ca="1" si="14"/>
        <v>120.32755850508438</v>
      </c>
      <c r="K57" s="307">
        <f t="shared" ca="1" si="15"/>
        <v>993.08925113283669</v>
      </c>
      <c r="L57" s="304">
        <f t="shared" ca="1" si="0"/>
        <v>1000.3524289226137</v>
      </c>
      <c r="M57" s="306">
        <f t="shared" ca="1" si="16"/>
        <v>1.4353624689554294</v>
      </c>
      <c r="N57" s="304">
        <f t="shared" ca="1" si="17"/>
        <v>82.240211542623754</v>
      </c>
      <c r="P57" s="310">
        <f t="shared" ca="1" si="18"/>
        <v>3</v>
      </c>
      <c r="Q57" s="304">
        <f t="shared" ca="1" si="19"/>
        <v>168.18965517241475</v>
      </c>
      <c r="R57" s="306">
        <f t="shared" ca="1" si="20"/>
        <v>8.9266624059495606E-2</v>
      </c>
      <c r="S57" s="307">
        <f t="shared" ca="1" si="21"/>
        <v>2.1070103259448629</v>
      </c>
      <c r="T57" s="304">
        <f t="shared" ca="1" si="1"/>
        <v>20.669771297519105</v>
      </c>
      <c r="U57" s="311">
        <f t="shared" ca="1" si="2"/>
        <v>0</v>
      </c>
      <c r="V57" s="306">
        <f t="shared" ca="1" si="3"/>
        <v>1.1091014470919682</v>
      </c>
      <c r="W57" s="304">
        <f t="shared" ca="1" si="4"/>
        <v>60.67877204703678</v>
      </c>
      <c r="Y57" s="314" t="str">
        <f t="shared" ca="1" si="22"/>
        <v/>
      </c>
      <c r="Z57" s="315" t="str">
        <f t="shared" ca="1" si="23"/>
        <v/>
      </c>
      <c r="AA57" s="316" t="str">
        <f t="shared" ca="1" si="24"/>
        <v/>
      </c>
      <c r="AC57" s="310" t="e">
        <f t="shared" ca="1" si="25"/>
        <v>#N/A</v>
      </c>
      <c r="AD57" s="323" t="e">
        <f t="shared" ca="1" si="26"/>
        <v>#N/A</v>
      </c>
      <c r="AE57" s="324">
        <f t="shared" ca="1" si="5"/>
        <v>993.08925113283669</v>
      </c>
      <c r="AG57" s="306">
        <f t="shared" ca="1" si="27"/>
        <v>41.405780854096854</v>
      </c>
      <c r="AH57" s="304">
        <f t="shared" ca="1" si="28"/>
        <v>51.126027930750723</v>
      </c>
    </row>
    <row r="58" spans="1:34" x14ac:dyDescent="0.25">
      <c r="A58" s="347">
        <f t="shared" ca="1" si="6"/>
        <v>0.01</v>
      </c>
      <c r="B58" s="304">
        <f t="shared" ca="1" si="7"/>
        <v>6.2399999999999887</v>
      </c>
      <c r="D58" s="306">
        <f t="shared" ca="1" si="8"/>
        <v>6.8370889868521543</v>
      </c>
      <c r="E58" s="307">
        <f t="shared" ca="1" si="9"/>
        <v>40.363827835332216</v>
      </c>
      <c r="F58" s="304">
        <f t="shared" ca="1" si="10"/>
        <v>40.938788249464281</v>
      </c>
      <c r="G58" s="306">
        <f t="shared" ca="1" si="11"/>
        <v>30.122093594081981</v>
      </c>
      <c r="H58" s="307">
        <f t="shared" ca="1" si="12"/>
        <v>220.95222433182735</v>
      </c>
      <c r="I58" s="304">
        <f t="shared" ca="1" si="13"/>
        <v>222.9960222956293</v>
      </c>
      <c r="J58" s="306">
        <f t="shared" ca="1" si="14"/>
        <v>120.62843758657586</v>
      </c>
      <c r="K58" s="307">
        <f t="shared" ca="1" si="15"/>
        <v>995.29675518476324</v>
      </c>
      <c r="L58" s="304">
        <f t="shared" ca="1" si="0"/>
        <v>1002.580096967767</v>
      </c>
      <c r="M58" s="306">
        <f t="shared" ca="1" si="16"/>
        <v>1.4353030711135364</v>
      </c>
      <c r="N58" s="304">
        <f t="shared" ca="1" si="17"/>
        <v>82.236808296971105</v>
      </c>
      <c r="P58" s="310">
        <f t="shared" ca="1" si="18"/>
        <v>3</v>
      </c>
      <c r="Q58" s="304">
        <f t="shared" ca="1" si="19"/>
        <v>167.32758620689754</v>
      </c>
      <c r="R58" s="306">
        <f t="shared" ca="1" si="20"/>
        <v>8.8809081137611989E-2</v>
      </c>
      <c r="S58" s="307">
        <f t="shared" ca="1" si="21"/>
        <v>2.106122235133487</v>
      </c>
      <c r="T58" s="304">
        <f t="shared" ca="1" si="1"/>
        <v>20.661059126659509</v>
      </c>
      <c r="U58" s="311">
        <f t="shared" ca="1" si="2"/>
        <v>0</v>
      </c>
      <c r="V58" s="306">
        <f t="shared" ca="1" si="3"/>
        <v>1.1088560331565458</v>
      </c>
      <c r="W58" s="304">
        <f t="shared" ca="1" si="4"/>
        <v>60.888588633459669</v>
      </c>
      <c r="Y58" s="314" t="str">
        <f t="shared" ca="1" si="22"/>
        <v/>
      </c>
      <c r="Z58" s="315" t="str">
        <f t="shared" ca="1" si="23"/>
        <v/>
      </c>
      <c r="AA58" s="316" t="str">
        <f t="shared" ca="1" si="24"/>
        <v/>
      </c>
      <c r="AC58" s="310" t="e">
        <f t="shared" ca="1" si="25"/>
        <v>#N/A</v>
      </c>
      <c r="AD58" s="323" t="e">
        <f t="shared" ca="1" si="26"/>
        <v>#N/A</v>
      </c>
      <c r="AE58" s="324">
        <f t="shared" ca="1" si="5"/>
        <v>995.29675518476324</v>
      </c>
      <c r="AG58" s="306">
        <f t="shared" ca="1" si="27"/>
        <v>40.917355184280325</v>
      </c>
      <c r="AH58" s="304">
        <f t="shared" ca="1" si="28"/>
        <v>50.637523492600756</v>
      </c>
    </row>
    <row r="59" spans="1:34" x14ac:dyDescent="0.25">
      <c r="A59" s="347">
        <f t="shared" ca="1" si="6"/>
        <v>0.01</v>
      </c>
      <c r="B59" s="304">
        <f t="shared" ca="1" si="7"/>
        <v>6.2499999999999885</v>
      </c>
      <c r="D59" s="306">
        <f t="shared" ca="1" si="8"/>
        <v>6.7741640821060107</v>
      </c>
      <c r="E59" s="307">
        <f t="shared" ca="1" si="9"/>
        <v>39.879993069544192</v>
      </c>
      <c r="F59" s="304">
        <f t="shared" ca="1" si="10"/>
        <v>40.451244062923308</v>
      </c>
      <c r="G59" s="306">
        <f t="shared" ca="1" si="11"/>
        <v>30.189835234903043</v>
      </c>
      <c r="H59" s="307">
        <f t="shared" ca="1" si="12"/>
        <v>221.3510242625228</v>
      </c>
      <c r="I59" s="304">
        <f t="shared" ca="1" si="13"/>
        <v>223.40031802479277</v>
      </c>
      <c r="J59" s="306">
        <f t="shared" ca="1" si="14"/>
        <v>120.92999723072079</v>
      </c>
      <c r="K59" s="307">
        <f t="shared" ca="1" si="15"/>
        <v>997.50827142773494</v>
      </c>
      <c r="L59" s="304">
        <f t="shared" ca="1" si="0"/>
        <v>1004.8118310395085</v>
      </c>
      <c r="M59" s="306">
        <f t="shared" ca="1" si="16"/>
        <v>1.4352437549221402</v>
      </c>
      <c r="N59" s="304">
        <f t="shared" ca="1" si="17"/>
        <v>82.233409729547304</v>
      </c>
      <c r="P59" s="310">
        <f t="shared" ca="1" si="18"/>
        <v>3</v>
      </c>
      <c r="Q59" s="304">
        <f t="shared" ca="1" si="19"/>
        <v>166.46551724138033</v>
      </c>
      <c r="R59" s="306">
        <f t="shared" ca="1" si="20"/>
        <v>8.8351538215728387E-2</v>
      </c>
      <c r="S59" s="307">
        <f t="shared" ca="1" si="21"/>
        <v>2.1052387197513296</v>
      </c>
      <c r="T59" s="304">
        <f t="shared" ca="1" si="1"/>
        <v>20.652391840760544</v>
      </c>
      <c r="U59" s="311">
        <f t="shared" ca="1" si="2"/>
        <v>0</v>
      </c>
      <c r="V59" s="306">
        <f t="shared" ca="1" si="3"/>
        <v>1.1086102249178076</v>
      </c>
      <c r="W59" s="304">
        <f t="shared" ca="1" si="4"/>
        <v>61.096026344035721</v>
      </c>
      <c r="Y59" s="314" t="str">
        <f t="shared" ca="1" si="22"/>
        <v/>
      </c>
      <c r="Z59" s="315" t="str">
        <f t="shared" ca="1" si="23"/>
        <v/>
      </c>
      <c r="AA59" s="316" t="str">
        <f t="shared" ca="1" si="24"/>
        <v/>
      </c>
      <c r="AC59" s="310" t="e">
        <f t="shared" ca="1" si="25"/>
        <v>#N/A</v>
      </c>
      <c r="AD59" s="323" t="e">
        <f t="shared" ca="1" si="26"/>
        <v>#N/A</v>
      </c>
      <c r="AE59" s="324">
        <f t="shared" ca="1" si="5"/>
        <v>997.50827142773494</v>
      </c>
      <c r="AG59" s="306">
        <f t="shared" ca="1" si="27"/>
        <v>40.429533615646115</v>
      </c>
      <c r="AH59" s="304">
        <f t="shared" ca="1" si="28"/>
        <v>50.149623231512372</v>
      </c>
    </row>
    <row r="60" spans="1:34" x14ac:dyDescent="0.25">
      <c r="A60" s="347">
        <f t="shared" ca="1" si="6"/>
        <v>0.01</v>
      </c>
      <c r="B60" s="304">
        <f t="shared" ca="1" si="7"/>
        <v>6.2599999999999882</v>
      </c>
      <c r="D60" s="306">
        <f t="shared" ca="1" si="8"/>
        <v>6.7112605167872728</v>
      </c>
      <c r="E60" s="307">
        <f t="shared" ca="1" si="9"/>
        <v>39.396773668179065</v>
      </c>
      <c r="F60" s="304">
        <f t="shared" ca="1" si="10"/>
        <v>39.964319000652509</v>
      </c>
      <c r="G60" s="306">
        <f t="shared" ca="1" si="11"/>
        <v>30.256947840070914</v>
      </c>
      <c r="H60" s="307">
        <f t="shared" ca="1" si="12"/>
        <v>221.74499199920459</v>
      </c>
      <c r="I60" s="304">
        <f t="shared" ca="1" si="13"/>
        <v>223.79974166500747</v>
      </c>
      <c r="J60" s="306">
        <f t="shared" ca="1" si="14"/>
        <v>121.23223114609566</v>
      </c>
      <c r="K60" s="307">
        <f t="shared" ca="1" si="15"/>
        <v>999.72375150904361</v>
      </c>
      <c r="L60" s="304">
        <f t="shared" ca="1" si="0"/>
        <v>1007.0475823912077</v>
      </c>
      <c r="M60" s="306">
        <f t="shared" ca="1" si="16"/>
        <v>1.43518451883238</v>
      </c>
      <c r="N60" s="304">
        <f t="shared" ca="1" si="17"/>
        <v>82.230015751609187</v>
      </c>
      <c r="P60" s="310">
        <f t="shared" ca="1" si="18"/>
        <v>3</v>
      </c>
      <c r="Q60" s="304">
        <f t="shared" ca="1" si="19"/>
        <v>165.60344827586309</v>
      </c>
      <c r="R60" s="306">
        <f t="shared" ca="1" si="20"/>
        <v>8.7893995293844757E-2</v>
      </c>
      <c r="S60" s="307">
        <f t="shared" ca="1" si="21"/>
        <v>2.1043597797983913</v>
      </c>
      <c r="T60" s="304">
        <f t="shared" ca="1" si="1"/>
        <v>20.643769439822218</v>
      </c>
      <c r="U60" s="311">
        <f t="shared" ca="1" si="2"/>
        <v>0</v>
      </c>
      <c r="V60" s="306">
        <f t="shared" ca="1" si="3"/>
        <v>1.1083640280138856</v>
      </c>
      <c r="W60" s="304">
        <f t="shared" ca="1" si="4"/>
        <v>61.301075630543068</v>
      </c>
      <c r="Y60" s="314" t="str">
        <f t="shared" ca="1" si="22"/>
        <v/>
      </c>
      <c r="Z60" s="315" t="str">
        <f t="shared" ca="1" si="23"/>
        <v/>
      </c>
      <c r="AA60" s="316" t="str">
        <f t="shared" ca="1" si="24"/>
        <v/>
      </c>
      <c r="AC60" s="310" t="e">
        <f t="shared" ca="1" si="25"/>
        <v>#N/A</v>
      </c>
      <c r="AD60" s="323" t="e">
        <f t="shared" ca="1" si="26"/>
        <v>#N/A</v>
      </c>
      <c r="AE60" s="324">
        <f t="shared" ca="1" si="5"/>
        <v>999.72375150904361</v>
      </c>
      <c r="AG60" s="306">
        <f t="shared" ca="1" si="27"/>
        <v>39.942324756763604</v>
      </c>
      <c r="AH60" s="304">
        <f t="shared" ca="1" si="28"/>
        <v>49.662335754126474</v>
      </c>
    </row>
    <row r="61" spans="1:34" x14ac:dyDescent="0.25">
      <c r="A61" s="347">
        <f t="shared" ca="1" si="6"/>
        <v>0.01</v>
      </c>
      <c r="B61" s="304">
        <f t="shared" ca="1" si="7"/>
        <v>6.269999999999988</v>
      </c>
      <c r="D61" s="306">
        <f t="shared" ca="1" si="8"/>
        <v>6.6483797408949163</v>
      </c>
      <c r="E61" s="307">
        <f t="shared" ca="1" si="9"/>
        <v>38.914178005158682</v>
      </c>
      <c r="F61" s="304">
        <f t="shared" ca="1" si="10"/>
        <v>39.478021771567001</v>
      </c>
      <c r="G61" s="306">
        <f t="shared" ca="1" si="11"/>
        <v>30.323431637479864</v>
      </c>
      <c r="H61" s="307">
        <f t="shared" ca="1" si="12"/>
        <v>222.13413377925616</v>
      </c>
      <c r="I61" s="304">
        <f t="shared" ca="1" si="13"/>
        <v>224.19429942827134</v>
      </c>
      <c r="J61" s="306">
        <f t="shared" ca="1" si="14"/>
        <v>121.53513304348341</v>
      </c>
      <c r="K61" s="307">
        <f t="shared" ca="1" si="15"/>
        <v>1001.943147137936</v>
      </c>
      <c r="L61" s="304">
        <f t="shared" ca="1" si="0"/>
        <v>1009.2873023379263</v>
      </c>
      <c r="M61" s="306">
        <f t="shared" ca="1" si="16"/>
        <v>1.4351253613098625</v>
      </c>
      <c r="N61" s="304">
        <f t="shared" ca="1" si="17"/>
        <v>82.226626275242481</v>
      </c>
      <c r="P61" s="310">
        <f t="shared" ca="1" si="18"/>
        <v>3</v>
      </c>
      <c r="Q61" s="304">
        <f t="shared" ca="1" si="19"/>
        <v>164.74137931034588</v>
      </c>
      <c r="R61" s="306">
        <f t="shared" ca="1" si="20"/>
        <v>8.7436452371961154E-2</v>
      </c>
      <c r="S61" s="307">
        <f t="shared" ca="1" si="21"/>
        <v>2.1034854152746716</v>
      </c>
      <c r="T61" s="304">
        <f t="shared" ca="1" si="1"/>
        <v>20.63519192384453</v>
      </c>
      <c r="U61" s="311">
        <f t="shared" ca="1" si="2"/>
        <v>0</v>
      </c>
      <c r="V61" s="306">
        <f t="shared" ca="1" si="3"/>
        <v>1.1081174480718243</v>
      </c>
      <c r="W61" s="304">
        <f t="shared" ca="1" si="4"/>
        <v>61.503727208222045</v>
      </c>
      <c r="Y61" s="314" t="str">
        <f t="shared" ca="1" si="22"/>
        <v/>
      </c>
      <c r="Z61" s="315" t="str">
        <f t="shared" ca="1" si="23"/>
        <v/>
      </c>
      <c r="AA61" s="316" t="str">
        <f t="shared" ca="1" si="24"/>
        <v/>
      </c>
      <c r="AC61" s="310" t="e">
        <f t="shared" ca="1" si="25"/>
        <v>#N/A</v>
      </c>
      <c r="AD61" s="323" t="e">
        <f t="shared" ca="1" si="26"/>
        <v>#N/A</v>
      </c>
      <c r="AE61" s="324">
        <f t="shared" ca="1" si="5"/>
        <v>1001.943147137936</v>
      </c>
      <c r="AG61" s="306">
        <f t="shared" ca="1" si="27"/>
        <v>39.45573709673068</v>
      </c>
      <c r="AH61" s="304">
        <f t="shared" ca="1" si="28"/>
        <v>49.175669547628239</v>
      </c>
    </row>
    <row r="62" spans="1:34" x14ac:dyDescent="0.25">
      <c r="A62" s="347">
        <f t="shared" ca="1" si="6"/>
        <v>0.01</v>
      </c>
      <c r="B62" s="304">
        <f t="shared" ca="1" si="7"/>
        <v>6.2799999999999878</v>
      </c>
      <c r="D62" s="306">
        <f t="shared" ca="1" si="8"/>
        <v>6.5855231863006072</v>
      </c>
      <c r="E62" s="307">
        <f t="shared" ca="1" si="9"/>
        <v>38.432214336453278</v>
      </c>
      <c r="F62" s="304">
        <f t="shared" ca="1" si="10"/>
        <v>38.992360975457586</v>
      </c>
      <c r="G62" s="306">
        <f t="shared" ca="1" si="11"/>
        <v>30.389286869342868</v>
      </c>
      <c r="H62" s="307">
        <f t="shared" ca="1" si="12"/>
        <v>222.51845592262069</v>
      </c>
      <c r="I62" s="304">
        <f t="shared" ca="1" si="13"/>
        <v>224.58399761028056</v>
      </c>
      <c r="J62" s="306">
        <f t="shared" ca="1" si="14"/>
        <v>121.83869663601753</v>
      </c>
      <c r="K62" s="307">
        <f t="shared" ca="1" si="15"/>
        <v>1004.1664100864454</v>
      </c>
      <c r="L62" s="304">
        <f t="shared" ca="1" si="0"/>
        <v>1011.5309422572611</v>
      </c>
      <c r="M62" s="306">
        <f t="shared" ca="1" si="16"/>
        <v>1.4350662808343793</v>
      </c>
      <c r="N62" s="304">
        <f t="shared" ca="1" si="17"/>
        <v>82.223241213345673</v>
      </c>
      <c r="P62" s="310">
        <f t="shared" ca="1" si="18"/>
        <v>3</v>
      </c>
      <c r="Q62" s="304">
        <f t="shared" ca="1" si="19"/>
        <v>163.87931034482864</v>
      </c>
      <c r="R62" s="306">
        <f t="shared" ca="1" si="20"/>
        <v>8.6978909450077538E-2</v>
      </c>
      <c r="S62" s="307">
        <f t="shared" ca="1" si="21"/>
        <v>2.1026156261801709</v>
      </c>
      <c r="T62" s="304">
        <f t="shared" ca="1" si="1"/>
        <v>20.62665929282748</v>
      </c>
      <c r="U62" s="311">
        <f t="shared" ca="1" si="2"/>
        <v>0</v>
      </c>
      <c r="V62" s="306">
        <f t="shared" ca="1" si="3"/>
        <v>1.1078704907074834</v>
      </c>
      <c r="W62" s="304">
        <f t="shared" ca="1" si="4"/>
        <v>61.703972054428625</v>
      </c>
      <c r="Y62" s="314" t="str">
        <f t="shared" ca="1" si="22"/>
        <v/>
      </c>
      <c r="Z62" s="315" t="str">
        <f t="shared" ca="1" si="23"/>
        <v/>
      </c>
      <c r="AA62" s="316" t="str">
        <f t="shared" ca="1" si="24"/>
        <v/>
      </c>
      <c r="AC62" s="310" t="e">
        <f t="shared" ca="1" si="25"/>
        <v>#N/A</v>
      </c>
      <c r="AD62" s="323" t="e">
        <f t="shared" ca="1" si="26"/>
        <v>#N/A</v>
      </c>
      <c r="AE62" s="324">
        <f t="shared" ca="1" si="5"/>
        <v>1004.1664100864454</v>
      </c>
      <c r="AG62" s="306">
        <f t="shared" ca="1" si="27"/>
        <v>38.969779005370448</v>
      </c>
      <c r="AH62" s="304">
        <f t="shared" ca="1" si="28"/>
        <v>48.689632979943497</v>
      </c>
    </row>
    <row r="63" spans="1:34" x14ac:dyDescent="0.25">
      <c r="A63" s="347">
        <f t="shared" ca="1" si="6"/>
        <v>0.01</v>
      </c>
      <c r="B63" s="304">
        <f t="shared" ca="1" si="7"/>
        <v>6.2899999999999876</v>
      </c>
      <c r="D63" s="306">
        <f t="shared" ca="1" si="8"/>
        <v>6.5226922667936362</v>
      </c>
      <c r="E63" s="307">
        <f t="shared" ca="1" si="9"/>
        <v>37.950890800288882</v>
      </c>
      <c r="F63" s="304">
        <f t="shared" ca="1" si="10"/>
        <v>38.507345103794691</v>
      </c>
      <c r="G63" s="306">
        <f t="shared" ca="1" si="11"/>
        <v>30.454513792010804</v>
      </c>
      <c r="H63" s="307">
        <f t="shared" ca="1" si="12"/>
        <v>222.89796483062358</v>
      </c>
      <c r="I63" s="304">
        <f t="shared" ca="1" si="13"/>
        <v>224.96884258923876</v>
      </c>
      <c r="J63" s="306">
        <f t="shared" ca="1" si="14"/>
        <v>122.1429156393243</v>
      </c>
      <c r="K63" s="307">
        <f t="shared" ca="1" si="15"/>
        <v>1006.3934921902115</v>
      </c>
      <c r="L63" s="304">
        <f t="shared" ca="1" si="0"/>
        <v>1013.778453590174</v>
      </c>
      <c r="M63" s="306">
        <f t="shared" ca="1" si="16"/>
        <v>1.4350072758996306</v>
      </c>
      <c r="N63" s="304">
        <f t="shared" ca="1" si="17"/>
        <v>82.219860479614127</v>
      </c>
      <c r="P63" s="310">
        <f t="shared" ca="1" si="18"/>
        <v>3</v>
      </c>
      <c r="Q63" s="304">
        <f t="shared" ca="1" si="19"/>
        <v>163.01724137931143</v>
      </c>
      <c r="R63" s="306">
        <f t="shared" ca="1" si="20"/>
        <v>8.6521366528193921E-2</v>
      </c>
      <c r="S63" s="307">
        <f t="shared" ca="1" si="21"/>
        <v>2.1017504125148889</v>
      </c>
      <c r="T63" s="304">
        <f t="shared" ca="1" si="1"/>
        <v>20.618171546771062</v>
      </c>
      <c r="U63" s="311">
        <f t="shared" ca="1" si="2"/>
        <v>0</v>
      </c>
      <c r="V63" s="306">
        <f t="shared" ca="1" si="3"/>
        <v>1.1076231615254326</v>
      </c>
      <c r="W63" s="304">
        <f t="shared" ca="1" si="4"/>
        <v>61.901801407266596</v>
      </c>
      <c r="Y63" s="314" t="str">
        <f t="shared" ca="1" si="22"/>
        <v/>
      </c>
      <c r="Z63" s="315" t="str">
        <f t="shared" ca="1" si="23"/>
        <v/>
      </c>
      <c r="AA63" s="316" t="str">
        <f t="shared" ca="1" si="24"/>
        <v/>
      </c>
      <c r="AC63" s="310" t="e">
        <f t="shared" ca="1" si="25"/>
        <v>#N/A</v>
      </c>
      <c r="AD63" s="323" t="e">
        <f t="shared" ca="1" si="26"/>
        <v>#N/A</v>
      </c>
      <c r="AE63" s="324">
        <f t="shared" ca="1" si="5"/>
        <v>1006.3934921902115</v>
      </c>
      <c r="AG63" s="306">
        <f t="shared" ca="1" si="27"/>
        <v>38.484458733442139</v>
      </c>
      <c r="AH63" s="304">
        <f t="shared" ca="1" si="28"/>
        <v>48.204234299949306</v>
      </c>
    </row>
    <row r="64" spans="1:34" x14ac:dyDescent="0.25">
      <c r="A64" s="347">
        <f t="shared" ca="1" si="6"/>
        <v>0.01</v>
      </c>
      <c r="B64" s="304">
        <f t="shared" ca="1" si="7"/>
        <v>6.2999999999999874</v>
      </c>
      <c r="D64" s="306">
        <f t="shared" ca="1" si="8"/>
        <v>6.4598883781269887</v>
      </c>
      <c r="E64" s="307">
        <f t="shared" ca="1" si="9"/>
        <v>37.470215417368941</v>
      </c>
      <c r="F64" s="304">
        <f t="shared" ca="1" si="10"/>
        <v>38.022982540588437</v>
      </c>
      <c r="G64" s="306">
        <f t="shared" ca="1" si="11"/>
        <v>30.519112675792073</v>
      </c>
      <c r="H64" s="307">
        <f t="shared" ca="1" si="12"/>
        <v>223.27266698479727</v>
      </c>
      <c r="I64" s="304">
        <f t="shared" ca="1" si="13"/>
        <v>225.34884082466868</v>
      </c>
      <c r="J64" s="306">
        <f t="shared" ca="1" si="14"/>
        <v>122.44778377166331</v>
      </c>
      <c r="K64" s="307">
        <f t="shared" ca="1" si="15"/>
        <v>1008.6243453492887</v>
      </c>
      <c r="L64" s="304">
        <f t="shared" ca="1" si="0"/>
        <v>1016.0297878418098</v>
      </c>
      <c r="M64" s="306">
        <f t="shared" ca="1" si="16"/>
        <v>1.4349483450129528</v>
      </c>
      <c r="N64" s="304">
        <f t="shared" ca="1" si="17"/>
        <v>82.21648398852453</v>
      </c>
      <c r="P64" s="310">
        <f t="shared" ca="1" si="18"/>
        <v>3</v>
      </c>
      <c r="Q64" s="304">
        <f t="shared" ca="1" si="19"/>
        <v>162.15517241379419</v>
      </c>
      <c r="R64" s="306">
        <f t="shared" ca="1" si="20"/>
        <v>8.6063823606310305E-2</v>
      </c>
      <c r="S64" s="307">
        <f t="shared" ca="1" si="21"/>
        <v>2.1008897742788259</v>
      </c>
      <c r="T64" s="304">
        <f t="shared" ca="1" si="1"/>
        <v>20.609728685675282</v>
      </c>
      <c r="U64" s="311">
        <f t="shared" ca="1" si="2"/>
        <v>0</v>
      </c>
      <c r="V64" s="306">
        <f t="shared" ca="1" si="3"/>
        <v>1.1073754661188562</v>
      </c>
      <c r="W64" s="304">
        <f t="shared" ca="1" si="4"/>
        <v>62.097206764200386</v>
      </c>
      <c r="Y64" s="314" t="str">
        <f t="shared" ca="1" si="22"/>
        <v/>
      </c>
      <c r="Z64" s="315" t="str">
        <f t="shared" ca="1" si="23"/>
        <v/>
      </c>
      <c r="AA64" s="316" t="str">
        <f t="shared" ca="1" si="24"/>
        <v/>
      </c>
      <c r="AC64" s="310" t="e">
        <f t="shared" ca="1" si="25"/>
        <v>#N/A</v>
      </c>
      <c r="AD64" s="323" t="e">
        <f t="shared" ca="1" si="26"/>
        <v>#N/A</v>
      </c>
      <c r="AE64" s="324">
        <f t="shared" ca="1" si="5"/>
        <v>1008.6243453492887</v>
      </c>
      <c r="AG64" s="306">
        <f t="shared" ca="1" si="27"/>
        <v>37.999784412866227</v>
      </c>
      <c r="AH64" s="304">
        <f t="shared" ca="1" si="28"/>
        <v>47.719481637698792</v>
      </c>
    </row>
    <row r="65" spans="1:34" x14ac:dyDescent="0.25">
      <c r="A65" s="347">
        <f t="shared" ca="1" si="6"/>
        <v>0.01</v>
      </c>
      <c r="B65" s="304">
        <f t="shared" ca="1" si="7"/>
        <v>6.3099999999999872</v>
      </c>
      <c r="D65" s="306">
        <f t="shared" ca="1" si="8"/>
        <v>6.3971128980646741</v>
      </c>
      <c r="E65" s="307">
        <f t="shared" ca="1" si="9"/>
        <v>36.99019609110983</v>
      </c>
      <c r="F65" s="304">
        <f t="shared" ca="1" si="10"/>
        <v>37.53928156330835</v>
      </c>
      <c r="G65" s="306">
        <f t="shared" ca="1" si="11"/>
        <v>30.58308380477272</v>
      </c>
      <c r="H65" s="307">
        <f t="shared" ca="1" si="12"/>
        <v>223.64256894570838</v>
      </c>
      <c r="I65" s="304">
        <f t="shared" ca="1" si="13"/>
        <v>225.72399885622636</v>
      </c>
      <c r="J65" s="306">
        <f t="shared" ca="1" si="14"/>
        <v>122.75329475406613</v>
      </c>
      <c r="K65" s="307">
        <f t="shared" ca="1" si="15"/>
        <v>1010.8589215289412</v>
      </c>
      <c r="L65" s="304">
        <f t="shared" ca="1" si="0"/>
        <v>1018.2848965823036</v>
      </c>
      <c r="M65" s="306">
        <f t="shared" ca="1" si="16"/>
        <v>1.4348894866950532</v>
      </c>
      <c r="N65" s="304">
        <f t="shared" ca="1" si="17"/>
        <v>82.213111655319636</v>
      </c>
      <c r="P65" s="310">
        <f t="shared" ca="1" si="18"/>
        <v>3</v>
      </c>
      <c r="Q65" s="304">
        <f t="shared" ca="1" si="19"/>
        <v>161.29310344827698</v>
      </c>
      <c r="R65" s="306">
        <f t="shared" ca="1" si="20"/>
        <v>8.5606280684426689E-2</v>
      </c>
      <c r="S65" s="307">
        <f t="shared" ca="1" si="21"/>
        <v>2.1000337114719816</v>
      </c>
      <c r="T65" s="304">
        <f t="shared" ca="1" si="1"/>
        <v>20.601330709540139</v>
      </c>
      <c r="U65" s="311">
        <f t="shared" ca="1" si="2"/>
        <v>0</v>
      </c>
      <c r="V65" s="306">
        <f t="shared" ca="1" si="3"/>
        <v>1.1071274100694557</v>
      </c>
      <c r="W65" s="304">
        <f t="shared" ca="1" si="4"/>
        <v>62.290179880648246</v>
      </c>
      <c r="Y65" s="314" t="str">
        <f t="shared" ca="1" si="22"/>
        <v/>
      </c>
      <c r="Z65" s="315" t="str">
        <f t="shared" ca="1" si="23"/>
        <v/>
      </c>
      <c r="AA65" s="316" t="str">
        <f t="shared" ca="1" si="24"/>
        <v/>
      </c>
      <c r="AC65" s="310" t="e">
        <f t="shared" ca="1" si="25"/>
        <v>#N/A</v>
      </c>
      <c r="AD65" s="323" t="e">
        <f t="shared" ca="1" si="26"/>
        <v>#N/A</v>
      </c>
      <c r="AE65" s="324">
        <f t="shared" ca="1" si="5"/>
        <v>1010.8589215289412</v>
      </c>
      <c r="AG65" s="306">
        <f t="shared" ca="1" si="27"/>
        <v>37.515764056963583</v>
      </c>
      <c r="AH65" s="304">
        <f t="shared" ca="1" si="28"/>
        <v>47.235383004659944</v>
      </c>
    </row>
    <row r="66" spans="1:34" x14ac:dyDescent="0.25">
      <c r="A66" s="347">
        <f t="shared" ca="1" si="6"/>
        <v>0.01</v>
      </c>
      <c r="B66" s="304">
        <f t="shared" ca="1" si="7"/>
        <v>6.319999999999987</v>
      </c>
      <c r="D66" s="306">
        <f t="shared" ca="1" si="8"/>
        <v>6.3343671864300459</v>
      </c>
      <c r="E66" s="307">
        <f t="shared" ca="1" si="9"/>
        <v>36.510840607889875</v>
      </c>
      <c r="F66" s="304">
        <f t="shared" ca="1" si="10"/>
        <v>37.056250343865905</v>
      </c>
      <c r="G66" s="306">
        <f t="shared" ca="1" si="11"/>
        <v>30.646427476637019</v>
      </c>
      <c r="H66" s="307">
        <f t="shared" ca="1" si="12"/>
        <v>224.00767735178727</v>
      </c>
      <c r="I66" s="304">
        <f t="shared" ca="1" si="13"/>
        <v>226.09432330251727</v>
      </c>
      <c r="J66" s="306">
        <f t="shared" ca="1" si="14"/>
        <v>123.05944231047319</v>
      </c>
      <c r="K66" s="307">
        <f t="shared" ca="1" si="15"/>
        <v>1013.0971727604286</v>
      </c>
      <c r="L66" s="304">
        <f t="shared" ca="1" si="0"/>
        <v>1020.5437314475743</v>
      </c>
      <c r="M66" s="306">
        <f t="shared" ca="1" si="16"/>
        <v>1.4348306994797471</v>
      </c>
      <c r="N66" s="304">
        <f t="shared" ca="1" si="17"/>
        <v>82.209743395993272</v>
      </c>
      <c r="P66" s="310">
        <f t="shared" ca="1" si="18"/>
        <v>3</v>
      </c>
      <c r="Q66" s="304">
        <f t="shared" ca="1" si="19"/>
        <v>160.43103448275974</v>
      </c>
      <c r="R66" s="306">
        <f t="shared" ca="1" si="20"/>
        <v>8.5148737762543072E-2</v>
      </c>
      <c r="S66" s="307">
        <f t="shared" ca="1" si="21"/>
        <v>2.0991822240943563</v>
      </c>
      <c r="T66" s="304">
        <f t="shared" ca="1" si="1"/>
        <v>20.592977618365637</v>
      </c>
      <c r="U66" s="311">
        <f t="shared" ca="1" si="2"/>
        <v>0</v>
      </c>
      <c r="V66" s="306">
        <f t="shared" ca="1" si="3"/>
        <v>1.1068789989473509</v>
      </c>
      <c r="W66" s="304">
        <f t="shared" ca="1" si="4"/>
        <v>62.480712768555975</v>
      </c>
      <c r="Y66" s="314" t="str">
        <f t="shared" ca="1" si="22"/>
        <v/>
      </c>
      <c r="Z66" s="315" t="str">
        <f t="shared" ca="1" si="23"/>
        <v/>
      </c>
      <c r="AA66" s="316" t="str">
        <f t="shared" ca="1" si="24"/>
        <v/>
      </c>
      <c r="AC66" s="310" t="e">
        <f t="shared" ca="1" si="25"/>
        <v>#N/A</v>
      </c>
      <c r="AD66" s="323" t="e">
        <f t="shared" ca="1" si="26"/>
        <v>#N/A</v>
      </c>
      <c r="AE66" s="324">
        <f t="shared" ca="1" si="5"/>
        <v>1013.0971727604286</v>
      </c>
      <c r="AG66" s="306">
        <f t="shared" ca="1" si="27"/>
        <v>37.032405560708042</v>
      </c>
      <c r="AH66" s="304">
        <f t="shared" ca="1" si="28"/>
        <v>46.751946293967926</v>
      </c>
    </row>
    <row r="67" spans="1:34" x14ac:dyDescent="0.25">
      <c r="A67" s="347">
        <f t="shared" ca="1" si="6"/>
        <v>0.01</v>
      </c>
      <c r="B67" s="304">
        <f t="shared" ca="1" si="7"/>
        <v>6.3299999999999867</v>
      </c>
      <c r="D67" s="306">
        <f t="shared" ca="1" si="8"/>
        <v>6.2187366272809541</v>
      </c>
      <c r="E67" s="307">
        <f t="shared" ca="1" si="9"/>
        <v>35.645371560083682</v>
      </c>
      <c r="F67" s="304">
        <f t="shared" ca="1" si="10"/>
        <v>36.183769827035825</v>
      </c>
      <c r="G67" s="306">
        <f t="shared" ca="1" si="11"/>
        <v>30.708614842909828</v>
      </c>
      <c r="H67" s="307">
        <f t="shared" ca="1" si="12"/>
        <v>224.36413106738812</v>
      </c>
      <c r="I67" s="304">
        <f t="shared" ca="1" si="13"/>
        <v>226.45591697987115</v>
      </c>
      <c r="J67" s="306">
        <f t="shared" ca="1" si="14"/>
        <v>123.36621752207093</v>
      </c>
      <c r="K67" s="307">
        <f t="shared" ca="1" si="15"/>
        <v>1015.3390318025245</v>
      </c>
      <c r="L67" s="304">
        <f t="shared" ca="1" si="0"/>
        <v>1022.8062246229198</v>
      </c>
      <c r="M67" s="306">
        <f t="shared" ca="1" si="16"/>
        <v>1.4347719809014685</v>
      </c>
      <c r="N67" s="304">
        <f t="shared" ca="1" si="17"/>
        <v>82.206379069278896</v>
      </c>
      <c r="P67" s="310">
        <f t="shared" ca="1" si="18"/>
        <v>4</v>
      </c>
      <c r="Q67" s="304">
        <f t="shared" ca="1" si="19"/>
        <v>158.75000000000333</v>
      </c>
      <c r="R67" s="306">
        <f t="shared" ca="1" si="20"/>
        <v>8.4256529064871175E-2</v>
      </c>
      <c r="S67" s="307">
        <f t="shared" ca="1" si="21"/>
        <v>2.0983396588037078</v>
      </c>
      <c r="T67" s="304">
        <f t="shared" ca="1" si="1"/>
        <v>20.584712052864376</v>
      </c>
      <c r="U67" s="311">
        <f t="shared" ca="1" si="2"/>
        <v>0</v>
      </c>
      <c r="V67" s="306">
        <f t="shared" ca="1" si="3"/>
        <v>1.1066302404566626</v>
      </c>
      <c r="W67" s="304">
        <f t="shared" ca="1" si="4"/>
        <v>62.666637173930219</v>
      </c>
      <c r="Y67" s="314" t="str">
        <f t="shared" ca="1" si="22"/>
        <v/>
      </c>
      <c r="Z67" s="315" t="str">
        <f t="shared" ca="1" si="23"/>
        <v/>
      </c>
      <c r="AA67" s="316" t="str">
        <f t="shared" ca="1" si="24"/>
        <v/>
      </c>
      <c r="AC67" s="310" t="e">
        <f t="shared" ca="1" si="25"/>
        <v>#N/A</v>
      </c>
      <c r="AD67" s="323" t="e">
        <f t="shared" ca="1" si="26"/>
        <v>#N/A</v>
      </c>
      <c r="AE67" s="324">
        <f t="shared" ca="1" si="5"/>
        <v>1015.3390318025245</v>
      </c>
      <c r="AG67" s="306">
        <f t="shared" ca="1" si="27"/>
        <v>36.159328695843683</v>
      </c>
      <c r="AH67" s="304">
        <f t="shared" ca="1" si="28"/>
        <v>45.878791275542014</v>
      </c>
    </row>
    <row r="68" spans="1:34" x14ac:dyDescent="0.25">
      <c r="A68" s="347">
        <f t="shared" ca="1" si="6"/>
        <v>0.01</v>
      </c>
      <c r="B68" s="304">
        <f t="shared" ca="1" si="7"/>
        <v>6.3399999999999865</v>
      </c>
      <c r="D68" s="306">
        <f t="shared" ca="1" si="8"/>
        <v>6.0502188836667434</v>
      </c>
      <c r="E68" s="307">
        <f t="shared" ca="1" si="9"/>
        <v>34.394276537559513</v>
      </c>
      <c r="F68" s="304">
        <f t="shared" ca="1" si="10"/>
        <v>34.922362564442778</v>
      </c>
      <c r="G68" s="306">
        <f t="shared" ca="1" si="11"/>
        <v>30.769117031746497</v>
      </c>
      <c r="H68" s="307">
        <f t="shared" ca="1" si="12"/>
        <v>224.70807383276372</v>
      </c>
      <c r="I68" s="304">
        <f t="shared" ca="1" si="13"/>
        <v>226.80488753231069</v>
      </c>
      <c r="J68" s="306">
        <f t="shared" ca="1" si="14"/>
        <v>123.67360618144421</v>
      </c>
      <c r="K68" s="307">
        <f t="shared" ca="1" si="15"/>
        <v>1017.5843928270252</v>
      </c>
      <c r="L68" s="304">
        <f t="shared" ref="L68:L131" ca="1" si="29">SQRT(pos_x^2+pos_z^2)</f>
        <v>1025.072269350346</v>
      </c>
      <c r="M68" s="306">
        <f t="shared" ca="1" si="16"/>
        <v>1.4347133275067387</v>
      </c>
      <c r="N68" s="304">
        <f t="shared" ca="1" si="17"/>
        <v>82.20301847730677</v>
      </c>
      <c r="P68" s="310">
        <f t="shared" ca="1" si="18"/>
        <v>4</v>
      </c>
      <c r="Q68" s="304">
        <f t="shared" ca="1" si="19"/>
        <v>156.25000000000338</v>
      </c>
      <c r="R68" s="306">
        <f t="shared" ca="1" si="20"/>
        <v>8.2929654591408691E-2</v>
      </c>
      <c r="S68" s="307">
        <f t="shared" ca="1" si="21"/>
        <v>2.0975103622577937</v>
      </c>
      <c r="T68" s="304">
        <f t="shared" ref="T68:T131" ca="1" si="30">m*g</f>
        <v>20.576576653748958</v>
      </c>
      <c r="U68" s="311">
        <f t="shared" ref="U68:U131" ca="1" si="31">IF(pos_xz&lt;L_rampe,Poids*COS(Beta),0)</f>
        <v>0</v>
      </c>
      <c r="V68" s="306">
        <f t="shared" ref="V68:V131" ca="1" si="32">Rho_moyen*(20000-Alt_rampe-pos_z)/(20000+Alt_rampe+pos_z)</f>
        <v>1.106381146575671</v>
      </c>
      <c r="W68" s="304">
        <f t="shared" ref="W68:W131" ca="1" si="33">1/2*Rho*Sref*Cx*vit_xz^2</f>
        <v>62.845776381379373</v>
      </c>
      <c r="Y68" s="314" t="str">
        <f t="shared" ca="1" si="22"/>
        <v/>
      </c>
      <c r="Z68" s="315" t="str">
        <f t="shared" ca="1" si="23"/>
        <v/>
      </c>
      <c r="AA68" s="316" t="str">
        <f t="shared" ca="1" si="24"/>
        <v/>
      </c>
      <c r="AC68" s="310" t="e">
        <f t="shared" ca="1" si="25"/>
        <v>#N/A</v>
      </c>
      <c r="AD68" s="323" t="e">
        <f t="shared" ca="1" si="26"/>
        <v>#N/A</v>
      </c>
      <c r="AE68" s="324">
        <f t="shared" ref="AE68:AE131" ca="1" si="34">IF(t&lt;T_para, pos_z, NA())</f>
        <v>1017.5843928270252</v>
      </c>
      <c r="AG68" s="306">
        <f t="shared" ca="1" si="27"/>
        <v>34.897016231009999</v>
      </c>
      <c r="AH68" s="304">
        <f t="shared" ca="1" si="28"/>
        <v>44.61640071486395</v>
      </c>
    </row>
    <row r="69" spans="1:34" x14ac:dyDescent="0.25">
      <c r="A69" s="347">
        <f t="shared" ref="A69:A132" ca="1" si="35">IF(B68+0.01&lt;=T_ini+ROUNDUP(Temps_fin_propu,0), 0.01, IF(K68&gt;0, 0.1, 0.0001))</f>
        <v>0.01</v>
      </c>
      <c r="B69" s="304">
        <f t="shared" ref="B69:B132" ca="1" si="36">B68+pas</f>
        <v>6.3499999999999863</v>
      </c>
      <c r="D69" s="306">
        <f t="shared" ref="D69:D132" ca="1" si="37">IF(AND(L68&lt;L_rampe,Poussee&lt;Poids*SIN(M68)),0,(-W68+Poussee)/m*COS(M68)-U68/m*SIN(M68))</f>
        <v>5.8818177664988331</v>
      </c>
      <c r="E69" s="307">
        <f t="shared" ref="E69:E132" ca="1" si="38">IF(AND(L68&lt;L_rampe,Poussee&lt;Poids*SIN(M68)),0,(-W68+Poussee)/m*SIN(M68)+U68/m*COS(M68)-Poids/m)</f>
        <v>33.145146863057747</v>
      </c>
      <c r="F69" s="304">
        <f t="shared" ref="F69:F132" ca="1" si="39">SQRT(acc_x^2+acc_z^2)</f>
        <v>33.662984728213985</v>
      </c>
      <c r="G69" s="306">
        <f t="shared" ref="G69:G132" ca="1" si="40">G68+acc_x*pas</f>
        <v>30.827935209411486</v>
      </c>
      <c r="H69" s="307">
        <f t="shared" ref="H69:H132" ca="1" si="41">H68+acc_z*pas</f>
        <v>225.03952530139429</v>
      </c>
      <c r="I69" s="304">
        <f t="shared" ref="I69:I132" ca="1" si="42">SQRT(vit_x^2+vit_z^2)</f>
        <v>227.14125459095393</v>
      </c>
      <c r="J69" s="306">
        <f t="shared" ref="J69:J132" ca="1" si="43">J68+0.5*(vit_x+G68)*pas*(K68&gt;=0)</f>
        <v>123.98159144265</v>
      </c>
      <c r="K69" s="307">
        <f t="shared" ref="K69:K132" ca="1" si="44">K68+0.5*(vit_z+H68)*pas</f>
        <v>1019.833130822696</v>
      </c>
      <c r="L69" s="304">
        <f t="shared" ca="1" si="29"/>
        <v>1027.3417395104098</v>
      </c>
      <c r="M69" s="306">
        <f t="shared" ref="M69:M132" ca="1" si="45">IF(AND(L68&gt;L_rampe,G69&gt;0),ATAN2(G69,H69),$M$4)</f>
        <v>1.4346547358724486</v>
      </c>
      <c r="N69" s="304">
        <f t="shared" ref="N69:N132" ca="1" si="46">DEGREES(Beta)</f>
        <v>82.199661423947177</v>
      </c>
      <c r="P69" s="310">
        <f t="shared" ref="P69:P132" ca="1" si="47">MATCH(t-pas/2-T_ini,CdP_t)</f>
        <v>4</v>
      </c>
      <c r="Q69" s="304">
        <f t="shared" ref="Q69:Q132" ca="1" si="48">(INDEX(CdP,2,i_P+1)-INDEX(CdP,2,i_P+0))/(INDEX(CdP,1,i_P+1)-INDEX(CdP,1,i_P+0))*(t-pas/2-T_ini-INDEX(CdP,1,i_P+0))+INDEX(CdP,2,i_P+0)</f>
        <v>153.75000000000344</v>
      </c>
      <c r="R69" s="306">
        <f t="shared" ref="R69:R132" ca="1" si="49">Poussee/(g*ISP)</f>
        <v>8.1602780117946208E-2</v>
      </c>
      <c r="S69" s="307">
        <f t="shared" ref="S69:S132" ca="1" si="50">S68-Débit*pas</f>
        <v>2.0966943344566142</v>
      </c>
      <c r="T69" s="304">
        <f t="shared" ca="1" si="30"/>
        <v>20.568571421019385</v>
      </c>
      <c r="U69" s="311">
        <f t="shared" ca="1" si="31"/>
        <v>0</v>
      </c>
      <c r="V69" s="306">
        <f t="shared" ca="1" si="32"/>
        <v>1.1061317314002954</v>
      </c>
      <c r="W69" s="304">
        <f t="shared" ca="1" si="33"/>
        <v>63.018114137003764</v>
      </c>
      <c r="Y69" s="314" t="str">
        <f t="shared" ref="Y69:Y132" ca="1" si="51">IF(AND(pos_z&lt;=0,K68&gt;0),"Impact balistique","") &amp; IF(AND(H70&lt;0,vit_z&gt;=0),"Apogée","") &amp; IF(AND(Poussee=0,Q68&gt;0),"Fin de propulsion","") &amp; IF(AND(L70&gt;L_rampe,pos_xz&lt;=L_rampe),"Sortie de rampe","")</f>
        <v/>
      </c>
      <c r="Z69" s="315" t="str">
        <f t="shared" ref="Z69:Z132" ca="1" si="52">IF(ABS(t-T_para)&lt;pas/2,"Para","")</f>
        <v/>
      </c>
      <c r="AA69" s="316" t="str">
        <f t="shared" ref="AA69:AA132" ca="1" si="53">IF(ABS(t-T_satellite)&lt;pas/2,"Satellite","")</f>
        <v/>
      </c>
      <c r="AC69" s="310" t="e">
        <f t="shared" ref="AC69:AC132" ca="1" si="54">IF(ABS(t-ROUND(t,0))&lt;0.001,t,NA())</f>
        <v>#N/A</v>
      </c>
      <c r="AD69" s="323" t="e">
        <f t="shared" ref="AD69:AD132" ca="1" si="55">IF(ABS(t-ROUND(t,0))&lt;0.001,pos_x,NA())</f>
        <v>#N/A</v>
      </c>
      <c r="AE69" s="324">
        <f t="shared" ca="1" si="34"/>
        <v>1019.833130822696</v>
      </c>
      <c r="AG69" s="306">
        <f t="shared" ref="AG69:AG132" ca="1" si="56">IF(AND(L68&lt;L_rampe,Poussee&lt;Poids*SIN(M68)),0,(-W68+Poussee)/m-Poids*SIN(M68)/m)</f>
        <v>33.636666875760163</v>
      </c>
      <c r="AH69" s="304">
        <f t="shared" ref="AH69:AH132" ca="1" si="57">IF(AND(L68&lt;L_rampe,Poussee&lt;Poids*SIN(M68)), g*SIN(M68), (-W68+Poussee)/m)</f>
        <v>43.355973317008591</v>
      </c>
    </row>
    <row r="70" spans="1:34" x14ac:dyDescent="0.25">
      <c r="A70" s="347">
        <f t="shared" ca="1" si="35"/>
        <v>0.01</v>
      </c>
      <c r="B70" s="304">
        <f t="shared" ca="1" si="36"/>
        <v>6.3599999999999861</v>
      </c>
      <c r="D70" s="306">
        <f t="shared" ca="1" si="37"/>
        <v>5.7135386195620903</v>
      </c>
      <c r="E70" s="307">
        <f t="shared" ca="1" si="38"/>
        <v>31.898016122497289</v>
      </c>
      <c r="F70" s="304">
        <f t="shared" ca="1" si="39"/>
        <v>32.405677837507497</v>
      </c>
      <c r="G70" s="306">
        <f t="shared" ca="1" si="40"/>
        <v>30.885070595607107</v>
      </c>
      <c r="H70" s="307">
        <f t="shared" ca="1" si="41"/>
        <v>225.35850546261926</v>
      </c>
      <c r="I70" s="304">
        <f t="shared" ca="1" si="42"/>
        <v>227.46503812683179</v>
      </c>
      <c r="J70" s="306">
        <f t="shared" ca="1" si="43"/>
        <v>124.29015647167509</v>
      </c>
      <c r="K70" s="307">
        <f t="shared" ca="1" si="44"/>
        <v>1022.0851209765161</v>
      </c>
      <c r="L70" s="304">
        <f t="shared" ca="1" si="29"/>
        <v>1029.614509181632</v>
      </c>
      <c r="M70" s="306">
        <f t="shared" ca="1" si="45"/>
        <v>1.434596202604618</v>
      </c>
      <c r="N70" s="304">
        <f t="shared" ca="1" si="46"/>
        <v>82.196307714739362</v>
      </c>
      <c r="P70" s="310">
        <f t="shared" ca="1" si="47"/>
        <v>4</v>
      </c>
      <c r="Q70" s="304">
        <f t="shared" ca="1" si="48"/>
        <v>151.2500000000035</v>
      </c>
      <c r="R70" s="306">
        <f t="shared" ca="1" si="49"/>
        <v>8.0275905644483739E-2</v>
      </c>
      <c r="S70" s="307">
        <f t="shared" ca="1" si="50"/>
        <v>2.0958915754001692</v>
      </c>
      <c r="T70" s="304">
        <f t="shared" ca="1" si="30"/>
        <v>20.56069635467566</v>
      </c>
      <c r="U70" s="311">
        <f t="shared" ca="1" si="31"/>
        <v>0</v>
      </c>
      <c r="V70" s="306">
        <f t="shared" ca="1" si="32"/>
        <v>1.105882008992829</v>
      </c>
      <c r="W70" s="304">
        <f t="shared" ca="1" si="33"/>
        <v>63.183635644046873</v>
      </c>
      <c r="Y70" s="314" t="str">
        <f t="shared" ca="1" si="51"/>
        <v/>
      </c>
      <c r="Z70" s="315" t="str">
        <f t="shared" ca="1" si="52"/>
        <v/>
      </c>
      <c r="AA70" s="316" t="str">
        <f t="shared" ca="1" si="53"/>
        <v/>
      </c>
      <c r="AC70" s="310" t="e">
        <f t="shared" ca="1" si="54"/>
        <v>#N/A</v>
      </c>
      <c r="AD70" s="323" t="e">
        <f t="shared" ca="1" si="55"/>
        <v>#N/A</v>
      </c>
      <c r="AE70" s="324">
        <f t="shared" ca="1" si="34"/>
        <v>1022.0851209765161</v>
      </c>
      <c r="AG70" s="306">
        <f t="shared" ca="1" si="56"/>
        <v>32.378314621390842</v>
      </c>
      <c r="AH70" s="304">
        <f t="shared" ca="1" si="57"/>
        <v>42.097543068826731</v>
      </c>
    </row>
    <row r="71" spans="1:34" x14ac:dyDescent="0.25">
      <c r="A71" s="347">
        <f t="shared" ca="1" si="35"/>
        <v>0.01</v>
      </c>
      <c r="B71" s="304">
        <f t="shared" ca="1" si="36"/>
        <v>6.3699999999999859</v>
      </c>
      <c r="D71" s="306">
        <f t="shared" ca="1" si="37"/>
        <v>5.4967702190150032</v>
      </c>
      <c r="E71" s="307">
        <f t="shared" ca="1" si="38"/>
        <v>30.298178402701978</v>
      </c>
      <c r="F71" s="304">
        <f t="shared" ca="1" si="39"/>
        <v>30.792760469996949</v>
      </c>
      <c r="G71" s="306">
        <f t="shared" ca="1" si="40"/>
        <v>30.940038297797258</v>
      </c>
      <c r="H71" s="307">
        <f t="shared" ca="1" si="41"/>
        <v>225.66148724664629</v>
      </c>
      <c r="I71" s="304">
        <f t="shared" ca="1" si="42"/>
        <v>227.77267789670793</v>
      </c>
      <c r="J71" s="306">
        <f t="shared" ca="1" si="43"/>
        <v>124.59928201614211</v>
      </c>
      <c r="K71" s="307">
        <f t="shared" ca="1" si="44"/>
        <v>1024.3402209400624</v>
      </c>
      <c r="L71" s="304">
        <f t="shared" ca="1" si="29"/>
        <v>1031.8904347431824</v>
      </c>
      <c r="M71" s="306">
        <f t="shared" ca="1" si="45"/>
        <v>1.4345377234179086</v>
      </c>
      <c r="N71" s="304">
        <f t="shared" ca="1" si="46"/>
        <v>82.19295710415156</v>
      </c>
      <c r="P71" s="310">
        <f t="shared" ca="1" si="47"/>
        <v>5</v>
      </c>
      <c r="Q71" s="304">
        <f t="shared" ca="1" si="48"/>
        <v>148.00000000000568</v>
      </c>
      <c r="R71" s="306">
        <f t="shared" ca="1" si="49"/>
        <v>7.8550968828983631E-2</v>
      </c>
      <c r="S71" s="307">
        <f t="shared" ca="1" si="50"/>
        <v>2.0951060657118794</v>
      </c>
      <c r="T71" s="304">
        <f t="shared" ca="1" si="30"/>
        <v>20.552990504633538</v>
      </c>
      <c r="U71" s="311">
        <f t="shared" ca="1" si="31"/>
        <v>0</v>
      </c>
      <c r="V71" s="306">
        <f t="shared" ca="1" si="32"/>
        <v>1.1056319953477742</v>
      </c>
      <c r="W71" s="304">
        <f t="shared" ca="1" si="33"/>
        <v>63.340336250499995</v>
      </c>
      <c r="Y71" s="314" t="str">
        <f t="shared" ca="1" si="51"/>
        <v/>
      </c>
      <c r="Z71" s="315" t="str">
        <f t="shared" ca="1" si="52"/>
        <v/>
      </c>
      <c r="AA71" s="316" t="str">
        <f t="shared" ca="1" si="53"/>
        <v/>
      </c>
      <c r="AC71" s="310" t="e">
        <f t="shared" ca="1" si="54"/>
        <v>#N/A</v>
      </c>
      <c r="AD71" s="323" t="e">
        <f t="shared" ca="1" si="55"/>
        <v>#N/A</v>
      </c>
      <c r="AE71" s="324">
        <f t="shared" ca="1" si="34"/>
        <v>1024.3402209400624</v>
      </c>
      <c r="AG71" s="306">
        <f t="shared" ca="1" si="56"/>
        <v>30.763938040592379</v>
      </c>
      <c r="AH71" s="304">
        <f t="shared" ca="1" si="57"/>
        <v>40.483088538593741</v>
      </c>
    </row>
    <row r="72" spans="1:34" x14ac:dyDescent="0.25">
      <c r="A72" s="347">
        <f t="shared" ca="1" si="35"/>
        <v>0.01</v>
      </c>
      <c r="B72" s="304">
        <f t="shared" ca="1" si="36"/>
        <v>6.3799999999999857</v>
      </c>
      <c r="D72" s="306">
        <f t="shared" ca="1" si="37"/>
        <v>5.2315221516070185</v>
      </c>
      <c r="E72" s="307">
        <f t="shared" ca="1" si="38"/>
        <v>28.346160568794829</v>
      </c>
      <c r="F72" s="304">
        <f t="shared" ca="1" si="39"/>
        <v>28.824878889852315</v>
      </c>
      <c r="G72" s="306">
        <f t="shared" ca="1" si="40"/>
        <v>30.99235351931333</v>
      </c>
      <c r="H72" s="307">
        <f t="shared" ca="1" si="41"/>
        <v>225.94494885233425</v>
      </c>
      <c r="I72" s="304">
        <f t="shared" ca="1" si="42"/>
        <v>228.06061889013202</v>
      </c>
      <c r="J72" s="306">
        <f t="shared" ca="1" si="43"/>
        <v>124.90894397522767</v>
      </c>
      <c r="K72" s="307">
        <f t="shared" ca="1" si="44"/>
        <v>1026.5982531205573</v>
      </c>
      <c r="L72" s="304">
        <f t="shared" ca="1" si="29"/>
        <v>1034.1693370020146</v>
      </c>
      <c r="M72" s="306">
        <f t="shared" ca="1" si="45"/>
        <v>1.4344792931431853</v>
      </c>
      <c r="N72" s="304">
        <f t="shared" ca="1" si="46"/>
        <v>82.189609296014126</v>
      </c>
      <c r="P72" s="310">
        <f t="shared" ca="1" si="47"/>
        <v>5</v>
      </c>
      <c r="Q72" s="304">
        <f t="shared" ca="1" si="48"/>
        <v>144.00000000000577</v>
      </c>
      <c r="R72" s="306">
        <f t="shared" ca="1" si="49"/>
        <v>7.6427969671443663E-2</v>
      </c>
      <c r="S72" s="307">
        <f t="shared" ca="1" si="50"/>
        <v>2.094341786015165</v>
      </c>
      <c r="T72" s="304">
        <f t="shared" ca="1" si="30"/>
        <v>20.545492920808769</v>
      </c>
      <c r="U72" s="311">
        <f t="shared" ca="1" si="31"/>
        <v>0</v>
      </c>
      <c r="V72" s="306">
        <f t="shared" ca="1" si="32"/>
        <v>1.1053817103524062</v>
      </c>
      <c r="W72" s="304">
        <f t="shared" ca="1" si="33"/>
        <v>63.486207245907146</v>
      </c>
      <c r="Y72" s="314" t="str">
        <f t="shared" ca="1" si="51"/>
        <v/>
      </c>
      <c r="Z72" s="315" t="str">
        <f t="shared" ca="1" si="52"/>
        <v/>
      </c>
      <c r="AA72" s="316" t="str">
        <f t="shared" ca="1" si="53"/>
        <v/>
      </c>
      <c r="AC72" s="310" t="e">
        <f t="shared" ca="1" si="54"/>
        <v>#N/A</v>
      </c>
      <c r="AD72" s="323" t="e">
        <f t="shared" ca="1" si="55"/>
        <v>#N/A</v>
      </c>
      <c r="AE72" s="324">
        <f t="shared" ca="1" si="34"/>
        <v>1026.5982531205573</v>
      </c>
      <c r="AG72" s="306">
        <f t="shared" ca="1" si="56"/>
        <v>28.794060411350898</v>
      </c>
      <c r="AH72" s="304">
        <f t="shared" ca="1" si="57"/>
        <v>38.513132998685116</v>
      </c>
    </row>
    <row r="73" spans="1:34" x14ac:dyDescent="0.25">
      <c r="A73" s="347">
        <f t="shared" ca="1" si="35"/>
        <v>0.01</v>
      </c>
      <c r="B73" s="304">
        <f t="shared" ca="1" si="36"/>
        <v>6.3899999999999855</v>
      </c>
      <c r="D73" s="306">
        <f t="shared" ca="1" si="37"/>
        <v>4.8799381604071277</v>
      </c>
      <c r="E73" s="307">
        <f t="shared" ca="1" si="38"/>
        <v>25.766432663258179</v>
      </c>
      <c r="F73" s="304">
        <f t="shared" ca="1" si="39"/>
        <v>26.224470416761818</v>
      </c>
      <c r="G73" s="306">
        <f t="shared" ca="1" si="40"/>
        <v>31.0411529009174</v>
      </c>
      <c r="H73" s="307">
        <f t="shared" ca="1" si="41"/>
        <v>226.20261317896683</v>
      </c>
      <c r="I73" s="304">
        <f t="shared" ca="1" si="42"/>
        <v>228.32252491248303</v>
      </c>
      <c r="J73" s="306">
        <f t="shared" ca="1" si="43"/>
        <v>125.21911150732882</v>
      </c>
      <c r="K73" s="307">
        <f t="shared" ca="1" si="44"/>
        <v>1028.8589909307138</v>
      </c>
      <c r="L73" s="304">
        <f t="shared" ca="1" si="29"/>
        <v>1036.4509873147169</v>
      </c>
      <c r="M73" s="306">
        <f t="shared" ca="1" si="45"/>
        <v>1.4344209050210386</v>
      </c>
      <c r="N73" s="304">
        <f t="shared" ca="1" si="46"/>
        <v>82.186263903041421</v>
      </c>
      <c r="P73" s="310">
        <f t="shared" ca="1" si="47"/>
        <v>6</v>
      </c>
      <c r="Q73" s="304">
        <f t="shared" ca="1" si="48"/>
        <v>138.66666666667643</v>
      </c>
      <c r="R73" s="306">
        <f t="shared" ca="1" si="49"/>
        <v>7.3597304128059093E-2</v>
      </c>
      <c r="S73" s="307">
        <f t="shared" ca="1" si="50"/>
        <v>2.0936058129738844</v>
      </c>
      <c r="T73" s="304">
        <f t="shared" ca="1" si="30"/>
        <v>20.538273025273806</v>
      </c>
      <c r="U73" s="311">
        <f t="shared" ca="1" si="31"/>
        <v>0</v>
      </c>
      <c r="V73" s="306">
        <f t="shared" ca="1" si="32"/>
        <v>1.1051311793061447</v>
      </c>
      <c r="W73" s="304">
        <f t="shared" ca="1" si="33"/>
        <v>63.617684763916465</v>
      </c>
      <c r="Y73" s="314" t="str">
        <f t="shared" ca="1" si="51"/>
        <v/>
      </c>
      <c r="Z73" s="315" t="str">
        <f t="shared" ca="1" si="52"/>
        <v/>
      </c>
      <c r="AA73" s="316" t="str">
        <f t="shared" ca="1" si="53"/>
        <v/>
      </c>
      <c r="AC73" s="310" t="e">
        <f t="shared" ca="1" si="54"/>
        <v>#N/A</v>
      </c>
      <c r="AD73" s="323" t="e">
        <f t="shared" ca="1" si="55"/>
        <v>#N/A</v>
      </c>
      <c r="AE73" s="324">
        <f t="shared" ca="1" si="34"/>
        <v>1028.8589909307138</v>
      </c>
      <c r="AG73" s="306">
        <f t="shared" ca="1" si="56"/>
        <v>26.19056331555521</v>
      </c>
      <c r="AH73" s="304">
        <f t="shared" ca="1" si="57"/>
        <v>35.909558024191014</v>
      </c>
    </row>
    <row r="74" spans="1:34" x14ac:dyDescent="0.25">
      <c r="A74" s="347">
        <f t="shared" ca="1" si="35"/>
        <v>0.01</v>
      </c>
      <c r="B74" s="304">
        <f t="shared" ca="1" si="36"/>
        <v>6.3999999999999853</v>
      </c>
      <c r="D74" s="306">
        <f t="shared" ca="1" si="37"/>
        <v>4.4420487803712057</v>
      </c>
      <c r="E74" s="307">
        <f t="shared" ca="1" si="38"/>
        <v>22.56002972137393</v>
      </c>
      <c r="F74" s="304">
        <f t="shared" ca="1" si="39"/>
        <v>22.993188956655672</v>
      </c>
      <c r="G74" s="306">
        <f t="shared" ca="1" si="40"/>
        <v>31.085573388721112</v>
      </c>
      <c r="H74" s="307">
        <f t="shared" ca="1" si="41"/>
        <v>226.42821347618056</v>
      </c>
      <c r="I74" s="304">
        <f t="shared" ca="1" si="42"/>
        <v>228.55207006483306</v>
      </c>
      <c r="J74" s="306">
        <f t="shared" ca="1" si="43"/>
        <v>125.52974513877702</v>
      </c>
      <c r="K74" s="307">
        <f t="shared" ca="1" si="44"/>
        <v>1031.1221450639896</v>
      </c>
      <c r="L74" s="304">
        <f t="shared" ca="1" si="29"/>
        <v>1038.735093734668</v>
      </c>
      <c r="M74" s="306">
        <f t="shared" ca="1" si="45"/>
        <v>1.4343625507117321</v>
      </c>
      <c r="N74" s="304">
        <f t="shared" ca="1" si="46"/>
        <v>82.18292044740177</v>
      </c>
      <c r="P74" s="310">
        <f t="shared" ca="1" si="47"/>
        <v>6</v>
      </c>
      <c r="Q74" s="304">
        <f t="shared" ca="1" si="48"/>
        <v>132.00000000000992</v>
      </c>
      <c r="R74" s="306">
        <f t="shared" ca="1" si="49"/>
        <v>7.0058972198825814E-2</v>
      </c>
      <c r="S74" s="307">
        <f t="shared" ca="1" si="50"/>
        <v>2.0929052232518961</v>
      </c>
      <c r="T74" s="304">
        <f t="shared" ca="1" si="30"/>
        <v>20.531400240101103</v>
      </c>
      <c r="U74" s="311">
        <f t="shared" ca="1" si="31"/>
        <v>0</v>
      </c>
      <c r="V74" s="306">
        <f t="shared" ca="1" si="32"/>
        <v>1.1048804344351315</v>
      </c>
      <c r="W74" s="304">
        <f t="shared" ca="1" si="33"/>
        <v>63.731202407841593</v>
      </c>
      <c r="Y74" s="314" t="str">
        <f t="shared" ca="1" si="51"/>
        <v/>
      </c>
      <c r="Z74" s="315" t="str">
        <f t="shared" ca="1" si="52"/>
        <v/>
      </c>
      <c r="AA74" s="316" t="str">
        <f t="shared" ca="1" si="53"/>
        <v/>
      </c>
      <c r="AC74" s="310" t="e">
        <f t="shared" ca="1" si="54"/>
        <v>#N/A</v>
      </c>
      <c r="AD74" s="323" t="e">
        <f t="shared" ca="1" si="55"/>
        <v>#N/A</v>
      </c>
      <c r="AE74" s="324">
        <f t="shared" ca="1" si="34"/>
        <v>1031.1221450639896</v>
      </c>
      <c r="AG74" s="306">
        <f t="shared" ca="1" si="56"/>
        <v>22.954476321439092</v>
      </c>
      <c r="AH74" s="304">
        <f t="shared" ca="1" si="57"/>
        <v>32.673393174413782</v>
      </c>
    </row>
    <row r="75" spans="1:34" x14ac:dyDescent="0.25">
      <c r="A75" s="347">
        <f t="shared" ca="1" si="35"/>
        <v>0.01</v>
      </c>
      <c r="B75" s="304">
        <f t="shared" ca="1" si="36"/>
        <v>6.409999999999985</v>
      </c>
      <c r="D75" s="306">
        <f t="shared" ca="1" si="37"/>
        <v>4.0045890408139231</v>
      </c>
      <c r="E75" s="307">
        <f t="shared" ca="1" si="38"/>
        <v>19.359542117784699</v>
      </c>
      <c r="F75" s="304">
        <f t="shared" ca="1" si="39"/>
        <v>19.769385534105165</v>
      </c>
      <c r="G75" s="306">
        <f t="shared" ca="1" si="40"/>
        <v>31.12561927912925</v>
      </c>
      <c r="H75" s="307">
        <f t="shared" ca="1" si="41"/>
        <v>226.62180889735842</v>
      </c>
      <c r="I75" s="304">
        <f t="shared" ca="1" si="42"/>
        <v>228.74931353650035</v>
      </c>
      <c r="J75" s="306">
        <f t="shared" ca="1" si="43"/>
        <v>125.84080110211627</v>
      </c>
      <c r="K75" s="307">
        <f t="shared" ca="1" si="44"/>
        <v>1033.3873951758574</v>
      </c>
      <c r="L75" s="304">
        <f t="shared" ca="1" si="29"/>
        <v>1041.02133298524</v>
      </c>
      <c r="M75" s="306">
        <f t="shared" ca="1" si="45"/>
        <v>1.434304221926535</v>
      </c>
      <c r="N75" s="304">
        <f t="shared" ca="1" si="46"/>
        <v>82.179578454185844</v>
      </c>
      <c r="P75" s="310">
        <f t="shared" ca="1" si="47"/>
        <v>6</v>
      </c>
      <c r="Q75" s="304">
        <f t="shared" ca="1" si="48"/>
        <v>125.33333333334338</v>
      </c>
      <c r="R75" s="306">
        <f t="shared" ca="1" si="49"/>
        <v>6.6520640269592521E-2</v>
      </c>
      <c r="S75" s="307">
        <f t="shared" ca="1" si="50"/>
        <v>2.0922400168492001</v>
      </c>
      <c r="T75" s="304">
        <f t="shared" ca="1" si="30"/>
        <v>20.524874565290656</v>
      </c>
      <c r="U75" s="311">
        <f t="shared" ca="1" si="31"/>
        <v>0</v>
      </c>
      <c r="V75" s="306">
        <f t="shared" ca="1" si="32"/>
        <v>1.1046295113757314</v>
      </c>
      <c r="W75" s="304">
        <f t="shared" ca="1" si="33"/>
        <v>63.826753001848701</v>
      </c>
      <c r="Y75" s="314" t="str">
        <f t="shared" ca="1" si="51"/>
        <v/>
      </c>
      <c r="Z75" s="315" t="str">
        <f t="shared" ca="1" si="52"/>
        <v/>
      </c>
      <c r="AA75" s="316" t="str">
        <f t="shared" ca="1" si="53"/>
        <v/>
      </c>
      <c r="AC75" s="310" t="e">
        <f t="shared" ca="1" si="54"/>
        <v>#N/A</v>
      </c>
      <c r="AD75" s="323" t="e">
        <f t="shared" ca="1" si="55"/>
        <v>#N/A</v>
      </c>
      <c r="AE75" s="324">
        <f t="shared" ca="1" si="34"/>
        <v>1033.3873951758574</v>
      </c>
      <c r="AG75" s="306">
        <f t="shared" ca="1" si="56"/>
        <v>19.724308253642004</v>
      </c>
      <c r="AH75" s="304">
        <f t="shared" ca="1" si="57"/>
        <v>29.443147262937476</v>
      </c>
    </row>
    <row r="76" spans="1:34" x14ac:dyDescent="0.25">
      <c r="A76" s="347">
        <f t="shared" ca="1" si="35"/>
        <v>0.01</v>
      </c>
      <c r="B76" s="304">
        <f t="shared" ca="1" si="36"/>
        <v>6.4199999999999848</v>
      </c>
      <c r="D76" s="306">
        <f t="shared" ca="1" si="37"/>
        <v>3.5675840545449584</v>
      </c>
      <c r="E76" s="307">
        <f t="shared" ca="1" si="38"/>
        <v>16.16514107539286</v>
      </c>
      <c r="F76" s="304">
        <f t="shared" ca="1" si="39"/>
        <v>16.554136702757923</v>
      </c>
      <c r="G76" s="306">
        <f t="shared" ca="1" si="40"/>
        <v>31.161295119674698</v>
      </c>
      <c r="H76" s="307">
        <f t="shared" ca="1" si="41"/>
        <v>226.78346030811235</v>
      </c>
      <c r="I76" s="304">
        <f t="shared" ca="1" si="42"/>
        <v>228.91431624705484</v>
      </c>
      <c r="J76" s="306">
        <f t="shared" ca="1" si="43"/>
        <v>126.15223567411029</v>
      </c>
      <c r="K76" s="307">
        <f t="shared" ca="1" si="44"/>
        <v>1035.6544215218846</v>
      </c>
      <c r="L76" s="304">
        <f t="shared" ca="1" si="29"/>
        <v>1043.3093823901929</v>
      </c>
      <c r="M76" s="306">
        <f t="shared" ca="1" si="45"/>
        <v>1.4342459104209457</v>
      </c>
      <c r="N76" s="304">
        <f t="shared" ca="1" si="46"/>
        <v>82.176237451018523</v>
      </c>
      <c r="P76" s="310">
        <f t="shared" ca="1" si="47"/>
        <v>6</v>
      </c>
      <c r="Q76" s="304">
        <f t="shared" ca="1" si="48"/>
        <v>118.66666666667686</v>
      </c>
      <c r="R76" s="306">
        <f t="shared" ca="1" si="49"/>
        <v>6.2982308340359242E-2</v>
      </c>
      <c r="S76" s="307">
        <f t="shared" ca="1" si="50"/>
        <v>2.0916101937657965</v>
      </c>
      <c r="T76" s="304">
        <f t="shared" ca="1" si="30"/>
        <v>20.518696000842464</v>
      </c>
      <c r="U76" s="311">
        <f t="shared" ca="1" si="31"/>
        <v>0</v>
      </c>
      <c r="V76" s="306">
        <f t="shared" ca="1" si="32"/>
        <v>1.1043784456673422</v>
      </c>
      <c r="W76" s="304">
        <f t="shared" ca="1" si="33"/>
        <v>63.90433814041738</v>
      </c>
      <c r="Y76" s="314" t="str">
        <f t="shared" ca="1" si="51"/>
        <v/>
      </c>
      <c r="Z76" s="315" t="str">
        <f t="shared" ca="1" si="52"/>
        <v/>
      </c>
      <c r="AA76" s="316" t="str">
        <f t="shared" ca="1" si="53"/>
        <v/>
      </c>
      <c r="AC76" s="310" t="e">
        <f t="shared" ca="1" si="54"/>
        <v>#N/A</v>
      </c>
      <c r="AD76" s="323" t="e">
        <f t="shared" ca="1" si="55"/>
        <v>#N/A</v>
      </c>
      <c r="AE76" s="324">
        <f t="shared" ca="1" si="34"/>
        <v>1035.6544215218846</v>
      </c>
      <c r="AG76" s="306">
        <f t="shared" ca="1" si="56"/>
        <v>16.500232137362524</v>
      </c>
      <c r="AH76" s="304">
        <f t="shared" ca="1" si="57"/>
        <v>26.218993303954388</v>
      </c>
    </row>
    <row r="77" spans="1:34" x14ac:dyDescent="0.25">
      <c r="A77" s="347">
        <f t="shared" ca="1" si="35"/>
        <v>0.01</v>
      </c>
      <c r="B77" s="304">
        <f t="shared" ca="1" si="36"/>
        <v>6.4299999999999846</v>
      </c>
      <c r="D77" s="306">
        <f t="shared" ca="1" si="37"/>
        <v>3.1310582404355873</v>
      </c>
      <c r="E77" s="307">
        <f t="shared" ca="1" si="38"/>
        <v>12.976993270503856</v>
      </c>
      <c r="F77" s="304">
        <f t="shared" ca="1" si="39"/>
        <v>13.349377515363852</v>
      </c>
      <c r="G77" s="306">
        <f t="shared" ca="1" si="40"/>
        <v>31.192605702079053</v>
      </c>
      <c r="H77" s="307">
        <f t="shared" ca="1" si="41"/>
        <v>226.9132302408174</v>
      </c>
      <c r="I77" s="304">
        <f t="shared" ca="1" si="42"/>
        <v>229.04714080033304</v>
      </c>
      <c r="J77" s="306">
        <f t="shared" ca="1" si="43"/>
        <v>126.46400517821905</v>
      </c>
      <c r="K77" s="307">
        <f t="shared" ca="1" si="44"/>
        <v>1037.9229049746293</v>
      </c>
      <c r="L77" s="304">
        <f t="shared" ca="1" si="29"/>
        <v>1045.5989198907439</v>
      </c>
      <c r="M77" s="306">
        <f t="shared" ca="1" si="45"/>
        <v>1.4341876079880147</v>
      </c>
      <c r="N77" s="304">
        <f t="shared" ca="1" si="46"/>
        <v>82.172896967676238</v>
      </c>
      <c r="P77" s="310">
        <f t="shared" ca="1" si="47"/>
        <v>6</v>
      </c>
      <c r="Q77" s="304">
        <f t="shared" ca="1" si="48"/>
        <v>112.00000000001033</v>
      </c>
      <c r="R77" s="306">
        <f t="shared" ca="1" si="49"/>
        <v>5.9443976411125948E-2</v>
      </c>
      <c r="S77" s="307">
        <f t="shared" ca="1" si="50"/>
        <v>2.0910157540016852</v>
      </c>
      <c r="T77" s="304">
        <f t="shared" ca="1" si="30"/>
        <v>20.512864546756532</v>
      </c>
      <c r="U77" s="311">
        <f t="shared" ca="1" si="31"/>
        <v>0</v>
      </c>
      <c r="V77" s="306">
        <f t="shared" ca="1" si="32"/>
        <v>1.1041272727505558</v>
      </c>
      <c r="W77" s="304">
        <f t="shared" ca="1" si="33"/>
        <v>63.963968103074066</v>
      </c>
      <c r="Y77" s="314" t="str">
        <f t="shared" ca="1" si="51"/>
        <v/>
      </c>
      <c r="Z77" s="315" t="str">
        <f t="shared" ca="1" si="52"/>
        <v/>
      </c>
      <c r="AA77" s="316" t="str">
        <f t="shared" ca="1" si="53"/>
        <v/>
      </c>
      <c r="AC77" s="310" t="e">
        <f t="shared" ca="1" si="54"/>
        <v>#N/A</v>
      </c>
      <c r="AD77" s="323" t="e">
        <f t="shared" ca="1" si="55"/>
        <v>#N/A</v>
      </c>
      <c r="AE77" s="324">
        <f t="shared" ca="1" si="34"/>
        <v>1037.9229049746293</v>
      </c>
      <c r="AG77" s="306">
        <f t="shared" ca="1" si="56"/>
        <v>13.28241639926779</v>
      </c>
      <c r="AH77" s="304">
        <f t="shared" ca="1" si="57"/>
        <v>23.001099713165619</v>
      </c>
    </row>
    <row r="78" spans="1:34" x14ac:dyDescent="0.25">
      <c r="A78" s="347">
        <f t="shared" ca="1" si="35"/>
        <v>0.01</v>
      </c>
      <c r="B78" s="304">
        <f t="shared" ca="1" si="36"/>
        <v>6.4399999999999844</v>
      </c>
      <c r="D78" s="306">
        <f t="shared" ca="1" si="37"/>
        <v>2.6950353241286473</v>
      </c>
      <c r="E78" s="307">
        <f t="shared" ca="1" si="38"/>
        <v>9.795260838160095</v>
      </c>
      <c r="F78" s="304">
        <f t="shared" ca="1" si="39"/>
        <v>10.159249494224168</v>
      </c>
      <c r="G78" s="306">
        <f t="shared" ca="1" si="40"/>
        <v>31.219556055320339</v>
      </c>
      <c r="H78" s="307">
        <f t="shared" ca="1" si="41"/>
        <v>227.011182849199</v>
      </c>
      <c r="I78" s="304">
        <f t="shared" ca="1" si="42"/>
        <v>229.14785143850628</v>
      </c>
      <c r="J78" s="306">
        <f t="shared" ca="1" si="43"/>
        <v>126.77606598700605</v>
      </c>
      <c r="K78" s="307">
        <f t="shared" ca="1" si="44"/>
        <v>1040.1925270400793</v>
      </c>
      <c r="L78" s="304">
        <f t="shared" ca="1" si="29"/>
        <v>1047.8896240621757</v>
      </c>
      <c r="M78" s="306">
        <f t="shared" ca="1" si="45"/>
        <v>1.4341293064517497</v>
      </c>
      <c r="N78" s="304">
        <f t="shared" ca="1" si="46"/>
        <v>82.16955653570912</v>
      </c>
      <c r="P78" s="310">
        <f t="shared" ca="1" si="47"/>
        <v>6</v>
      </c>
      <c r="Q78" s="304">
        <f t="shared" ca="1" si="48"/>
        <v>105.3333333333438</v>
      </c>
      <c r="R78" s="306">
        <f t="shared" ca="1" si="49"/>
        <v>5.5905644481892662E-2</v>
      </c>
      <c r="S78" s="307">
        <f t="shared" ca="1" si="50"/>
        <v>2.0904566975568661</v>
      </c>
      <c r="T78" s="304">
        <f t="shared" ca="1" si="30"/>
        <v>20.507380203032859</v>
      </c>
      <c r="U78" s="311">
        <f t="shared" ca="1" si="31"/>
        <v>0</v>
      </c>
      <c r="V78" s="306">
        <f t="shared" ca="1" si="32"/>
        <v>1.1038760279653814</v>
      </c>
      <c r="W78" s="304">
        <f t="shared" ca="1" si="33"/>
        <v>64.005661767239815</v>
      </c>
      <c r="Y78" s="314" t="str">
        <f t="shared" ca="1" si="51"/>
        <v/>
      </c>
      <c r="Z78" s="315" t="str">
        <f t="shared" ca="1" si="52"/>
        <v/>
      </c>
      <c r="AA78" s="316" t="str">
        <f t="shared" ca="1" si="53"/>
        <v/>
      </c>
      <c r="AC78" s="310" t="e">
        <f t="shared" ca="1" si="54"/>
        <v>#N/A</v>
      </c>
      <c r="AD78" s="323" t="e">
        <f t="shared" ca="1" si="55"/>
        <v>#N/A</v>
      </c>
      <c r="AE78" s="324">
        <f t="shared" ca="1" si="34"/>
        <v>1040.1925270400793</v>
      </c>
      <c r="AG78" s="306">
        <f t="shared" ca="1" si="56"/>
        <v>10.071024872857306</v>
      </c>
      <c r="AH78" s="304">
        <f t="shared" ca="1" si="57"/>
        <v>19.789630313136097</v>
      </c>
    </row>
    <row r="79" spans="1:34" x14ac:dyDescent="0.25">
      <c r="A79" s="347">
        <f t="shared" ca="1" si="35"/>
        <v>0.01</v>
      </c>
      <c r="B79" s="304">
        <f t="shared" ca="1" si="36"/>
        <v>6.4499999999999842</v>
      </c>
      <c r="D79" s="306">
        <f t="shared" ca="1" si="37"/>
        <v>2.2595383389289636</v>
      </c>
      <c r="E79" s="307">
        <f t="shared" ca="1" si="38"/>
        <v>6.6201013795474726</v>
      </c>
      <c r="F79" s="304">
        <f t="shared" ca="1" si="39"/>
        <v>6.9950879751848873</v>
      </c>
      <c r="G79" s="306">
        <f t="shared" ca="1" si="40"/>
        <v>31.24215143870963</v>
      </c>
      <c r="H79" s="307">
        <f t="shared" ca="1" si="41"/>
        <v>227.07738386299448</v>
      </c>
      <c r="I79" s="304">
        <f t="shared" ca="1" si="42"/>
        <v>229.21651399622368</v>
      </c>
      <c r="J79" s="306">
        <f t="shared" ca="1" si="43"/>
        <v>127.08837452447619</v>
      </c>
      <c r="K79" s="307">
        <f t="shared" ca="1" si="44"/>
        <v>1042.4629698736403</v>
      </c>
      <c r="L79" s="304">
        <f t="shared" ca="1" si="29"/>
        <v>1050.1811741299896</v>
      </c>
      <c r="M79" s="306">
        <f t="shared" ca="1" si="45"/>
        <v>1.434070997660593</v>
      </c>
      <c r="N79" s="304">
        <f t="shared" ca="1" si="46"/>
        <v>82.166215688067325</v>
      </c>
      <c r="P79" s="310">
        <f t="shared" ca="1" si="47"/>
        <v>6</v>
      </c>
      <c r="Q79" s="304">
        <f t="shared" ca="1" si="48"/>
        <v>98.666666666677287</v>
      </c>
      <c r="R79" s="306">
        <f t="shared" ca="1" si="49"/>
        <v>5.2367312552659383E-2</v>
      </c>
      <c r="S79" s="307">
        <f t="shared" ca="1" si="50"/>
        <v>2.0899330244313394</v>
      </c>
      <c r="T79" s="304">
        <f t="shared" ca="1" si="30"/>
        <v>20.502242969671443</v>
      </c>
      <c r="U79" s="311">
        <f t="shared" ca="1" si="31"/>
        <v>0</v>
      </c>
      <c r="V79" s="306">
        <f t="shared" ca="1" si="32"/>
        <v>1.1036247465495361</v>
      </c>
      <c r="W79" s="304">
        <f t="shared" ca="1" si="33"/>
        <v>64.029446519303235</v>
      </c>
      <c r="Y79" s="314" t="str">
        <f t="shared" ca="1" si="51"/>
        <v/>
      </c>
      <c r="Z79" s="315" t="str">
        <f t="shared" ca="1" si="52"/>
        <v/>
      </c>
      <c r="AA79" s="316" t="str">
        <f t="shared" ca="1" si="53"/>
        <v/>
      </c>
      <c r="AC79" s="310" t="e">
        <f t="shared" ca="1" si="54"/>
        <v>#N/A</v>
      </c>
      <c r="AD79" s="323" t="e">
        <f t="shared" ca="1" si="55"/>
        <v>#N/A</v>
      </c>
      <c r="AE79" s="324">
        <f t="shared" ca="1" si="34"/>
        <v>1042.4629698736403</v>
      </c>
      <c r="AG79" s="306">
        <f t="shared" ca="1" si="56"/>
        <v>6.8662168059046937</v>
      </c>
      <c r="AH79" s="304">
        <f t="shared" ca="1" si="57"/>
        <v>16.584744340727646</v>
      </c>
    </row>
    <row r="80" spans="1:34" x14ac:dyDescent="0.25">
      <c r="A80" s="347">
        <f t="shared" ca="1" si="35"/>
        <v>0.01</v>
      </c>
      <c r="B80" s="304">
        <f t="shared" ca="1" si="36"/>
        <v>6.459999999999984</v>
      </c>
      <c r="D80" s="306">
        <f t="shared" ca="1" si="37"/>
        <v>1.8245896268695059</v>
      </c>
      <c r="E80" s="307">
        <f t="shared" ca="1" si="38"/>
        <v>3.4516679714230616</v>
      </c>
      <c r="F80" s="304">
        <f t="shared" ca="1" si="39"/>
        <v>3.9042462898013484</v>
      </c>
      <c r="G80" s="306">
        <f t="shared" ca="1" si="40"/>
        <v>31.260397334978325</v>
      </c>
      <c r="H80" s="307">
        <f t="shared" ca="1" si="41"/>
        <v>227.11190054270872</v>
      </c>
      <c r="I80" s="304">
        <f t="shared" ca="1" si="42"/>
        <v>229.25319585484942</v>
      </c>
      <c r="J80" s="306">
        <f t="shared" ca="1" si="43"/>
        <v>127.40088726834463</v>
      </c>
      <c r="K80" s="307">
        <f t="shared" ca="1" si="44"/>
        <v>1044.7339162956689</v>
      </c>
      <c r="L80" s="304">
        <f t="shared" ca="1" si="29"/>
        <v>1052.4732499855982</v>
      </c>
      <c r="M80" s="306">
        <f t="shared" ca="1" si="45"/>
        <v>1.4340126734809557</v>
      </c>
      <c r="N80" s="304">
        <f t="shared" ca="1" si="46"/>
        <v>82.162873958730557</v>
      </c>
      <c r="P80" s="310">
        <f t="shared" ca="1" si="47"/>
        <v>6</v>
      </c>
      <c r="Q80" s="304">
        <f t="shared" ca="1" si="48"/>
        <v>92.000000000010758</v>
      </c>
      <c r="R80" s="306">
        <f t="shared" ca="1" si="49"/>
        <v>4.882898062342609E-2</v>
      </c>
      <c r="S80" s="307">
        <f t="shared" ca="1" si="50"/>
        <v>2.089444734625105</v>
      </c>
      <c r="T80" s="304">
        <f t="shared" ca="1" si="30"/>
        <v>20.497452846672282</v>
      </c>
      <c r="U80" s="311">
        <f t="shared" ca="1" si="31"/>
        <v>0</v>
      </c>
      <c r="V80" s="306">
        <f t="shared" ca="1" si="32"/>
        <v>1.1033734636367911</v>
      </c>
      <c r="W80" s="304">
        <f t="shared" ca="1" si="33"/>
        <v>64.035358164026519</v>
      </c>
      <c r="Y80" s="314" t="str">
        <f t="shared" ca="1" si="51"/>
        <v/>
      </c>
      <c r="Z80" s="315" t="str">
        <f t="shared" ca="1" si="52"/>
        <v/>
      </c>
      <c r="AA80" s="316" t="str">
        <f t="shared" ca="1" si="53"/>
        <v/>
      </c>
      <c r="AC80" s="310" t="e">
        <f t="shared" ca="1" si="54"/>
        <v>#N/A</v>
      </c>
      <c r="AD80" s="323" t="e">
        <f t="shared" ca="1" si="55"/>
        <v>#N/A</v>
      </c>
      <c r="AE80" s="324">
        <f t="shared" ca="1" si="34"/>
        <v>1044.7339162956689</v>
      </c>
      <c r="AG80" s="306">
        <f t="shared" ca="1" si="56"/>
        <v>3.6681468699259874</v>
      </c>
      <c r="AH80" s="304">
        <f t="shared" ca="1" si="57"/>
        <v>13.386596456558632</v>
      </c>
    </row>
    <row r="81" spans="1:34" x14ac:dyDescent="0.25">
      <c r="A81" s="347">
        <f t="shared" ca="1" si="35"/>
        <v>0.01</v>
      </c>
      <c r="B81" s="304">
        <f t="shared" ca="1" si="36"/>
        <v>6.4699999999999838</v>
      </c>
      <c r="D81" s="306">
        <f t="shared" ca="1" si="37"/>
        <v>1.390210839948256</v>
      </c>
      <c r="E81" s="307">
        <f t="shared" ca="1" si="38"/>
        <v>0.29010917751320164</v>
      </c>
      <c r="F81" s="304">
        <f t="shared" ca="1" si="39"/>
        <v>1.4201582708934317</v>
      </c>
      <c r="G81" s="306">
        <f t="shared" ca="1" si="40"/>
        <v>31.274299443377807</v>
      </c>
      <c r="H81" s="307">
        <f t="shared" ca="1" si="41"/>
        <v>227.11480163448385</v>
      </c>
      <c r="I81" s="304">
        <f t="shared" ca="1" si="42"/>
        <v>229.2579658968146</v>
      </c>
      <c r="J81" s="306">
        <f t="shared" ca="1" si="43"/>
        <v>127.71356075223642</v>
      </c>
      <c r="K81" s="307">
        <f t="shared" ca="1" si="44"/>
        <v>1047.0050498065548</v>
      </c>
      <c r="L81" s="304">
        <f t="shared" ca="1" si="29"/>
        <v>1054.7655322015605</v>
      </c>
      <c r="M81" s="306">
        <f t="shared" ca="1" si="45"/>
        <v>1.4339543257907963</v>
      </c>
      <c r="N81" s="304">
        <f t="shared" ca="1" si="46"/>
        <v>82.159530882340079</v>
      </c>
      <c r="P81" s="310">
        <f t="shared" ca="1" si="47"/>
        <v>6</v>
      </c>
      <c r="Q81" s="304">
        <f t="shared" ca="1" si="48"/>
        <v>85.333333333344228</v>
      </c>
      <c r="R81" s="306">
        <f t="shared" ca="1" si="49"/>
        <v>4.5290648694192803E-2</v>
      </c>
      <c r="S81" s="307">
        <f t="shared" ca="1" si="50"/>
        <v>2.088991828138163</v>
      </c>
      <c r="T81" s="304">
        <f t="shared" ca="1" si="30"/>
        <v>20.49300983403538</v>
      </c>
      <c r="U81" s="311">
        <f t="shared" ca="1" si="31"/>
        <v>0</v>
      </c>
      <c r="V81" s="306">
        <f t="shared" ca="1" si="32"/>
        <v>1.1031222142553896</v>
      </c>
      <c r="W81" s="304">
        <f t="shared" ca="1" si="33"/>
        <v>64.023440832393931</v>
      </c>
      <c r="Y81" s="314" t="str">
        <f t="shared" ca="1" si="51"/>
        <v/>
      </c>
      <c r="Z81" s="315" t="str">
        <f t="shared" ca="1" si="52"/>
        <v/>
      </c>
      <c r="AA81" s="316" t="str">
        <f t="shared" ca="1" si="53"/>
        <v/>
      </c>
      <c r="AC81" s="310" t="e">
        <f t="shared" ca="1" si="54"/>
        <v>#N/A</v>
      </c>
      <c r="AD81" s="323" t="e">
        <f t="shared" ca="1" si="55"/>
        <v>#N/A</v>
      </c>
      <c r="AE81" s="324">
        <f t="shared" ca="1" si="34"/>
        <v>1047.0050498065548</v>
      </c>
      <c r="AG81" s="306">
        <f t="shared" ca="1" si="56"/>
        <v>0.47696517162322927</v>
      </c>
      <c r="AH81" s="304">
        <f t="shared" ca="1" si="57"/>
        <v>10.195336756438998</v>
      </c>
    </row>
    <row r="82" spans="1:34" x14ac:dyDescent="0.25">
      <c r="A82" s="347">
        <f t="shared" ca="1" si="35"/>
        <v>0.01</v>
      </c>
      <c r="B82" s="304">
        <f t="shared" ca="1" si="36"/>
        <v>6.4799999999999836</v>
      </c>
      <c r="D82" s="306">
        <f t="shared" ca="1" si="37"/>
        <v>0.95642294153022545</v>
      </c>
      <c r="E82" s="307">
        <f t="shared" ca="1" si="38"/>
        <v>-2.8644309381708135</v>
      </c>
      <c r="F82" s="304">
        <f t="shared" ca="1" si="39"/>
        <v>3.019885667146267</v>
      </c>
      <c r="G82" s="306">
        <f t="shared" ca="1" si="40"/>
        <v>31.28386367279311</v>
      </c>
      <c r="H82" s="307">
        <f t="shared" ca="1" si="41"/>
        <v>227.08615732510214</v>
      </c>
      <c r="I82" s="304">
        <f t="shared" ca="1" si="42"/>
        <v>229.23089446010314</v>
      </c>
      <c r="J82" s="306">
        <f t="shared" ca="1" si="43"/>
        <v>128.02635156781727</v>
      </c>
      <c r="K82" s="307">
        <f t="shared" ca="1" si="44"/>
        <v>1049.2760546013526</v>
      </c>
      <c r="L82" s="304">
        <f t="shared" ca="1" si="29"/>
        <v>1057.0577020463677</v>
      </c>
      <c r="M82" s="306">
        <f t="shared" ca="1" si="45"/>
        <v>1.4338959464732317</v>
      </c>
      <c r="N82" s="304">
        <f t="shared" ca="1" si="46"/>
        <v>82.156185993832779</v>
      </c>
      <c r="P82" s="310">
        <f t="shared" ca="1" si="47"/>
        <v>6</v>
      </c>
      <c r="Q82" s="304">
        <f t="shared" ca="1" si="48"/>
        <v>78.666666666677713</v>
      </c>
      <c r="R82" s="306">
        <f t="shared" ca="1" si="49"/>
        <v>4.1752316764959524E-2</v>
      </c>
      <c r="S82" s="307">
        <f t="shared" ca="1" si="50"/>
        <v>2.0885743049705132</v>
      </c>
      <c r="T82" s="304">
        <f t="shared" ca="1" si="30"/>
        <v>20.488913931760734</v>
      </c>
      <c r="U82" s="311">
        <f t="shared" ca="1" si="31"/>
        <v>0</v>
      </c>
      <c r="V82" s="306">
        <f t="shared" ca="1" si="32"/>
        <v>1.102871033326519</v>
      </c>
      <c r="W82" s="304">
        <f t="shared" ca="1" si="33"/>
        <v>63.993746888008651</v>
      </c>
      <c r="Y82" s="314" t="str">
        <f t="shared" ca="1" si="51"/>
        <v/>
      </c>
      <c r="Z82" s="315" t="str">
        <f t="shared" ca="1" si="52"/>
        <v/>
      </c>
      <c r="AA82" s="316" t="str">
        <f t="shared" ca="1" si="53"/>
        <v/>
      </c>
      <c r="AC82" s="310" t="e">
        <f t="shared" ca="1" si="54"/>
        <v>#N/A</v>
      </c>
      <c r="AD82" s="323" t="e">
        <f t="shared" ca="1" si="55"/>
        <v>#N/A</v>
      </c>
      <c r="AE82" s="324">
        <f t="shared" ca="1" si="34"/>
        <v>1049.2760546013526</v>
      </c>
      <c r="AG82" s="306">
        <f t="shared" ca="1" si="56"/>
        <v>-2.7071827337495966</v>
      </c>
      <c r="AH82" s="304">
        <f t="shared" ca="1" si="57"/>
        <v>7.0111107847276317</v>
      </c>
    </row>
    <row r="83" spans="1:34" x14ac:dyDescent="0.25">
      <c r="A83" s="347">
        <f t="shared" ca="1" si="35"/>
        <v>0.01</v>
      </c>
      <c r="B83" s="304">
        <f t="shared" ca="1" si="36"/>
        <v>6.4899999999999833</v>
      </c>
      <c r="D83" s="306">
        <f t="shared" ca="1" si="37"/>
        <v>0.52324620790883336</v>
      </c>
      <c r="E83" s="307">
        <f t="shared" ca="1" si="38"/>
        <v>-6.0118127961513501</v>
      </c>
      <c r="F83" s="304">
        <f t="shared" ca="1" si="39"/>
        <v>6.0345405533528469</v>
      </c>
      <c r="G83" s="306">
        <f t="shared" ca="1" si="40"/>
        <v>31.289096134872199</v>
      </c>
      <c r="H83" s="307">
        <f t="shared" ca="1" si="41"/>
        <v>227.02603919714062</v>
      </c>
      <c r="I83" s="304">
        <f t="shared" ca="1" si="42"/>
        <v>229.17205329288933</v>
      </c>
      <c r="J83" s="306">
        <f t="shared" ca="1" si="43"/>
        <v>128.3392163668556</v>
      </c>
      <c r="K83" s="307">
        <f t="shared" ca="1" si="44"/>
        <v>1051.5466155839638</v>
      </c>
      <c r="L83" s="304">
        <f t="shared" ca="1" si="29"/>
        <v>1059.3494414987658</v>
      </c>
      <c r="M83" s="306">
        <f t="shared" ca="1" si="45"/>
        <v>1.4338375274101671</v>
      </c>
      <c r="N83" s="304">
        <f t="shared" ca="1" si="46"/>
        <v>82.152838828076071</v>
      </c>
      <c r="P83" s="310">
        <f t="shared" ca="1" si="47"/>
        <v>6</v>
      </c>
      <c r="Q83" s="304">
        <f t="shared" ca="1" si="48"/>
        <v>72.000000000011184</v>
      </c>
      <c r="R83" s="306">
        <f t="shared" ca="1" si="49"/>
        <v>3.8213984835726238E-2</v>
      </c>
      <c r="S83" s="307">
        <f t="shared" ca="1" si="50"/>
        <v>2.0881921651221558</v>
      </c>
      <c r="T83" s="304">
        <f t="shared" ca="1" si="30"/>
        <v>20.485165139848348</v>
      </c>
      <c r="U83" s="311">
        <f t="shared" ca="1" si="31"/>
        <v>0</v>
      </c>
      <c r="V83" s="306">
        <f t="shared" ca="1" si="32"/>
        <v>1.1026199556628518</v>
      </c>
      <c r="W83" s="304">
        <f t="shared" ca="1" si="33"/>
        <v>63.946336832144063</v>
      </c>
      <c r="Y83" s="314" t="str">
        <f t="shared" ca="1" si="51"/>
        <v/>
      </c>
      <c r="Z83" s="315" t="str">
        <f t="shared" ca="1" si="52"/>
        <v/>
      </c>
      <c r="AA83" s="316" t="str">
        <f t="shared" ca="1" si="53"/>
        <v/>
      </c>
      <c r="AC83" s="310" t="e">
        <f t="shared" ca="1" si="54"/>
        <v>#N/A</v>
      </c>
      <c r="AD83" s="323" t="e">
        <f t="shared" ca="1" si="55"/>
        <v>#N/A</v>
      </c>
      <c r="AE83" s="324">
        <f t="shared" ca="1" si="34"/>
        <v>1051.5466155839638</v>
      </c>
      <c r="AG83" s="306">
        <f t="shared" ca="1" si="56"/>
        <v>-5.8841558271506065</v>
      </c>
      <c r="AH83" s="304">
        <f t="shared" ca="1" si="57"/>
        <v>3.8340595495597887</v>
      </c>
    </row>
    <row r="84" spans="1:34" x14ac:dyDescent="0.25">
      <c r="A84" s="347">
        <f t="shared" ca="1" si="35"/>
        <v>0.01</v>
      </c>
      <c r="B84" s="304">
        <f t="shared" ca="1" si="36"/>
        <v>6.4999999999999831</v>
      </c>
      <c r="D84" s="306">
        <f t="shared" ca="1" si="37"/>
        <v>9.0700230020480846E-2</v>
      </c>
      <c r="E84" s="307">
        <f t="shared" ca="1" si="38"/>
        <v>-9.1519012844902861</v>
      </c>
      <c r="F84" s="304">
        <f t="shared" ca="1" si="39"/>
        <v>9.1523507173174217</v>
      </c>
      <c r="G84" s="306">
        <f t="shared" ca="1" si="40"/>
        <v>31.290003137172405</v>
      </c>
      <c r="H84" s="307">
        <f t="shared" ca="1" si="41"/>
        <v>226.93452018429571</v>
      </c>
      <c r="I84" s="304">
        <f t="shared" ca="1" si="42"/>
        <v>229.08151550834643</v>
      </c>
      <c r="J84" s="306">
        <f t="shared" ca="1" si="43"/>
        <v>128.65211186321582</v>
      </c>
      <c r="K84" s="307">
        <f t="shared" ca="1" si="44"/>
        <v>1053.816418380871</v>
      </c>
      <c r="L84" s="304">
        <f t="shared" ca="1" si="29"/>
        <v>1061.6404332616351</v>
      </c>
      <c r="M84" s="306">
        <f t="shared" ca="1" si="45"/>
        <v>1.4337790604759331</v>
      </c>
      <c r="N84" s="304">
        <f t="shared" ca="1" si="46"/>
        <v>82.149488919503383</v>
      </c>
      <c r="P84" s="310">
        <f t="shared" ca="1" si="47"/>
        <v>6</v>
      </c>
      <c r="Q84" s="304">
        <f t="shared" ca="1" si="48"/>
        <v>65.333333333344655</v>
      </c>
      <c r="R84" s="306">
        <f t="shared" ca="1" si="49"/>
        <v>3.4675652906492944E-2</v>
      </c>
      <c r="S84" s="307">
        <f t="shared" ca="1" si="50"/>
        <v>2.0878454085930906</v>
      </c>
      <c r="T84" s="304">
        <f t="shared" ca="1" si="30"/>
        <v>20.481763458298222</v>
      </c>
      <c r="U84" s="311">
        <f t="shared" ca="1" si="31"/>
        <v>0</v>
      </c>
      <c r="V84" s="306">
        <f t="shared" ca="1" si="32"/>
        <v>1.1023690159671449</v>
      </c>
      <c r="W84" s="304">
        <f t="shared" ca="1" si="33"/>
        <v>63.881279207554009</v>
      </c>
      <c r="Y84" s="314" t="str">
        <f t="shared" ca="1" si="51"/>
        <v/>
      </c>
      <c r="Z84" s="315" t="str">
        <f t="shared" ca="1" si="52"/>
        <v/>
      </c>
      <c r="AA84" s="316" t="str">
        <f t="shared" ca="1" si="53"/>
        <v/>
      </c>
      <c r="AC84" s="310" t="e">
        <f t="shared" ca="1" si="54"/>
        <v>#N/A</v>
      </c>
      <c r="AD84" s="323" t="e">
        <f t="shared" ca="1" si="55"/>
        <v>#N/A</v>
      </c>
      <c r="AE84" s="324">
        <f t="shared" ca="1" si="34"/>
        <v>1053.816418380871</v>
      </c>
      <c r="AG84" s="306">
        <f t="shared" ca="1" si="56"/>
        <v>-9.0538176086973436</v>
      </c>
      <c r="AH84" s="304">
        <f t="shared" ca="1" si="57"/>
        <v>0.66431953989123615</v>
      </c>
    </row>
    <row r="85" spans="1:34" x14ac:dyDescent="0.25">
      <c r="A85" s="347">
        <f t="shared" ca="1" si="35"/>
        <v>0.01</v>
      </c>
      <c r="B85" s="304">
        <f t="shared" ca="1" si="36"/>
        <v>6.5099999999999829</v>
      </c>
      <c r="D85" s="306">
        <f t="shared" ca="1" si="37"/>
        <v>-0.23759833083721318</v>
      </c>
      <c r="E85" s="307">
        <f t="shared" ca="1" si="38"/>
        <v>-11.533210540080665</v>
      </c>
      <c r="F85" s="304">
        <f t="shared" ca="1" si="39"/>
        <v>11.535657689470696</v>
      </c>
      <c r="G85" s="306">
        <f t="shared" ca="1" si="40"/>
        <v>31.287627153864033</v>
      </c>
      <c r="H85" s="307">
        <f t="shared" ca="1" si="41"/>
        <v>226.81918807889491</v>
      </c>
      <c r="I85" s="304">
        <f t="shared" ca="1" si="42"/>
        <v>228.9669401762803</v>
      </c>
      <c r="J85" s="306">
        <f t="shared" ca="1" si="43"/>
        <v>128.96500001467101</v>
      </c>
      <c r="K85" s="307">
        <f t="shared" ca="1" si="44"/>
        <v>1056.0851869221869</v>
      </c>
      <c r="L85" s="304">
        <f t="shared" ca="1" si="29"/>
        <v>1063.9303986940381</v>
      </c>
      <c r="M85" s="306">
        <f t="shared" ca="1" si="45"/>
        <v>1.4337205394695154</v>
      </c>
      <c r="N85" s="304">
        <f t="shared" ca="1" si="46"/>
        <v>82.1461359128228</v>
      </c>
      <c r="P85" s="310">
        <f t="shared" ca="1" si="47"/>
        <v>7</v>
      </c>
      <c r="Q85" s="304">
        <f t="shared" ca="1" si="48"/>
        <v>60.250000000006018</v>
      </c>
      <c r="R85" s="306">
        <f t="shared" ca="1" si="49"/>
        <v>3.1977674810449698E-2</v>
      </c>
      <c r="S85" s="307">
        <f t="shared" ca="1" si="50"/>
        <v>2.087525631844986</v>
      </c>
      <c r="T85" s="304">
        <f t="shared" ca="1" si="30"/>
        <v>20.478626448399314</v>
      </c>
      <c r="U85" s="311">
        <f t="shared" ca="1" si="31"/>
        <v>0</v>
      </c>
      <c r="V85" s="306">
        <f t="shared" ca="1" si="32"/>
        <v>1.102118244678912</v>
      </c>
      <c r="W85" s="304">
        <f t="shared" ca="1" si="33"/>
        <v>63.802877190890165</v>
      </c>
      <c r="Y85" s="314" t="str">
        <f t="shared" ca="1" si="51"/>
        <v/>
      </c>
      <c r="Z85" s="315" t="str">
        <f t="shared" ca="1" si="52"/>
        <v/>
      </c>
      <c r="AA85" s="316" t="str">
        <f t="shared" ca="1" si="53"/>
        <v/>
      </c>
      <c r="AC85" s="310" t="e">
        <f t="shared" ca="1" si="54"/>
        <v>#N/A</v>
      </c>
      <c r="AD85" s="323" t="e">
        <f t="shared" ca="1" si="55"/>
        <v>#N/A</v>
      </c>
      <c r="AE85" s="324">
        <f t="shared" ca="1" si="34"/>
        <v>1056.0851869221869</v>
      </c>
      <c r="AG85" s="306">
        <f t="shared" ca="1" si="56"/>
        <v>-11.457572413865583</v>
      </c>
      <c r="AH85" s="304">
        <f t="shared" ca="1" si="57"/>
        <v>-1.7395135907091173</v>
      </c>
    </row>
    <row r="86" spans="1:34" x14ac:dyDescent="0.25">
      <c r="A86" s="347">
        <f t="shared" ca="1" si="35"/>
        <v>0.01</v>
      </c>
      <c r="B86" s="304">
        <f t="shared" ca="1" si="36"/>
        <v>6.5199999999999827</v>
      </c>
      <c r="D86" s="306">
        <f t="shared" ca="1" si="37"/>
        <v>-0.46173949035281342</v>
      </c>
      <c r="E86" s="307">
        <f t="shared" ca="1" si="38"/>
        <v>-13.157373573289769</v>
      </c>
      <c r="F86" s="304">
        <f t="shared" ca="1" si="39"/>
        <v>13.16547312875824</v>
      </c>
      <c r="G86" s="306">
        <f t="shared" ca="1" si="40"/>
        <v>31.283009758960507</v>
      </c>
      <c r="H86" s="307">
        <f t="shared" ca="1" si="41"/>
        <v>226.68761434316201</v>
      </c>
      <c r="I86" s="304">
        <f t="shared" ca="1" si="42"/>
        <v>228.83597006627556</v>
      </c>
      <c r="J86" s="306">
        <f t="shared" ca="1" si="43"/>
        <v>129.27785319923512</v>
      </c>
      <c r="K86" s="307">
        <f t="shared" ca="1" si="44"/>
        <v>1058.3527209342972</v>
      </c>
      <c r="L86" s="304">
        <f t="shared" ca="1" si="29"/>
        <v>1066.2191356549708</v>
      </c>
      <c r="M86" s="306">
        <f t="shared" ca="1" si="45"/>
        <v>1.4336619601174385</v>
      </c>
      <c r="N86" s="304">
        <f t="shared" ca="1" si="46"/>
        <v>82.142779563182174</v>
      </c>
      <c r="P86" s="310">
        <f t="shared" ca="1" si="47"/>
        <v>7</v>
      </c>
      <c r="Q86" s="304">
        <f t="shared" ca="1" si="48"/>
        <v>56.750000000006082</v>
      </c>
      <c r="R86" s="306">
        <f t="shared" ca="1" si="49"/>
        <v>3.0120050547602212E-2</v>
      </c>
      <c r="S86" s="307">
        <f t="shared" ca="1" si="50"/>
        <v>2.0872244313395099</v>
      </c>
      <c r="T86" s="304">
        <f t="shared" ca="1" si="30"/>
        <v>20.475671671440594</v>
      </c>
      <c r="U86" s="311">
        <f t="shared" ca="1" si="31"/>
        <v>0</v>
      </c>
      <c r="V86" s="306">
        <f t="shared" ca="1" si="32"/>
        <v>1.1018676638362439</v>
      </c>
      <c r="W86" s="304">
        <f t="shared" ca="1" si="33"/>
        <v>63.715417187481407</v>
      </c>
      <c r="Y86" s="314" t="str">
        <f t="shared" ca="1" si="51"/>
        <v/>
      </c>
      <c r="Z86" s="315" t="str">
        <f t="shared" ca="1" si="52"/>
        <v/>
      </c>
      <c r="AA86" s="316" t="str">
        <f t="shared" ca="1" si="53"/>
        <v/>
      </c>
      <c r="AC86" s="310" t="e">
        <f t="shared" ca="1" si="54"/>
        <v>#N/A</v>
      </c>
      <c r="AD86" s="323" t="e">
        <f t="shared" ca="1" si="55"/>
        <v>#N/A</v>
      </c>
      <c r="AE86" s="324">
        <f t="shared" ca="1" si="34"/>
        <v>1058.3527209342972</v>
      </c>
      <c r="AG86" s="306">
        <f t="shared" ca="1" si="56"/>
        <v>-13.097050263465617</v>
      </c>
      <c r="AH86" s="304">
        <f t="shared" ca="1" si="57"/>
        <v>-3.3790698714453935</v>
      </c>
    </row>
    <row r="87" spans="1:34" x14ac:dyDescent="0.25">
      <c r="A87" s="347">
        <f t="shared" ca="1" si="35"/>
        <v>0.01</v>
      </c>
      <c r="B87" s="304">
        <f t="shared" ca="1" si="36"/>
        <v>6.5299999999999825</v>
      </c>
      <c r="D87" s="306">
        <f t="shared" ca="1" si="37"/>
        <v>-0.68553628304628722</v>
      </c>
      <c r="E87" s="307">
        <f t="shared" ca="1" si="38"/>
        <v>-14.7776353313456</v>
      </c>
      <c r="F87" s="304">
        <f t="shared" ca="1" si="39"/>
        <v>14.793527840971764</v>
      </c>
      <c r="G87" s="306">
        <f t="shared" ca="1" si="40"/>
        <v>31.276154396130043</v>
      </c>
      <c r="H87" s="307">
        <f t="shared" ca="1" si="41"/>
        <v>226.53983798984856</v>
      </c>
      <c r="I87" s="304">
        <f t="shared" ca="1" si="42"/>
        <v>228.68864429673241</v>
      </c>
      <c r="J87" s="306">
        <f t="shared" ca="1" si="43"/>
        <v>129.59064902001057</v>
      </c>
      <c r="K87" s="307">
        <f t="shared" ca="1" si="44"/>
        <v>1060.6188581959623</v>
      </c>
      <c r="L87" s="304">
        <f t="shared" ca="1" si="29"/>
        <v>1068.5064804082072</v>
      </c>
      <c r="M87" s="306">
        <f t="shared" ca="1" si="45"/>
        <v>1.4336033181345516</v>
      </c>
      <c r="N87" s="304">
        <f t="shared" ca="1" si="46"/>
        <v>82.139419625060484</v>
      </c>
      <c r="P87" s="310">
        <f t="shared" ca="1" si="47"/>
        <v>7</v>
      </c>
      <c r="Q87" s="304">
        <f t="shared" ca="1" si="48"/>
        <v>53.250000000006153</v>
      </c>
      <c r="R87" s="306">
        <f t="shared" ca="1" si="49"/>
        <v>2.8262426284754737E-2</v>
      </c>
      <c r="S87" s="307">
        <f t="shared" ca="1" si="50"/>
        <v>2.0869418070766623</v>
      </c>
      <c r="T87" s="304">
        <f t="shared" ca="1" si="30"/>
        <v>20.472899127422057</v>
      </c>
      <c r="U87" s="311">
        <f t="shared" ca="1" si="31"/>
        <v>0</v>
      </c>
      <c r="V87" s="306">
        <f t="shared" ca="1" si="32"/>
        <v>1.1016172912545319</v>
      </c>
      <c r="W87" s="304">
        <f t="shared" ca="1" si="33"/>
        <v>63.618943832223785</v>
      </c>
      <c r="Y87" s="314" t="str">
        <f t="shared" ca="1" si="51"/>
        <v/>
      </c>
      <c r="Z87" s="315" t="str">
        <f t="shared" ca="1" si="52"/>
        <v/>
      </c>
      <c r="AA87" s="316" t="str">
        <f t="shared" ca="1" si="53"/>
        <v/>
      </c>
      <c r="AC87" s="310" t="e">
        <f t="shared" ca="1" si="54"/>
        <v>#N/A</v>
      </c>
      <c r="AD87" s="323" t="e">
        <f t="shared" ca="1" si="55"/>
        <v>#N/A</v>
      </c>
      <c r="AE87" s="324">
        <f t="shared" ca="1" si="34"/>
        <v>1060.6188581959623</v>
      </c>
      <c r="AG87" s="306">
        <f t="shared" ca="1" si="56"/>
        <v>-14.732616275982323</v>
      </c>
      <c r="AH87" s="304">
        <f t="shared" ca="1" si="57"/>
        <v>-5.0147144266255115</v>
      </c>
    </row>
    <row r="88" spans="1:34" x14ac:dyDescent="0.25">
      <c r="A88" s="347">
        <f t="shared" ca="1" si="35"/>
        <v>0.01</v>
      </c>
      <c r="B88" s="304">
        <f t="shared" ca="1" si="36"/>
        <v>6.5399999999999823</v>
      </c>
      <c r="D88" s="306">
        <f t="shared" ca="1" si="37"/>
        <v>-0.90898507126494854</v>
      </c>
      <c r="E88" s="307">
        <f t="shared" ca="1" si="38"/>
        <v>-16.393972190808476</v>
      </c>
      <c r="F88" s="304">
        <f t="shared" ca="1" si="39"/>
        <v>16.419152781212073</v>
      </c>
      <c r="G88" s="306">
        <f t="shared" ca="1" si="40"/>
        <v>31.267064545417394</v>
      </c>
      <c r="H88" s="307">
        <f t="shared" ca="1" si="41"/>
        <v>226.37589826794047</v>
      </c>
      <c r="I88" s="304">
        <f t="shared" ca="1" si="42"/>
        <v>228.52500222492995</v>
      </c>
      <c r="J88" s="306">
        <f t="shared" ca="1" si="43"/>
        <v>129.9033651147183</v>
      </c>
      <c r="K88" s="307">
        <f t="shared" ca="1" si="44"/>
        <v>1062.8834368772511</v>
      </c>
      <c r="L88" s="304">
        <f t="shared" ca="1" si="29"/>
        <v>1070.7922696098087</v>
      </c>
      <c r="M88" s="306">
        <f t="shared" ca="1" si="45"/>
        <v>1.4335446092222575</v>
      </c>
      <c r="N88" s="304">
        <f t="shared" ca="1" si="46"/>
        <v>82.136055852166223</v>
      </c>
      <c r="P88" s="310">
        <f t="shared" ca="1" si="47"/>
        <v>7</v>
      </c>
      <c r="Q88" s="304">
        <f t="shared" ca="1" si="48"/>
        <v>49.750000000006224</v>
      </c>
      <c r="R88" s="306">
        <f t="shared" ca="1" si="49"/>
        <v>2.6404802021907259E-2</v>
      </c>
      <c r="S88" s="307">
        <f t="shared" ca="1" si="50"/>
        <v>2.0866777590564434</v>
      </c>
      <c r="T88" s="304">
        <f t="shared" ca="1" si="30"/>
        <v>20.47030881634371</v>
      </c>
      <c r="U88" s="311">
        <f t="shared" ca="1" si="31"/>
        <v>0</v>
      </c>
      <c r="V88" s="306">
        <f t="shared" ca="1" si="32"/>
        <v>1.1013671446906446</v>
      </c>
      <c r="W88" s="304">
        <f t="shared" ca="1" si="33"/>
        <v>63.513503739159155</v>
      </c>
      <c r="Y88" s="314" t="str">
        <f t="shared" ca="1" si="51"/>
        <v/>
      </c>
      <c r="Z88" s="315" t="str">
        <f t="shared" ca="1" si="52"/>
        <v/>
      </c>
      <c r="AA88" s="316" t="str">
        <f t="shared" ca="1" si="53"/>
        <v/>
      </c>
      <c r="AC88" s="310" t="e">
        <f t="shared" ca="1" si="54"/>
        <v>#N/A</v>
      </c>
      <c r="AD88" s="323" t="e">
        <f t="shared" ca="1" si="55"/>
        <v>#N/A</v>
      </c>
      <c r="AE88" s="324">
        <f t="shared" ca="1" si="34"/>
        <v>1062.8834368772511</v>
      </c>
      <c r="AG88" s="306">
        <f t="shared" ca="1" si="56"/>
        <v>-16.364246563518442</v>
      </c>
      <c r="AH88" s="304">
        <f t="shared" ca="1" si="57"/>
        <v>-6.6464233742007375</v>
      </c>
    </row>
    <row r="89" spans="1:34" x14ac:dyDescent="0.25">
      <c r="A89" s="347">
        <f t="shared" ca="1" si="35"/>
        <v>0.01</v>
      </c>
      <c r="B89" s="304">
        <f t="shared" ca="1" si="36"/>
        <v>6.5499999999999821</v>
      </c>
      <c r="D89" s="306">
        <f t="shared" ca="1" si="37"/>
        <v>-1.1320823950320078</v>
      </c>
      <c r="E89" s="307">
        <f t="shared" ca="1" si="38"/>
        <v>-18.006361660891926</v>
      </c>
      <c r="F89" s="304">
        <f t="shared" ca="1" si="39"/>
        <v>18.041914277924615</v>
      </c>
      <c r="G89" s="306">
        <f t="shared" ca="1" si="40"/>
        <v>31.255743721467073</v>
      </c>
      <c r="H89" s="307">
        <f t="shared" ca="1" si="41"/>
        <v>226.19583465133155</v>
      </c>
      <c r="I89" s="304">
        <f t="shared" ca="1" si="42"/>
        <v>228.34508343556371</v>
      </c>
      <c r="J89" s="306">
        <f t="shared" ca="1" si="43"/>
        <v>130.21597915605273</v>
      </c>
      <c r="K89" s="307">
        <f t="shared" ca="1" si="44"/>
        <v>1065.1462955418474</v>
      </c>
      <c r="L89" s="304">
        <f t="shared" ca="1" si="29"/>
        <v>1073.07634031046</v>
      </c>
      <c r="M89" s="306">
        <f t="shared" ca="1" si="45"/>
        <v>1.4334858290667321</v>
      </c>
      <c r="N89" s="304">
        <f t="shared" ca="1" si="46"/>
        <v>82.132687997335495</v>
      </c>
      <c r="P89" s="310">
        <f t="shared" ca="1" si="47"/>
        <v>8</v>
      </c>
      <c r="Q89" s="304">
        <f t="shared" ca="1" si="48"/>
        <v>46.250000000006295</v>
      </c>
      <c r="R89" s="306">
        <f t="shared" ca="1" si="49"/>
        <v>2.4547177759059784E-2</v>
      </c>
      <c r="S89" s="307">
        <f t="shared" ca="1" si="50"/>
        <v>2.086432287278853</v>
      </c>
      <c r="T89" s="304">
        <f t="shared" ca="1" si="30"/>
        <v>20.46790073820555</v>
      </c>
      <c r="U89" s="311">
        <f t="shared" ca="1" si="31"/>
        <v>0</v>
      </c>
      <c r="V89" s="306">
        <f t="shared" ca="1" si="32"/>
        <v>1.1011172418427584</v>
      </c>
      <c r="W89" s="304">
        <f t="shared" ca="1" si="33"/>
        <v>63.399145475370702</v>
      </c>
      <c r="Y89" s="314" t="str">
        <f t="shared" ca="1" si="51"/>
        <v/>
      </c>
      <c r="Z89" s="315" t="str">
        <f t="shared" ca="1" si="52"/>
        <v/>
      </c>
      <c r="AA89" s="316" t="str">
        <f t="shared" ca="1" si="53"/>
        <v/>
      </c>
      <c r="AC89" s="310" t="e">
        <f t="shared" ca="1" si="54"/>
        <v>#N/A</v>
      </c>
      <c r="AD89" s="323" t="e">
        <f t="shared" ca="1" si="55"/>
        <v>#N/A</v>
      </c>
      <c r="AE89" s="324">
        <f t="shared" ca="1" si="34"/>
        <v>1065.1462955418474</v>
      </c>
      <c r="AG89" s="306">
        <f t="shared" ca="1" si="56"/>
        <v>-17.991918384453577</v>
      </c>
      <c r="AH89" s="304">
        <f t="shared" ca="1" si="57"/>
        <v>-8.2741739784271182</v>
      </c>
    </row>
    <row r="90" spans="1:34" x14ac:dyDescent="0.25">
      <c r="A90" s="347">
        <f t="shared" ca="1" si="35"/>
        <v>0.01</v>
      </c>
      <c r="B90" s="304">
        <f t="shared" ca="1" si="36"/>
        <v>6.5599999999999818</v>
      </c>
      <c r="D90" s="306">
        <f t="shared" ca="1" si="37"/>
        <v>-1.3548249709856848</v>
      </c>
      <c r="E90" s="307">
        <f t="shared" ca="1" si="38"/>
        <v>-19.614782373746344</v>
      </c>
      <c r="F90" s="304">
        <f t="shared" ca="1" si="39"/>
        <v>19.661516682886816</v>
      </c>
      <c r="G90" s="306">
        <f t="shared" ca="1" si="40"/>
        <v>31.242195471757217</v>
      </c>
      <c r="H90" s="307">
        <f t="shared" ca="1" si="41"/>
        <v>225.99968682759408</v>
      </c>
      <c r="I90" s="304">
        <f t="shared" ca="1" si="42"/>
        <v>228.14892772938049</v>
      </c>
      <c r="J90" s="306">
        <f t="shared" ca="1" si="43"/>
        <v>130.52846885201885</v>
      </c>
      <c r="K90" s="307">
        <f t="shared" ca="1" si="44"/>
        <v>1067.407273149242</v>
      </c>
      <c r="L90" s="304">
        <f t="shared" ca="1" si="29"/>
        <v>1075.3585299576848</v>
      </c>
      <c r="M90" s="306">
        <f t="shared" ca="1" si="45"/>
        <v>1.4334269733371279</v>
      </c>
      <c r="N90" s="304">
        <f t="shared" ca="1" si="46"/>
        <v>82.129315812429013</v>
      </c>
      <c r="P90" s="310">
        <f t="shared" ca="1" si="47"/>
        <v>8</v>
      </c>
      <c r="Q90" s="304">
        <f t="shared" ca="1" si="48"/>
        <v>42.750000000006374</v>
      </c>
      <c r="R90" s="306">
        <f t="shared" ca="1" si="49"/>
        <v>2.2689553496212312E-2</v>
      </c>
      <c r="S90" s="307">
        <f t="shared" ca="1" si="50"/>
        <v>2.0862053917438907</v>
      </c>
      <c r="T90" s="304">
        <f t="shared" ca="1" si="30"/>
        <v>20.46567489300757</v>
      </c>
      <c r="U90" s="311">
        <f t="shared" ca="1" si="31"/>
        <v>0</v>
      </c>
      <c r="V90" s="306">
        <f t="shared" ca="1" si="32"/>
        <v>1.1008676003502011</v>
      </c>
      <c r="W90" s="304">
        <f t="shared" ca="1" si="33"/>
        <v>63.275919534918991</v>
      </c>
      <c r="Y90" s="314" t="str">
        <f t="shared" ca="1" si="51"/>
        <v/>
      </c>
      <c r="Z90" s="315" t="str">
        <f t="shared" ca="1" si="52"/>
        <v/>
      </c>
      <c r="AA90" s="316" t="str">
        <f t="shared" ca="1" si="53"/>
        <v/>
      </c>
      <c r="AC90" s="310" t="e">
        <f t="shared" ca="1" si="54"/>
        <v>#N/A</v>
      </c>
      <c r="AD90" s="323" t="e">
        <f t="shared" ca="1" si="55"/>
        <v>#N/A</v>
      </c>
      <c r="AE90" s="324">
        <f t="shared" ca="1" si="34"/>
        <v>1067.407273149242</v>
      </c>
      <c r="AG90" s="306">
        <f t="shared" ca="1" si="56"/>
        <v>-19.615610133678707</v>
      </c>
      <c r="AH90" s="304">
        <f t="shared" ca="1" si="57"/>
        <v>-9.8979446401024749</v>
      </c>
    </row>
    <row r="91" spans="1:34" x14ac:dyDescent="0.25">
      <c r="A91" s="347">
        <f t="shared" ca="1" si="35"/>
        <v>0.01</v>
      </c>
      <c r="B91" s="304">
        <f t="shared" ca="1" si="36"/>
        <v>6.5699999999999816</v>
      </c>
      <c r="D91" s="306">
        <f t="shared" ca="1" si="37"/>
        <v>-1.5772096913115627</v>
      </c>
      <c r="E91" s="307">
        <f t="shared" ca="1" si="38"/>
        <v>-21.219214074602654</v>
      </c>
      <c r="F91" s="304">
        <f t="shared" ca="1" si="39"/>
        <v>21.277749795365636</v>
      </c>
      <c r="G91" s="306">
        <f t="shared" ca="1" si="40"/>
        <v>31.226423374844103</v>
      </c>
      <c r="H91" s="307">
        <f t="shared" ca="1" si="41"/>
        <v>225.78749468684805</v>
      </c>
      <c r="I91" s="304">
        <f t="shared" ca="1" si="42"/>
        <v>227.93657511191233</v>
      </c>
      <c r="J91" s="306">
        <f t="shared" ca="1" si="43"/>
        <v>130.84081194625185</v>
      </c>
      <c r="K91" s="307">
        <f t="shared" ca="1" si="44"/>
        <v>1069.6662090568143</v>
      </c>
      <c r="L91" s="304">
        <f t="shared" ca="1" si="29"/>
        <v>1077.6386763979524</v>
      </c>
      <c r="M91" s="306">
        <f t="shared" ca="1" si="45"/>
        <v>1.4333680376837645</v>
      </c>
      <c r="N91" s="304">
        <f t="shared" ca="1" si="46"/>
        <v>82.125939048228446</v>
      </c>
      <c r="P91" s="310">
        <f t="shared" ca="1" si="47"/>
        <v>8</v>
      </c>
      <c r="Q91" s="304">
        <f t="shared" ca="1" si="48"/>
        <v>39.250000000006452</v>
      </c>
      <c r="R91" s="306">
        <f t="shared" ca="1" si="49"/>
        <v>2.0831929233364837E-2</v>
      </c>
      <c r="S91" s="307">
        <f t="shared" ca="1" si="50"/>
        <v>2.0859970724515571</v>
      </c>
      <c r="T91" s="304">
        <f t="shared" ca="1" si="30"/>
        <v>20.463631280749777</v>
      </c>
      <c r="U91" s="311">
        <f t="shared" ca="1" si="31"/>
        <v>0</v>
      </c>
      <c r="V91" s="306">
        <f t="shared" ca="1" si="32"/>
        <v>1.1006182377933122</v>
      </c>
      <c r="W91" s="304">
        <f t="shared" ca="1" si="33"/>
        <v>63.143878312830367</v>
      </c>
      <c r="Y91" s="314" t="str">
        <f t="shared" ca="1" si="51"/>
        <v/>
      </c>
      <c r="Z91" s="315" t="str">
        <f t="shared" ca="1" si="52"/>
        <v/>
      </c>
      <c r="AA91" s="316" t="str">
        <f t="shared" ca="1" si="53"/>
        <v/>
      </c>
      <c r="AC91" s="310" t="e">
        <f t="shared" ca="1" si="54"/>
        <v>#N/A</v>
      </c>
      <c r="AD91" s="323" t="e">
        <f t="shared" ca="1" si="55"/>
        <v>#N/A</v>
      </c>
      <c r="AE91" s="324">
        <f t="shared" ca="1" si="34"/>
        <v>1069.6662090568143</v>
      </c>
      <c r="AG91" s="306">
        <f t="shared" ca="1" si="56"/>
        <v>-21.235301332691201</v>
      </c>
      <c r="AH91" s="304">
        <f t="shared" ca="1" si="57"/>
        <v>-11.517714886663864</v>
      </c>
    </row>
    <row r="92" spans="1:34" x14ac:dyDescent="0.25">
      <c r="A92" s="347">
        <f t="shared" ca="1" si="35"/>
        <v>0.01</v>
      </c>
      <c r="B92" s="304">
        <f t="shared" ca="1" si="36"/>
        <v>6.5799999999999814</v>
      </c>
      <c r="D92" s="306">
        <f t="shared" ca="1" si="37"/>
        <v>-1.7992336226692878</v>
      </c>
      <c r="E92" s="307">
        <f t="shared" ca="1" si="38"/>
        <v>-22.819637611783275</v>
      </c>
      <c r="F92" s="304">
        <f t="shared" ca="1" si="39"/>
        <v>22.890458762594896</v>
      </c>
      <c r="G92" s="306">
        <f t="shared" ca="1" si="40"/>
        <v>31.208431038617409</v>
      </c>
      <c r="H92" s="307">
        <f t="shared" ca="1" si="41"/>
        <v>225.55929831073021</v>
      </c>
      <c r="I92" s="304">
        <f t="shared" ca="1" si="42"/>
        <v>227.70806578231065</v>
      </c>
      <c r="J92" s="306">
        <f t="shared" ca="1" si="43"/>
        <v>131.15298621831914</v>
      </c>
      <c r="K92" s="307">
        <f t="shared" ca="1" si="44"/>
        <v>1071.9229430218022</v>
      </c>
      <c r="L92" s="304">
        <f t="shared" ca="1" si="29"/>
        <v>1079.9166178786695</v>
      </c>
      <c r="M92" s="306">
        <f t="shared" ca="1" si="45"/>
        <v>1.4333090177363015</v>
      </c>
      <c r="N92" s="304">
        <f t="shared" ca="1" si="46"/>
        <v>82.122557454331726</v>
      </c>
      <c r="P92" s="310">
        <f t="shared" ca="1" si="47"/>
        <v>8</v>
      </c>
      <c r="Q92" s="304">
        <f t="shared" ca="1" si="48"/>
        <v>35.750000000006523</v>
      </c>
      <c r="R92" s="306">
        <f t="shared" ca="1" si="49"/>
        <v>1.8974304970517362E-2</v>
      </c>
      <c r="S92" s="307">
        <f t="shared" ca="1" si="50"/>
        <v>2.085807329401852</v>
      </c>
      <c r="T92" s="304">
        <f t="shared" ca="1" si="30"/>
        <v>20.46176990143217</v>
      </c>
      <c r="U92" s="311">
        <f t="shared" ca="1" si="31"/>
        <v>0</v>
      </c>
      <c r="V92" s="306">
        <f t="shared" ca="1" si="32"/>
        <v>1.1003691716933164</v>
      </c>
      <c r="W92" s="304">
        <f t="shared" ca="1" si="33"/>
        <v>63.003076079148961</v>
      </c>
      <c r="Y92" s="314" t="str">
        <f t="shared" ca="1" si="51"/>
        <v/>
      </c>
      <c r="Z92" s="315" t="str">
        <f t="shared" ca="1" si="52"/>
        <v/>
      </c>
      <c r="AA92" s="316" t="str">
        <f t="shared" ca="1" si="53"/>
        <v/>
      </c>
      <c r="AC92" s="310" t="e">
        <f t="shared" ca="1" si="54"/>
        <v>#N/A</v>
      </c>
      <c r="AD92" s="323" t="e">
        <f t="shared" ca="1" si="55"/>
        <v>#N/A</v>
      </c>
      <c r="AE92" s="324">
        <f t="shared" ca="1" si="34"/>
        <v>1071.9229430218022</v>
      </c>
      <c r="AG92" s="306">
        <f t="shared" ca="1" si="56"/>
        <v>-22.850972619557588</v>
      </c>
      <c r="AH92" s="304">
        <f t="shared" ca="1" si="57"/>
        <v>-13.133465362152888</v>
      </c>
    </row>
    <row r="93" spans="1:34" x14ac:dyDescent="0.25">
      <c r="A93" s="347">
        <f t="shared" ca="1" si="35"/>
        <v>0.01</v>
      </c>
      <c r="B93" s="304">
        <f t="shared" ca="1" si="36"/>
        <v>6.5899999999999812</v>
      </c>
      <c r="D93" s="306">
        <f t="shared" ca="1" si="37"/>
        <v>-1.9880397563899133</v>
      </c>
      <c r="E93" s="307">
        <f t="shared" ca="1" si="38"/>
        <v>-24.178580461807464</v>
      </c>
      <c r="F93" s="304">
        <f t="shared" ca="1" si="39"/>
        <v>24.260174261968618</v>
      </c>
      <c r="G93" s="306">
        <f t="shared" ca="1" si="40"/>
        <v>31.18855064105351</v>
      </c>
      <c r="H93" s="307">
        <f t="shared" ca="1" si="41"/>
        <v>225.31751250611214</v>
      </c>
      <c r="I93" s="304">
        <f t="shared" ca="1" si="42"/>
        <v>227.46583728778165</v>
      </c>
      <c r="J93" s="306">
        <f t="shared" ca="1" si="43"/>
        <v>131.4649711267175</v>
      </c>
      <c r="K93" s="307">
        <f t="shared" ca="1" si="44"/>
        <v>1074.1773270758865</v>
      </c>
      <c r="L93" s="304">
        <f t="shared" ca="1" si="29"/>
        <v>1082.1922050344128</v>
      </c>
      <c r="M93" s="306">
        <f t="shared" ca="1" si="45"/>
        <v>1.433249909724813</v>
      </c>
      <c r="N93" s="304">
        <f t="shared" ca="1" si="46"/>
        <v>82.119170814738027</v>
      </c>
      <c r="P93" s="310">
        <f t="shared" ca="1" si="47"/>
        <v>9</v>
      </c>
      <c r="Q93" s="304">
        <f t="shared" ca="1" si="48"/>
        <v>32.750000000004718</v>
      </c>
      <c r="R93" s="306">
        <f t="shared" ca="1" si="49"/>
        <v>1.738205560236139E-2</v>
      </c>
      <c r="S93" s="307">
        <f t="shared" ca="1" si="50"/>
        <v>2.0856335088458282</v>
      </c>
      <c r="T93" s="304">
        <f t="shared" ca="1" si="30"/>
        <v>20.460064721777577</v>
      </c>
      <c r="U93" s="311">
        <f t="shared" ca="1" si="31"/>
        <v>0</v>
      </c>
      <c r="V93" s="306">
        <f t="shared" ca="1" si="32"/>
        <v>1.1001204182022946</v>
      </c>
      <c r="W93" s="304">
        <f t="shared" ca="1" si="33"/>
        <v>62.854893673106822</v>
      </c>
      <c r="Y93" s="314" t="str">
        <f t="shared" ca="1" si="51"/>
        <v/>
      </c>
      <c r="Z93" s="315" t="str">
        <f t="shared" ca="1" si="52"/>
        <v/>
      </c>
      <c r="AA93" s="316" t="str">
        <f t="shared" ca="1" si="53"/>
        <v/>
      </c>
      <c r="AC93" s="310" t="e">
        <f t="shared" ca="1" si="54"/>
        <v>#N/A</v>
      </c>
      <c r="AD93" s="323" t="e">
        <f t="shared" ca="1" si="55"/>
        <v>#N/A</v>
      </c>
      <c r="AE93" s="324">
        <f t="shared" ca="1" si="34"/>
        <v>1074.1773270758865</v>
      </c>
      <c r="AG93" s="306">
        <f t="shared" ca="1" si="56"/>
        <v>-24.222889188419053</v>
      </c>
      <c r="AH93" s="304">
        <f t="shared" ca="1" si="57"/>
        <v>-14.505461266723719</v>
      </c>
    </row>
    <row r="94" spans="1:34" x14ac:dyDescent="0.25">
      <c r="A94" s="347">
        <f t="shared" ca="1" si="35"/>
        <v>0.01</v>
      </c>
      <c r="B94" s="304">
        <f t="shared" ca="1" si="36"/>
        <v>6.599999999999981</v>
      </c>
      <c r="D94" s="306">
        <f t="shared" ca="1" si="37"/>
        <v>-2.1436665880963894</v>
      </c>
      <c r="E94" s="307">
        <f t="shared" ca="1" si="38"/>
        <v>-25.296632541255782</v>
      </c>
      <c r="F94" s="304">
        <f t="shared" ca="1" si="39"/>
        <v>25.387298485034631</v>
      </c>
      <c r="G94" s="306">
        <f t="shared" ca="1" si="40"/>
        <v>31.167113975172548</v>
      </c>
      <c r="H94" s="307">
        <f t="shared" ca="1" si="41"/>
        <v>225.06454618069958</v>
      </c>
      <c r="I94" s="304">
        <f t="shared" ca="1" si="42"/>
        <v>227.21232127916315</v>
      </c>
      <c r="J94" s="306">
        <f t="shared" ca="1" si="43"/>
        <v>131.77674944979864</v>
      </c>
      <c r="K94" s="307">
        <f t="shared" ca="1" si="44"/>
        <v>1076.4292373693206</v>
      </c>
      <c r="L94" s="304">
        <f t="shared" ca="1" si="29"/>
        <v>1084.4653128427171</v>
      </c>
      <c r="M94" s="306">
        <f t="shared" ca="1" si="45"/>
        <v>1.4331907104833155</v>
      </c>
      <c r="N94" s="304">
        <f t="shared" ca="1" si="46"/>
        <v>82.115778948049851</v>
      </c>
      <c r="P94" s="310">
        <f t="shared" ca="1" si="47"/>
        <v>9</v>
      </c>
      <c r="Q94" s="304">
        <f t="shared" ca="1" si="48"/>
        <v>30.250000000004775</v>
      </c>
      <c r="R94" s="306">
        <f t="shared" ca="1" si="49"/>
        <v>1.6055181128898911E-2</v>
      </c>
      <c r="S94" s="307">
        <f t="shared" ca="1" si="50"/>
        <v>2.0854729570345394</v>
      </c>
      <c r="T94" s="304">
        <f t="shared" ca="1" si="30"/>
        <v>20.458489708508832</v>
      </c>
      <c r="U94" s="311">
        <f t="shared" ca="1" si="31"/>
        <v>0</v>
      </c>
      <c r="V94" s="306">
        <f t="shared" ca="1" si="32"/>
        <v>1.0998719907981904</v>
      </c>
      <c r="W94" s="304">
        <f t="shared" ca="1" si="33"/>
        <v>62.700703074923815</v>
      </c>
      <c r="Y94" s="314" t="str">
        <f t="shared" ca="1" si="51"/>
        <v/>
      </c>
      <c r="Z94" s="315" t="str">
        <f t="shared" ca="1" si="52"/>
        <v/>
      </c>
      <c r="AA94" s="316" t="str">
        <f t="shared" ca="1" si="53"/>
        <v/>
      </c>
      <c r="AC94" s="310" t="e">
        <f t="shared" ca="1" si="54"/>
        <v>#N/A</v>
      </c>
      <c r="AD94" s="323" t="e">
        <f t="shared" ca="1" si="55"/>
        <v>#N/A</v>
      </c>
      <c r="AE94" s="324">
        <f t="shared" ca="1" si="34"/>
        <v>1076.4292373693206</v>
      </c>
      <c r="AG94" s="306">
        <f t="shared" ca="1" si="56"/>
        <v>-25.351640675700963</v>
      </c>
      <c r="AH94" s="304">
        <f t="shared" ca="1" si="57"/>
        <v>-15.634292242017334</v>
      </c>
    </row>
    <row r="95" spans="1:34" x14ac:dyDescent="0.25">
      <c r="A95" s="347">
        <f t="shared" ca="1" si="35"/>
        <v>0.01</v>
      </c>
      <c r="B95" s="304">
        <f t="shared" ca="1" si="36"/>
        <v>6.6099999999999808</v>
      </c>
      <c r="D95" s="306">
        <f t="shared" ca="1" si="37"/>
        <v>-2.2990411087859588</v>
      </c>
      <c r="E95" s="307">
        <f t="shared" ca="1" si="38"/>
        <v>-26.411878640796409</v>
      </c>
      <c r="F95" s="304">
        <f t="shared" ca="1" si="39"/>
        <v>26.511750665620809</v>
      </c>
      <c r="G95" s="306">
        <f t="shared" ca="1" si="40"/>
        <v>31.144123564084687</v>
      </c>
      <c r="H95" s="307">
        <f t="shared" ca="1" si="41"/>
        <v>224.8004273942916</v>
      </c>
      <c r="I95" s="304">
        <f t="shared" ca="1" si="42"/>
        <v>226.94754589823427</v>
      </c>
      <c r="J95" s="306">
        <f t="shared" ca="1" si="43"/>
        <v>132.08830563749493</v>
      </c>
      <c r="K95" s="307">
        <f t="shared" ca="1" si="44"/>
        <v>1078.6785622371956</v>
      </c>
      <c r="L95" s="304">
        <f t="shared" ca="1" si="29"/>
        <v>1086.7358285785408</v>
      </c>
      <c r="M95" s="306">
        <f t="shared" ca="1" si="45"/>
        <v>1.4331314168276015</v>
      </c>
      <c r="N95" s="304">
        <f t="shared" ca="1" si="46"/>
        <v>82.112381671825531</v>
      </c>
      <c r="P95" s="310">
        <f t="shared" ca="1" si="47"/>
        <v>9</v>
      </c>
      <c r="Q95" s="304">
        <f t="shared" ca="1" si="48"/>
        <v>27.750000000004832</v>
      </c>
      <c r="R95" s="306">
        <f t="shared" ca="1" si="49"/>
        <v>1.4728306655436429E-2</v>
      </c>
      <c r="S95" s="307">
        <f t="shared" ca="1" si="50"/>
        <v>2.0853256739679851</v>
      </c>
      <c r="T95" s="304">
        <f t="shared" ca="1" si="30"/>
        <v>20.457044861625935</v>
      </c>
      <c r="U95" s="311">
        <f t="shared" ca="1" si="31"/>
        <v>0</v>
      </c>
      <c r="V95" s="306">
        <f t="shared" ca="1" si="32"/>
        <v>1.0996239016037901</v>
      </c>
      <c r="W95" s="304">
        <f t="shared" ca="1" si="33"/>
        <v>62.540545332669808</v>
      </c>
      <c r="Y95" s="314" t="str">
        <f t="shared" ca="1" si="51"/>
        <v/>
      </c>
      <c r="Z95" s="315" t="str">
        <f t="shared" ca="1" si="52"/>
        <v/>
      </c>
      <c r="AA95" s="316" t="str">
        <f t="shared" ca="1" si="53"/>
        <v/>
      </c>
      <c r="AC95" s="310" t="e">
        <f t="shared" ca="1" si="54"/>
        <v>#N/A</v>
      </c>
      <c r="AD95" s="323" t="e">
        <f t="shared" ca="1" si="55"/>
        <v>#N/A</v>
      </c>
      <c r="AE95" s="324">
        <f t="shared" ca="1" si="34"/>
        <v>1078.6785622371956</v>
      </c>
      <c r="AG95" s="306">
        <f t="shared" ca="1" si="56"/>
        <v>-26.477577987287631</v>
      </c>
      <c r="AH95" s="304">
        <f t="shared" ca="1" si="57"/>
        <v>-16.760309198329836</v>
      </c>
    </row>
    <row r="96" spans="1:34" x14ac:dyDescent="0.25">
      <c r="A96" s="347">
        <f t="shared" ca="1" si="35"/>
        <v>0.01</v>
      </c>
      <c r="B96" s="304">
        <f t="shared" ca="1" si="36"/>
        <v>6.6199999999999806</v>
      </c>
      <c r="D96" s="306">
        <f t="shared" ca="1" si="37"/>
        <v>-2.4541628531973489</v>
      </c>
      <c r="E96" s="307">
        <f t="shared" ca="1" si="38"/>
        <v>-27.524316383273458</v>
      </c>
      <c r="F96" s="304">
        <f t="shared" ca="1" si="39"/>
        <v>27.633510592694325</v>
      </c>
      <c r="G96" s="306">
        <f t="shared" ca="1" si="40"/>
        <v>31.119581935552713</v>
      </c>
      <c r="H96" s="307">
        <f t="shared" ca="1" si="41"/>
        <v>224.52518423045888</v>
      </c>
      <c r="I96" s="304">
        <f t="shared" ca="1" si="42"/>
        <v>226.67153931088279</v>
      </c>
      <c r="J96" s="306">
        <f t="shared" ca="1" si="43"/>
        <v>132.3996241649931</v>
      </c>
      <c r="K96" s="307">
        <f t="shared" ca="1" si="44"/>
        <v>1080.9251902953195</v>
      </c>
      <c r="L96" s="304">
        <f t="shared" ca="1" si="29"/>
        <v>1089.003639798327</v>
      </c>
      <c r="M96" s="306">
        <f t="shared" ca="1" si="45"/>
        <v>1.4330720255542513</v>
      </c>
      <c r="N96" s="304">
        <f t="shared" ca="1" si="46"/>
        <v>82.108978802522657</v>
      </c>
      <c r="P96" s="310">
        <f t="shared" ca="1" si="47"/>
        <v>9</v>
      </c>
      <c r="Q96" s="304">
        <f t="shared" ca="1" si="48"/>
        <v>25.250000000004885</v>
      </c>
      <c r="R96" s="306">
        <f t="shared" ca="1" si="49"/>
        <v>1.3401432181973948E-2</v>
      </c>
      <c r="S96" s="307">
        <f t="shared" ca="1" si="50"/>
        <v>2.0851916596461653</v>
      </c>
      <c r="T96" s="304">
        <f t="shared" ca="1" si="30"/>
        <v>20.455730181128882</v>
      </c>
      <c r="U96" s="311">
        <f t="shared" ca="1" si="31"/>
        <v>0</v>
      </c>
      <c r="V96" s="306">
        <f t="shared" ca="1" si="32"/>
        <v>1.0993761627007401</v>
      </c>
      <c r="W96" s="304">
        <f t="shared" ca="1" si="33"/>
        <v>62.374462307626523</v>
      </c>
      <c r="Y96" s="314" t="str">
        <f t="shared" ca="1" si="51"/>
        <v/>
      </c>
      <c r="Z96" s="315" t="str">
        <f t="shared" ca="1" si="52"/>
        <v/>
      </c>
      <c r="AA96" s="316" t="str">
        <f t="shared" ca="1" si="53"/>
        <v/>
      </c>
      <c r="AC96" s="310" t="e">
        <f t="shared" ca="1" si="54"/>
        <v>#N/A</v>
      </c>
      <c r="AD96" s="323" t="e">
        <f t="shared" ca="1" si="55"/>
        <v>#N/A</v>
      </c>
      <c r="AE96" s="324">
        <f t="shared" ca="1" si="34"/>
        <v>1080.9251902953195</v>
      </c>
      <c r="AG96" s="306">
        <f t="shared" ca="1" si="56"/>
        <v>-27.600698712339224</v>
      </c>
      <c r="AH96" s="304">
        <f t="shared" ca="1" si="57"/>
        <v>-17.883509729265235</v>
      </c>
    </row>
    <row r="97" spans="1:34" x14ac:dyDescent="0.25">
      <c r="A97" s="347">
        <f t="shared" ca="1" si="35"/>
        <v>0.01</v>
      </c>
      <c r="B97" s="304">
        <f t="shared" ca="1" si="36"/>
        <v>6.6299999999999804</v>
      </c>
      <c r="D97" s="306">
        <f t="shared" ca="1" si="37"/>
        <v>-2.6008017694587759</v>
      </c>
      <c r="E97" s="307">
        <f t="shared" ca="1" si="38"/>
        <v>-28.574567520346527</v>
      </c>
      <c r="F97" s="304">
        <f t="shared" ca="1" si="39"/>
        <v>28.692683367347545</v>
      </c>
      <c r="G97" s="306">
        <f t="shared" ca="1" si="40"/>
        <v>31.093573917858127</v>
      </c>
      <c r="H97" s="307">
        <f t="shared" ca="1" si="41"/>
        <v>224.23943855525542</v>
      </c>
      <c r="I97" s="304">
        <f t="shared" ca="1" si="42"/>
        <v>226.38492914185227</v>
      </c>
      <c r="J97" s="306">
        <f t="shared" ca="1" si="43"/>
        <v>132.71068994426017</v>
      </c>
      <c r="K97" s="307">
        <f t="shared" ca="1" si="44"/>
        <v>1083.169013409248</v>
      </c>
      <c r="L97" s="304">
        <f t="shared" ca="1" si="29"/>
        <v>1091.2686373370423</v>
      </c>
      <c r="M97" s="306">
        <f t="shared" ca="1" si="45"/>
        <v>1.4330125335971606</v>
      </c>
      <c r="N97" s="304">
        <f t="shared" ca="1" si="46"/>
        <v>82.105570164466386</v>
      </c>
      <c r="P97" s="310">
        <f t="shared" ca="1" si="47"/>
        <v>10</v>
      </c>
      <c r="Q97" s="304">
        <f t="shared" ca="1" si="48"/>
        <v>22.875000000004444</v>
      </c>
      <c r="R97" s="306">
        <f t="shared" ca="1" si="49"/>
        <v>1.2140901432184329E-2</v>
      </c>
      <c r="S97" s="307">
        <f t="shared" ca="1" si="50"/>
        <v>2.0850702506318433</v>
      </c>
      <c r="T97" s="304">
        <f t="shared" ca="1" si="30"/>
        <v>20.454539158698385</v>
      </c>
      <c r="U97" s="311">
        <f t="shared" ca="1" si="31"/>
        <v>0</v>
      </c>
      <c r="V97" s="306">
        <f t="shared" ca="1" si="32"/>
        <v>1.0991287858023231</v>
      </c>
      <c r="W97" s="304">
        <f t="shared" ca="1" si="33"/>
        <v>62.202826054353437</v>
      </c>
      <c r="Y97" s="314" t="str">
        <f t="shared" ca="1" si="51"/>
        <v/>
      </c>
      <c r="Z97" s="315" t="str">
        <f t="shared" ca="1" si="52"/>
        <v/>
      </c>
      <c r="AA97" s="316" t="str">
        <f t="shared" ca="1" si="53"/>
        <v/>
      </c>
      <c r="AC97" s="310" t="e">
        <f t="shared" ca="1" si="54"/>
        <v>#N/A</v>
      </c>
      <c r="AD97" s="323" t="e">
        <f t="shared" ca="1" si="55"/>
        <v>#N/A</v>
      </c>
      <c r="AE97" s="324">
        <f t="shared" ca="1" si="34"/>
        <v>1083.169013409248</v>
      </c>
      <c r="AG97" s="306">
        <f t="shared" ca="1" si="56"/>
        <v>-28.661056965180201</v>
      </c>
      <c r="AH97" s="304">
        <f t="shared" ca="1" si="57"/>
        <v>-18.94394795362529</v>
      </c>
    </row>
    <row r="98" spans="1:34" x14ac:dyDescent="0.25">
      <c r="A98" s="347">
        <f t="shared" ca="1" si="35"/>
        <v>0.01</v>
      </c>
      <c r="B98" s="304">
        <f t="shared" ca="1" si="36"/>
        <v>6.6399999999999801</v>
      </c>
      <c r="D98" s="306">
        <f t="shared" ca="1" si="37"/>
        <v>-2.7389683806808689</v>
      </c>
      <c r="E98" s="307">
        <f t="shared" ca="1" si="38"/>
        <v>-29.562786653827757</v>
      </c>
      <c r="F98" s="304">
        <f t="shared" ca="1" si="39"/>
        <v>29.689397139889962</v>
      </c>
      <c r="G98" s="306">
        <f t="shared" ca="1" si="40"/>
        <v>31.066184234051317</v>
      </c>
      <c r="H98" s="307">
        <f t="shared" ca="1" si="41"/>
        <v>223.94381068871715</v>
      </c>
      <c r="I98" s="304">
        <f t="shared" ca="1" si="42"/>
        <v>226.08834146998382</v>
      </c>
      <c r="J98" s="306">
        <f t="shared" ca="1" si="43"/>
        <v>133.02148873501972</v>
      </c>
      <c r="K98" s="307">
        <f t="shared" ca="1" si="44"/>
        <v>1085.409929655468</v>
      </c>
      <c r="L98" s="304">
        <f t="shared" ca="1" si="29"/>
        <v>1093.5307182973731</v>
      </c>
      <c r="M98" s="306">
        <f t="shared" ca="1" si="45"/>
        <v>1.432952938028113</v>
      </c>
      <c r="N98" s="304">
        <f t="shared" ca="1" si="46"/>
        <v>82.102155589882273</v>
      </c>
      <c r="P98" s="310">
        <f t="shared" ca="1" si="47"/>
        <v>10</v>
      </c>
      <c r="Q98" s="304">
        <f t="shared" ca="1" si="48"/>
        <v>20.625000000004487</v>
      </c>
      <c r="R98" s="306">
        <f t="shared" ca="1" si="49"/>
        <v>1.0946714406068092E-2</v>
      </c>
      <c r="S98" s="307">
        <f t="shared" ca="1" si="50"/>
        <v>2.0849607834877828</v>
      </c>
      <c r="T98" s="304">
        <f t="shared" ca="1" si="30"/>
        <v>20.453465286015149</v>
      </c>
      <c r="U98" s="311">
        <f t="shared" ca="1" si="31"/>
        <v>0</v>
      </c>
      <c r="V98" s="306">
        <f t="shared" ca="1" si="32"/>
        <v>1.0988817819275214</v>
      </c>
      <c r="W98" s="304">
        <f t="shared" ca="1" si="33"/>
        <v>62.026006496838122</v>
      </c>
      <c r="Y98" s="314" t="str">
        <f t="shared" ca="1" si="51"/>
        <v/>
      </c>
      <c r="Z98" s="315" t="str">
        <f t="shared" ca="1" si="52"/>
        <v/>
      </c>
      <c r="AA98" s="316" t="str">
        <f t="shared" ca="1" si="53"/>
        <v/>
      </c>
      <c r="AC98" s="310" t="e">
        <f t="shared" ca="1" si="54"/>
        <v>#N/A</v>
      </c>
      <c r="AD98" s="323" t="e">
        <f t="shared" ca="1" si="55"/>
        <v>#N/A</v>
      </c>
      <c r="AE98" s="324">
        <f t="shared" ca="1" si="34"/>
        <v>1085.409929655468</v>
      </c>
      <c r="AG98" s="306">
        <f t="shared" ca="1" si="56"/>
        <v>-29.658807335974828</v>
      </c>
      <c r="AH98" s="304">
        <f t="shared" ca="1" si="57"/>
        <v>-19.941778465874236</v>
      </c>
    </row>
    <row r="99" spans="1:34" x14ac:dyDescent="0.25">
      <c r="A99" s="347">
        <f t="shared" ca="1" si="35"/>
        <v>0.01</v>
      </c>
      <c r="B99" s="304">
        <f t="shared" ca="1" si="36"/>
        <v>6.6499999999999799</v>
      </c>
      <c r="D99" s="306">
        <f t="shared" ca="1" si="37"/>
        <v>-2.8769110327088496</v>
      </c>
      <c r="E99" s="307">
        <f t="shared" ca="1" si="38"/>
        <v>-30.548511521832118</v>
      </c>
      <c r="F99" s="304">
        <f t="shared" ca="1" si="39"/>
        <v>30.683679265851278</v>
      </c>
      <c r="G99" s="306">
        <f t="shared" ca="1" si="40"/>
        <v>31.037415123724227</v>
      </c>
      <c r="H99" s="307">
        <f t="shared" ca="1" si="41"/>
        <v>223.63832557349883</v>
      </c>
      <c r="I99" s="304">
        <f t="shared" ca="1" si="42"/>
        <v>225.78180131020449</v>
      </c>
      <c r="J99" s="306">
        <f t="shared" ca="1" si="43"/>
        <v>133.3320067318086</v>
      </c>
      <c r="K99" s="307">
        <f t="shared" ca="1" si="44"/>
        <v>1087.6478403367792</v>
      </c>
      <c r="L99" s="304">
        <f t="shared" ca="1" si="29"/>
        <v>1095.7897830370528</v>
      </c>
      <c r="M99" s="306">
        <f t="shared" ca="1" si="45"/>
        <v>1.432893235898971</v>
      </c>
      <c r="N99" s="304">
        <f t="shared" ca="1" si="46"/>
        <v>82.0987349098545</v>
      </c>
      <c r="P99" s="310">
        <f t="shared" ca="1" si="47"/>
        <v>10</v>
      </c>
      <c r="Q99" s="304">
        <f t="shared" ca="1" si="48"/>
        <v>18.37500000000453</v>
      </c>
      <c r="R99" s="306">
        <f t="shared" ca="1" si="49"/>
        <v>9.7525273799518551E-3</v>
      </c>
      <c r="S99" s="307">
        <f t="shared" ca="1" si="50"/>
        <v>2.0848632582139834</v>
      </c>
      <c r="T99" s="304">
        <f t="shared" ca="1" si="30"/>
        <v>20.452508563079178</v>
      </c>
      <c r="U99" s="311">
        <f t="shared" ca="1" si="31"/>
        <v>0</v>
      </c>
      <c r="V99" s="306">
        <f t="shared" ca="1" si="32"/>
        <v>1.0986351617306527</v>
      </c>
      <c r="W99" s="304">
        <f t="shared" ca="1" si="33"/>
        <v>61.844042870039999</v>
      </c>
      <c r="Y99" s="314" t="str">
        <f t="shared" ca="1" si="51"/>
        <v/>
      </c>
      <c r="Z99" s="315" t="str">
        <f t="shared" ca="1" si="52"/>
        <v/>
      </c>
      <c r="AA99" s="316" t="str">
        <f t="shared" ca="1" si="53"/>
        <v/>
      </c>
      <c r="AC99" s="310" t="e">
        <f t="shared" ca="1" si="54"/>
        <v>#N/A</v>
      </c>
      <c r="AD99" s="323" t="e">
        <f t="shared" ca="1" si="55"/>
        <v>#N/A</v>
      </c>
      <c r="AE99" s="324">
        <f t="shared" ca="1" si="34"/>
        <v>1087.6478403367792</v>
      </c>
      <c r="AG99" s="306">
        <f t="shared" ca="1" si="56"/>
        <v>-30.654056216138382</v>
      </c>
      <c r="AH99" s="304">
        <f t="shared" ca="1" si="57"/>
        <v>-20.937107661548801</v>
      </c>
    </row>
    <row r="100" spans="1:34" x14ac:dyDescent="0.25">
      <c r="A100" s="347">
        <f t="shared" ca="1" si="35"/>
        <v>0.01</v>
      </c>
      <c r="B100" s="304">
        <f t="shared" ca="1" si="36"/>
        <v>6.6599999999999797</v>
      </c>
      <c r="D100" s="306">
        <f t="shared" ca="1" si="37"/>
        <v>-3.0146298391414841</v>
      </c>
      <c r="E100" s="307">
        <f t="shared" ca="1" si="38"/>
        <v>-31.531743475157377</v>
      </c>
      <c r="F100" s="304">
        <f t="shared" ca="1" si="39"/>
        <v>31.675524299530892</v>
      </c>
      <c r="G100" s="306">
        <f t="shared" ca="1" si="40"/>
        <v>31.007268825332812</v>
      </c>
      <c r="H100" s="307">
        <f t="shared" ca="1" si="41"/>
        <v>223.32300813874727</v>
      </c>
      <c r="I100" s="304">
        <f t="shared" ca="1" si="42"/>
        <v>225.46533366383719</v>
      </c>
      <c r="J100" s="306">
        <f t="shared" ca="1" si="43"/>
        <v>133.64223015155389</v>
      </c>
      <c r="K100" s="307">
        <f t="shared" ca="1" si="44"/>
        <v>1089.8826470053405</v>
      </c>
      <c r="L100" s="304">
        <f t="shared" ca="1" si="29"/>
        <v>1098.0457321638514</v>
      </c>
      <c r="M100" s="306">
        <f t="shared" ca="1" si="45"/>
        <v>1.4328334242408247</v>
      </c>
      <c r="N100" s="304">
        <f t="shared" ca="1" si="46"/>
        <v>82.095307954277033</v>
      </c>
      <c r="P100" s="310">
        <f t="shared" ca="1" si="47"/>
        <v>10</v>
      </c>
      <c r="Q100" s="304">
        <f t="shared" ca="1" si="48"/>
        <v>16.125000000004576</v>
      </c>
      <c r="R100" s="306">
        <f t="shared" ca="1" si="49"/>
        <v>8.5583403538356199E-3</v>
      </c>
      <c r="S100" s="307">
        <f t="shared" ca="1" si="50"/>
        <v>2.0847776748104452</v>
      </c>
      <c r="T100" s="304">
        <f t="shared" ca="1" si="30"/>
        <v>20.451668989890468</v>
      </c>
      <c r="U100" s="311">
        <f t="shared" ca="1" si="31"/>
        <v>0</v>
      </c>
      <c r="V100" s="306">
        <f t="shared" ca="1" si="32"/>
        <v>1.0983889358297478</v>
      </c>
      <c r="W100" s="304">
        <f t="shared" ca="1" si="33"/>
        <v>61.656974998018853</v>
      </c>
      <c r="Y100" s="314" t="str">
        <f t="shared" ca="1" si="51"/>
        <v/>
      </c>
      <c r="Z100" s="315" t="str">
        <f t="shared" ca="1" si="52"/>
        <v/>
      </c>
      <c r="AA100" s="316" t="str">
        <f t="shared" ca="1" si="53"/>
        <v/>
      </c>
      <c r="AC100" s="310" t="e">
        <f t="shared" ca="1" si="54"/>
        <v>#N/A</v>
      </c>
      <c r="AD100" s="323" t="e">
        <f t="shared" ca="1" si="55"/>
        <v>#N/A</v>
      </c>
      <c r="AE100" s="324">
        <f t="shared" ca="1" si="34"/>
        <v>1089.8826470053405</v>
      </c>
      <c r="AG100" s="306">
        <f t="shared" ca="1" si="56"/>
        <v>-31.646804966101381</v>
      </c>
      <c r="AH100" s="304">
        <f t="shared" ca="1" si="57"/>
        <v>-21.929936905234918</v>
      </c>
    </row>
    <row r="101" spans="1:34" x14ac:dyDescent="0.25">
      <c r="A101" s="347">
        <f t="shared" ca="1" si="35"/>
        <v>0.01</v>
      </c>
      <c r="B101" s="304">
        <f t="shared" ca="1" si="36"/>
        <v>6.6699999999999795</v>
      </c>
      <c r="D101" s="306">
        <f t="shared" ca="1" si="37"/>
        <v>-3.1191444889123998</v>
      </c>
      <c r="E101" s="307">
        <f t="shared" ca="1" si="38"/>
        <v>-32.274949557705376</v>
      </c>
      <c r="F101" s="304">
        <f t="shared" ca="1" si="39"/>
        <v>32.425320835654638</v>
      </c>
      <c r="G101" s="306">
        <f t="shared" ca="1" si="40"/>
        <v>30.976077380443687</v>
      </c>
      <c r="H101" s="307">
        <f t="shared" ca="1" si="41"/>
        <v>223.00025864317021</v>
      </c>
      <c r="I101" s="304">
        <f t="shared" ca="1" si="42"/>
        <v>225.14136164818771</v>
      </c>
      <c r="J101" s="306">
        <f t="shared" ca="1" si="43"/>
        <v>133.95214688258278</v>
      </c>
      <c r="K101" s="307">
        <f t="shared" ca="1" si="44"/>
        <v>1092.1142633392501</v>
      </c>
      <c r="L101" s="304">
        <f t="shared" ca="1" si="29"/>
        <v>1100.298478524571</v>
      </c>
      <c r="M101" s="306">
        <f t="shared" ca="1" si="45"/>
        <v>1.4327735007014184</v>
      </c>
      <c r="N101" s="304">
        <f t="shared" ca="1" si="46"/>
        <v>82.091874588375575</v>
      </c>
      <c r="P101" s="310">
        <f t="shared" ca="1" si="47"/>
        <v>11</v>
      </c>
      <c r="Q101" s="304">
        <f t="shared" ca="1" si="48"/>
        <v>14.375000000002567</v>
      </c>
      <c r="R101" s="306">
        <f t="shared" ca="1" si="49"/>
        <v>7.6295282224107972E-3</v>
      </c>
      <c r="S101" s="307">
        <f t="shared" ca="1" si="50"/>
        <v>2.0847013795282212</v>
      </c>
      <c r="T101" s="304">
        <f t="shared" ca="1" si="30"/>
        <v>20.45092053317185</v>
      </c>
      <c r="U101" s="311">
        <f t="shared" ca="1" si="31"/>
        <v>0</v>
      </c>
      <c r="V101" s="306">
        <f t="shared" ca="1" si="32"/>
        <v>1.0981431134984969</v>
      </c>
      <c r="W101" s="304">
        <f t="shared" ca="1" si="33"/>
        <v>61.466152640012687</v>
      </c>
      <c r="Y101" s="314" t="str">
        <f t="shared" ca="1" si="51"/>
        <v/>
      </c>
      <c r="Z101" s="315" t="str">
        <f t="shared" ca="1" si="52"/>
        <v/>
      </c>
      <c r="AA101" s="316" t="str">
        <f t="shared" ca="1" si="53"/>
        <v/>
      </c>
      <c r="AC101" s="310" t="e">
        <f t="shared" ca="1" si="54"/>
        <v>#N/A</v>
      </c>
      <c r="AD101" s="323" t="e">
        <f t="shared" ca="1" si="55"/>
        <v>#N/A</v>
      </c>
      <c r="AE101" s="324">
        <f t="shared" ca="1" si="34"/>
        <v>1092.1142633392501</v>
      </c>
      <c r="AG101" s="306">
        <f t="shared" ca="1" si="56"/>
        <v>-32.397241987172208</v>
      </c>
      <c r="AH101" s="304">
        <f t="shared" ca="1" si="57"/>
        <v>-22.680454602431571</v>
      </c>
    </row>
    <row r="102" spans="1:34" x14ac:dyDescent="0.25">
      <c r="A102" s="347">
        <f t="shared" ca="1" si="35"/>
        <v>0.01</v>
      </c>
      <c r="B102" s="304">
        <f t="shared" ca="1" si="36"/>
        <v>6.6799999999999793</v>
      </c>
      <c r="D102" s="306">
        <f t="shared" ca="1" si="37"/>
        <v>-3.1905003173295423</v>
      </c>
      <c r="E102" s="307">
        <f t="shared" ca="1" si="38"/>
        <v>-32.778769971332409</v>
      </c>
      <c r="F102" s="304">
        <f t="shared" ca="1" si="39"/>
        <v>32.93367658049133</v>
      </c>
      <c r="G102" s="306">
        <f t="shared" ca="1" si="40"/>
        <v>30.944172377270391</v>
      </c>
      <c r="H102" s="307">
        <f t="shared" ca="1" si="41"/>
        <v>222.67247094345689</v>
      </c>
      <c r="I102" s="304">
        <f t="shared" ca="1" si="42"/>
        <v>224.81230197695783</v>
      </c>
      <c r="J102" s="306">
        <f t="shared" ca="1" si="43"/>
        <v>134.26174813137135</v>
      </c>
      <c r="K102" s="307">
        <f t="shared" ca="1" si="44"/>
        <v>1094.3426269871832</v>
      </c>
      <c r="L102" s="304">
        <f t="shared" ca="1" si="29"/>
        <v>1102.5479591620951</v>
      </c>
      <c r="M102" s="306">
        <f t="shared" ca="1" si="45"/>
        <v>1.4327134635515082</v>
      </c>
      <c r="N102" s="304">
        <f t="shared" ca="1" si="46"/>
        <v>82.08843471307172</v>
      </c>
      <c r="P102" s="310">
        <f t="shared" ca="1" si="47"/>
        <v>11</v>
      </c>
      <c r="Q102" s="304">
        <f t="shared" ca="1" si="48"/>
        <v>13.125000000002595</v>
      </c>
      <c r="R102" s="306">
        <f t="shared" ca="1" si="49"/>
        <v>6.9660909856795574E-3</v>
      </c>
      <c r="S102" s="307">
        <f t="shared" ca="1" si="50"/>
        <v>2.0846317186183643</v>
      </c>
      <c r="T102" s="304">
        <f t="shared" ca="1" si="30"/>
        <v>20.450237159646154</v>
      </c>
      <c r="U102" s="311">
        <f t="shared" ca="1" si="31"/>
        <v>0</v>
      </c>
      <c r="V102" s="306">
        <f t="shared" ca="1" si="32"/>
        <v>1.0978977013633759</v>
      </c>
      <c r="W102" s="304">
        <f t="shared" ca="1" si="33"/>
        <v>61.272913594641075</v>
      </c>
      <c r="Y102" s="314" t="str">
        <f t="shared" ca="1" si="51"/>
        <v/>
      </c>
      <c r="Z102" s="315" t="str">
        <f t="shared" ca="1" si="52"/>
        <v/>
      </c>
      <c r="AA102" s="316" t="str">
        <f t="shared" ca="1" si="53"/>
        <v/>
      </c>
      <c r="AC102" s="310" t="e">
        <f t="shared" ca="1" si="54"/>
        <v>#N/A</v>
      </c>
      <c r="AD102" s="323" t="e">
        <f t="shared" ca="1" si="55"/>
        <v>#N/A</v>
      </c>
      <c r="AE102" s="324">
        <f t="shared" ca="1" si="34"/>
        <v>1094.3426269871832</v>
      </c>
      <c r="AG102" s="306">
        <f t="shared" ca="1" si="56"/>
        <v>-32.906007639328294</v>
      </c>
      <c r="AH102" s="304">
        <f t="shared" ca="1" si="57"/>
        <v>-23.189301116481744</v>
      </c>
    </row>
    <row r="103" spans="1:34" x14ac:dyDescent="0.25">
      <c r="A103" s="347">
        <f t="shared" ca="1" si="35"/>
        <v>0.01</v>
      </c>
      <c r="B103" s="304">
        <f t="shared" ca="1" si="36"/>
        <v>6.6899999999999791</v>
      </c>
      <c r="D103" s="306">
        <f t="shared" ca="1" si="37"/>
        <v>-3.2617539301760559</v>
      </c>
      <c r="E103" s="307">
        <f t="shared" ca="1" si="38"/>
        <v>-33.281392234595017</v>
      </c>
      <c r="F103" s="304">
        <f t="shared" ca="1" si="39"/>
        <v>33.440844902214721</v>
      </c>
      <c r="G103" s="306">
        <f t="shared" ca="1" si="40"/>
        <v>30.91155483796863</v>
      </c>
      <c r="H103" s="307">
        <f t="shared" ca="1" si="41"/>
        <v>222.33965702111092</v>
      </c>
      <c r="I103" s="304">
        <f t="shared" ca="1" si="42"/>
        <v>224.47816665940138</v>
      </c>
      <c r="J103" s="306">
        <f t="shared" ca="1" si="43"/>
        <v>134.57102676744753</v>
      </c>
      <c r="K103" s="307">
        <f t="shared" ca="1" si="44"/>
        <v>1096.5676876270061</v>
      </c>
      <c r="L103" s="304">
        <f t="shared" ca="1" si="29"/>
        <v>1104.7941232613814</v>
      </c>
      <c r="M103" s="306">
        <f t="shared" ca="1" si="45"/>
        <v>1.4326533110489921</v>
      </c>
      <c r="N103" s="304">
        <f t="shared" ca="1" si="46"/>
        <v>82.084988228550401</v>
      </c>
      <c r="P103" s="310">
        <f t="shared" ca="1" si="47"/>
        <v>11</v>
      </c>
      <c r="Q103" s="304">
        <f t="shared" ca="1" si="48"/>
        <v>11.875000000002622</v>
      </c>
      <c r="R103" s="306">
        <f t="shared" ca="1" si="49"/>
        <v>6.3026537489483158E-3</v>
      </c>
      <c r="S103" s="307">
        <f t="shared" ca="1" si="50"/>
        <v>2.0845686920808748</v>
      </c>
      <c r="T103" s="304">
        <f t="shared" ca="1" si="30"/>
        <v>20.449618869313383</v>
      </c>
      <c r="U103" s="311">
        <f t="shared" ca="1" si="31"/>
        <v>0</v>
      </c>
      <c r="V103" s="306">
        <f t="shared" ca="1" si="32"/>
        <v>1.0976527047211653</v>
      </c>
      <c r="W103" s="304">
        <f t="shared" ca="1" si="33"/>
        <v>61.077278354799034</v>
      </c>
      <c r="Y103" s="314" t="str">
        <f t="shared" ca="1" si="51"/>
        <v/>
      </c>
      <c r="Z103" s="315" t="str">
        <f t="shared" ca="1" si="52"/>
        <v/>
      </c>
      <c r="AA103" s="316" t="str">
        <f t="shared" ca="1" si="53"/>
        <v/>
      </c>
      <c r="AC103" s="310" t="e">
        <f t="shared" ca="1" si="54"/>
        <v>#N/A</v>
      </c>
      <c r="AD103" s="323" t="e">
        <f t="shared" ca="1" si="55"/>
        <v>#N/A</v>
      </c>
      <c r="AE103" s="324">
        <f t="shared" ca="1" si="34"/>
        <v>1096.5676876270061</v>
      </c>
      <c r="AG103" s="306">
        <f t="shared" ca="1" si="56"/>
        <v>-33.413572367375068</v>
      </c>
      <c r="AH103" s="304">
        <f t="shared" ca="1" si="57"/>
        <v>-23.696946894720977</v>
      </c>
    </row>
    <row r="104" spans="1:34" x14ac:dyDescent="0.25">
      <c r="A104" s="347">
        <f t="shared" ca="1" si="35"/>
        <v>0.01</v>
      </c>
      <c r="B104" s="304">
        <f t="shared" ca="1" si="36"/>
        <v>6.6999999999999789</v>
      </c>
      <c r="D104" s="306">
        <f t="shared" ca="1" si="37"/>
        <v>-3.3329059968712711</v>
      </c>
      <c r="E104" s="307">
        <f t="shared" ca="1" si="38"/>
        <v>-33.782821170345898</v>
      </c>
      <c r="F104" s="304">
        <f t="shared" ca="1" si="39"/>
        <v>33.946830023016162</v>
      </c>
      <c r="G104" s="306">
        <f t="shared" ca="1" si="40"/>
        <v>30.878225777999919</v>
      </c>
      <c r="H104" s="307">
        <f t="shared" ca="1" si="41"/>
        <v>222.00182880940747</v>
      </c>
      <c r="I104" s="304">
        <f t="shared" ca="1" si="42"/>
        <v>224.13896765604724</v>
      </c>
      <c r="J104" s="306">
        <f t="shared" ca="1" si="43"/>
        <v>134.87997567052739</v>
      </c>
      <c r="K104" s="307">
        <f t="shared" ca="1" si="44"/>
        <v>1098.7893950561586</v>
      </c>
      <c r="L104" s="304">
        <f t="shared" ca="1" si="29"/>
        <v>1107.0369201272201</v>
      </c>
      <c r="M104" s="306">
        <f t="shared" ca="1" si="45"/>
        <v>1.4325930414386021</v>
      </c>
      <c r="N104" s="304">
        <f t="shared" ca="1" si="46"/>
        <v>82.081535034242151</v>
      </c>
      <c r="P104" s="310">
        <f t="shared" ca="1" si="47"/>
        <v>11</v>
      </c>
      <c r="Q104" s="304">
        <f t="shared" ca="1" si="48"/>
        <v>10.62500000000265</v>
      </c>
      <c r="R104" s="306">
        <f t="shared" ca="1" si="49"/>
        <v>5.6392165122170759E-3</v>
      </c>
      <c r="S104" s="307">
        <f t="shared" ca="1" si="50"/>
        <v>2.0845122999157528</v>
      </c>
      <c r="T104" s="304">
        <f t="shared" ca="1" si="30"/>
        <v>20.449065662173535</v>
      </c>
      <c r="U104" s="311">
        <f t="shared" ca="1" si="31"/>
        <v>0</v>
      </c>
      <c r="V104" s="306">
        <f t="shared" ca="1" si="32"/>
        <v>1.0974081288512989</v>
      </c>
      <c r="W104" s="304">
        <f t="shared" ca="1" si="33"/>
        <v>60.87926750877476</v>
      </c>
      <c r="Y104" s="314" t="str">
        <f t="shared" ca="1" si="51"/>
        <v/>
      </c>
      <c r="Z104" s="315" t="str">
        <f t="shared" ca="1" si="52"/>
        <v/>
      </c>
      <c r="AA104" s="316" t="str">
        <f t="shared" ca="1" si="53"/>
        <v/>
      </c>
      <c r="AC104" s="310" t="e">
        <f t="shared" ca="1" si="54"/>
        <v>#N/A</v>
      </c>
      <c r="AD104" s="323" t="e">
        <f t="shared" ca="1" si="55"/>
        <v>#N/A</v>
      </c>
      <c r="AE104" s="324">
        <f t="shared" ca="1" si="34"/>
        <v>1098.7893950561586</v>
      </c>
      <c r="AG104" s="306">
        <f t="shared" ca="1" si="56"/>
        <v>-33.919941043822746</v>
      </c>
      <c r="AH104" s="304">
        <f t="shared" ca="1" si="57"/>
        <v>-24.203396812211398</v>
      </c>
    </row>
    <row r="105" spans="1:34" x14ac:dyDescent="0.25">
      <c r="A105" s="347">
        <f t="shared" ca="1" si="35"/>
        <v>0.01</v>
      </c>
      <c r="B105" s="304">
        <f t="shared" ca="1" si="36"/>
        <v>6.7099999999999786</v>
      </c>
      <c r="D105" s="306">
        <f t="shared" ca="1" si="37"/>
        <v>-3.4039572005207761</v>
      </c>
      <c r="E105" s="307">
        <f t="shared" ca="1" si="38"/>
        <v>-34.283061669332447</v>
      </c>
      <c r="F105" s="304">
        <f t="shared" ca="1" si="39"/>
        <v>34.45163627530961</v>
      </c>
      <c r="G105" s="306">
        <f t="shared" ca="1" si="40"/>
        <v>30.84418620599471</v>
      </c>
      <c r="H105" s="307">
        <f t="shared" ca="1" si="41"/>
        <v>221.65899819271414</v>
      </c>
      <c r="I105" s="304">
        <f t="shared" ca="1" si="42"/>
        <v>223.7947168780079</v>
      </c>
      <c r="J105" s="306">
        <f t="shared" ca="1" si="43"/>
        <v>135.18858773044735</v>
      </c>
      <c r="K105" s="307">
        <f t="shared" ca="1" si="44"/>
        <v>1101.0076991911692</v>
      </c>
      <c r="L105" s="304">
        <f t="shared" ca="1" si="29"/>
        <v>1109.2762991837449</v>
      </c>
      <c r="M105" s="306">
        <f t="shared" ca="1" si="45"/>
        <v>1.4325326529515943</v>
      </c>
      <c r="N105" s="304">
        <f t="shared" ca="1" si="46"/>
        <v>82.078075028805429</v>
      </c>
      <c r="P105" s="310">
        <f t="shared" ca="1" si="47"/>
        <v>12</v>
      </c>
      <c r="Q105" s="304">
        <f t="shared" ca="1" si="48"/>
        <v>9.3750000000026787</v>
      </c>
      <c r="R105" s="306">
        <f t="shared" ca="1" si="49"/>
        <v>4.975779275485836E-3</v>
      </c>
      <c r="S105" s="307">
        <f t="shared" ca="1" si="50"/>
        <v>2.0844625421229979</v>
      </c>
      <c r="T105" s="304">
        <f t="shared" ca="1" si="30"/>
        <v>20.448577538226608</v>
      </c>
      <c r="U105" s="311">
        <f t="shared" ca="1" si="31"/>
        <v>0</v>
      </c>
      <c r="V105" s="306">
        <f t="shared" ca="1" si="32"/>
        <v>1.0971639790159518</v>
      </c>
      <c r="W105" s="304">
        <f t="shared" ca="1" si="33"/>
        <v>60.678901738437517</v>
      </c>
      <c r="Y105" s="314" t="str">
        <f t="shared" ca="1" si="51"/>
        <v/>
      </c>
      <c r="Z105" s="315" t="str">
        <f t="shared" ca="1" si="52"/>
        <v/>
      </c>
      <c r="AA105" s="316" t="str">
        <f t="shared" ca="1" si="53"/>
        <v/>
      </c>
      <c r="AC105" s="310" t="e">
        <f t="shared" ca="1" si="54"/>
        <v>#N/A</v>
      </c>
      <c r="AD105" s="323" t="e">
        <f t="shared" ca="1" si="55"/>
        <v>#N/A</v>
      </c>
      <c r="AE105" s="324">
        <f t="shared" ca="1" si="34"/>
        <v>1101.0076991911692</v>
      </c>
      <c r="AG105" s="306">
        <f t="shared" ca="1" si="56"/>
        <v>-34.425118610318769</v>
      </c>
      <c r="AH105" s="304">
        <f t="shared" ca="1" si="57"/>
        <v>-24.708655813174584</v>
      </c>
    </row>
    <row r="106" spans="1:34" x14ac:dyDescent="0.25">
      <c r="A106" s="347">
        <f t="shared" ca="1" si="35"/>
        <v>0.01</v>
      </c>
      <c r="B106" s="304">
        <f t="shared" ca="1" si="36"/>
        <v>6.7199999999999784</v>
      </c>
      <c r="D106" s="306">
        <f t="shared" ca="1" si="37"/>
        <v>-3.4749082378223406</v>
      </c>
      <c r="E106" s="307">
        <f t="shared" ca="1" si="38"/>
        <v>-34.782118689181353</v>
      </c>
      <c r="F106" s="304">
        <f t="shared" ca="1" si="39"/>
        <v>34.955268097521213</v>
      </c>
      <c r="G106" s="306">
        <f t="shared" ca="1" si="40"/>
        <v>30.809437123616487</v>
      </c>
      <c r="H106" s="307">
        <f t="shared" ca="1" si="41"/>
        <v>221.31117700582232</v>
      </c>
      <c r="I106" s="304">
        <f t="shared" ca="1" si="42"/>
        <v>223.44542618629833</v>
      </c>
      <c r="J106" s="306">
        <f t="shared" ca="1" si="43"/>
        <v>135.49685584709542</v>
      </c>
      <c r="K106" s="307">
        <f t="shared" ca="1" si="44"/>
        <v>1103.2225500671618</v>
      </c>
      <c r="L106" s="304">
        <f t="shared" ca="1" si="29"/>
        <v>1111.5122099739344</v>
      </c>
      <c r="M106" s="306">
        <f t="shared" ca="1" si="45"/>
        <v>1.4324721438054295</v>
      </c>
      <c r="N106" s="304">
        <f t="shared" ca="1" si="46"/>
        <v>82.074608110108244</v>
      </c>
      <c r="P106" s="310">
        <f t="shared" ca="1" si="47"/>
        <v>12</v>
      </c>
      <c r="Q106" s="304">
        <f t="shared" ca="1" si="48"/>
        <v>8.1250000000027072</v>
      </c>
      <c r="R106" s="306">
        <f t="shared" ca="1" si="49"/>
        <v>4.3123420387545953E-3</v>
      </c>
      <c r="S106" s="307">
        <f t="shared" ca="1" si="50"/>
        <v>2.0844194187026104</v>
      </c>
      <c r="T106" s="304">
        <f t="shared" ca="1" si="30"/>
        <v>20.448154497472608</v>
      </c>
      <c r="U106" s="311">
        <f t="shared" ca="1" si="31"/>
        <v>0</v>
      </c>
      <c r="V106" s="306">
        <f t="shared" ca="1" si="32"/>
        <v>1.0969202604601285</v>
      </c>
      <c r="W106" s="304">
        <f t="shared" ca="1" si="33"/>
        <v>60.476201817452086</v>
      </c>
      <c r="Y106" s="314" t="str">
        <f t="shared" ca="1" si="51"/>
        <v/>
      </c>
      <c r="Z106" s="315" t="str">
        <f t="shared" ca="1" si="52"/>
        <v/>
      </c>
      <c r="AA106" s="316" t="str">
        <f t="shared" ca="1" si="53"/>
        <v/>
      </c>
      <c r="AC106" s="310" t="e">
        <f t="shared" ca="1" si="54"/>
        <v>#N/A</v>
      </c>
      <c r="AD106" s="323" t="e">
        <f t="shared" ca="1" si="55"/>
        <v>#N/A</v>
      </c>
      <c r="AE106" s="324">
        <f t="shared" ca="1" si="34"/>
        <v>1103.2225500671618</v>
      </c>
      <c r="AG106" s="306">
        <f t="shared" ca="1" si="56"/>
        <v>-34.929110076629868</v>
      </c>
      <c r="AH106" s="304">
        <f t="shared" ca="1" si="57"/>
        <v>-25.212728909974146</v>
      </c>
    </row>
    <row r="107" spans="1:34" x14ac:dyDescent="0.25">
      <c r="A107" s="347">
        <f t="shared" ca="1" si="35"/>
        <v>0.01</v>
      </c>
      <c r="B107" s="304">
        <f t="shared" ca="1" si="36"/>
        <v>6.7299999999999782</v>
      </c>
      <c r="D107" s="306">
        <f t="shared" ca="1" si="37"/>
        <v>-3.545759818973961</v>
      </c>
      <c r="E107" s="307">
        <f t="shared" ca="1" si="38"/>
        <v>-35.27999725339243</v>
      </c>
      <c r="F107" s="304">
        <f t="shared" ca="1" si="39"/>
        <v>35.457730030181395</v>
      </c>
      <c r="G107" s="306">
        <f t="shared" ca="1" si="40"/>
        <v>30.773979525426746</v>
      </c>
      <c r="H107" s="307">
        <f t="shared" ca="1" si="41"/>
        <v>220.9583770332884</v>
      </c>
      <c r="I107" s="304">
        <f t="shared" ca="1" si="42"/>
        <v>223.09110739116477</v>
      </c>
      <c r="J107" s="306">
        <f t="shared" ca="1" si="43"/>
        <v>135.80477293034065</v>
      </c>
      <c r="K107" s="307">
        <f t="shared" ca="1" si="44"/>
        <v>1105.4338978373573</v>
      </c>
      <c r="L107" s="304">
        <f t="shared" ca="1" si="29"/>
        <v>1113.7446021591102</v>
      </c>
      <c r="M107" s="306">
        <f t="shared" ca="1" si="45"/>
        <v>1.4324115122034546</v>
      </c>
      <c r="N107" s="304">
        <f t="shared" ca="1" si="46"/>
        <v>82.071134175209963</v>
      </c>
      <c r="P107" s="310">
        <f t="shared" ca="1" si="47"/>
        <v>12</v>
      </c>
      <c r="Q107" s="304">
        <f t="shared" ca="1" si="48"/>
        <v>6.8750000000027338</v>
      </c>
      <c r="R107" s="306">
        <f t="shared" ca="1" si="49"/>
        <v>3.6489048020233545E-3</v>
      </c>
      <c r="S107" s="307">
        <f t="shared" ca="1" si="50"/>
        <v>2.0843829296545899</v>
      </c>
      <c r="T107" s="304">
        <f t="shared" ca="1" si="30"/>
        <v>20.447796539911529</v>
      </c>
      <c r="U107" s="311">
        <f t="shared" ca="1" si="31"/>
        <v>0</v>
      </c>
      <c r="V107" s="306">
        <f t="shared" ca="1" si="32"/>
        <v>1.096676978411752</v>
      </c>
      <c r="W107" s="304">
        <f t="shared" ca="1" si="33"/>
        <v>60.271188609519903</v>
      </c>
      <c r="Y107" s="314" t="str">
        <f t="shared" ca="1" si="51"/>
        <v/>
      </c>
      <c r="Z107" s="315" t="str">
        <f t="shared" ca="1" si="52"/>
        <v/>
      </c>
      <c r="AA107" s="316" t="str">
        <f t="shared" ca="1" si="53"/>
        <v/>
      </c>
      <c r="AC107" s="310" t="e">
        <f t="shared" ca="1" si="54"/>
        <v>#N/A</v>
      </c>
      <c r="AD107" s="323" t="e">
        <f t="shared" ca="1" si="55"/>
        <v>#N/A</v>
      </c>
      <c r="AE107" s="324">
        <f t="shared" ca="1" si="34"/>
        <v>1105.4338978373573</v>
      </c>
      <c r="AG107" s="306">
        <f t="shared" ca="1" si="56"/>
        <v>-35.431920519633607</v>
      </c>
      <c r="AH107" s="304">
        <f t="shared" ca="1" si="57"/>
        <v>-25.715621182107736</v>
      </c>
    </row>
    <row r="108" spans="1:34" x14ac:dyDescent="0.25">
      <c r="A108" s="347">
        <f t="shared" ca="1" si="35"/>
        <v>0.01</v>
      </c>
      <c r="B108" s="304">
        <f t="shared" ca="1" si="36"/>
        <v>6.739999999999978</v>
      </c>
      <c r="D108" s="306">
        <f t="shared" ca="1" si="37"/>
        <v>-3.6165126675838732</v>
      </c>
      <c r="E108" s="307">
        <f t="shared" ca="1" si="38"/>
        <v>-35.776702450341595</v>
      </c>
      <c r="F108" s="304">
        <f t="shared" ca="1" si="39"/>
        <v>35.959026712288427</v>
      </c>
      <c r="G108" s="306">
        <f t="shared" ca="1" si="40"/>
        <v>30.737814398750906</v>
      </c>
      <c r="H108" s="307">
        <f t="shared" ca="1" si="41"/>
        <v>220.600610008785</v>
      </c>
      <c r="I108" s="304">
        <f t="shared" ca="1" si="42"/>
        <v>222.73177225142379</v>
      </c>
      <c r="J108" s="306">
        <f t="shared" ca="1" si="43"/>
        <v>136.11233189996153</v>
      </c>
      <c r="K108" s="307">
        <f t="shared" ca="1" si="44"/>
        <v>1107.6416927725677</v>
      </c>
      <c r="L108" s="304">
        <f t="shared" ca="1" si="29"/>
        <v>1115.9734255184237</v>
      </c>
      <c r="M108" s="306">
        <f t="shared" ca="1" si="45"/>
        <v>1.4323507563345734</v>
      </c>
      <c r="N108" s="304">
        <f t="shared" ca="1" si="46"/>
        <v>82.067653120342428</v>
      </c>
      <c r="P108" s="310">
        <f t="shared" ca="1" si="47"/>
        <v>12</v>
      </c>
      <c r="Q108" s="304">
        <f t="shared" ca="1" si="48"/>
        <v>5.6250000000027613</v>
      </c>
      <c r="R108" s="306">
        <f t="shared" ca="1" si="49"/>
        <v>2.9854675652921138E-3</v>
      </c>
      <c r="S108" s="307">
        <f t="shared" ca="1" si="50"/>
        <v>2.084353074978937</v>
      </c>
      <c r="T108" s="304">
        <f t="shared" ca="1" si="30"/>
        <v>20.447503665543373</v>
      </c>
      <c r="U108" s="311">
        <f t="shared" ca="1" si="31"/>
        <v>0</v>
      </c>
      <c r="V108" s="306">
        <f t="shared" ca="1" si="32"/>
        <v>1.096434138081755</v>
      </c>
      <c r="W108" s="304">
        <f t="shared" ca="1" si="33"/>
        <v>60.063883066647044</v>
      </c>
      <c r="Y108" s="314" t="str">
        <f t="shared" ca="1" si="51"/>
        <v/>
      </c>
      <c r="Z108" s="315" t="str">
        <f t="shared" ca="1" si="52"/>
        <v/>
      </c>
      <c r="AA108" s="316" t="str">
        <f t="shared" ca="1" si="53"/>
        <v/>
      </c>
      <c r="AC108" s="310" t="e">
        <f t="shared" ca="1" si="54"/>
        <v>#N/A</v>
      </c>
      <c r="AD108" s="323" t="e">
        <f t="shared" ca="1" si="55"/>
        <v>#N/A</v>
      </c>
      <c r="AE108" s="324">
        <f t="shared" ca="1" si="34"/>
        <v>1107.6416927725677</v>
      </c>
      <c r="AG108" s="306">
        <f t="shared" ca="1" si="56"/>
        <v>-35.933555082319273</v>
      </c>
      <c r="AH108" s="304">
        <f t="shared" ca="1" si="57"/>
        <v>-26.217337775208431</v>
      </c>
    </row>
    <row r="109" spans="1:34" x14ac:dyDescent="0.25">
      <c r="A109" s="347">
        <f t="shared" ca="1" si="35"/>
        <v>0.01</v>
      </c>
      <c r="B109" s="304">
        <f t="shared" ca="1" si="36"/>
        <v>6.7499999999999778</v>
      </c>
      <c r="D109" s="306">
        <f t="shared" ca="1" si="37"/>
        <v>-3.6871675205827801</v>
      </c>
      <c r="E109" s="307">
        <f t="shared" ca="1" si="38"/>
        <v>-36.272239432293347</v>
      </c>
      <c r="F109" s="304">
        <f t="shared" ca="1" si="39"/>
        <v>36.459162877916668</v>
      </c>
      <c r="G109" s="306">
        <f t="shared" ca="1" si="40"/>
        <v>30.700942723545079</v>
      </c>
      <c r="H109" s="307">
        <f t="shared" ca="1" si="41"/>
        <v>220.23788761446207</v>
      </c>
      <c r="I109" s="304">
        <f t="shared" ca="1" si="42"/>
        <v>222.36743247381082</v>
      </c>
      <c r="J109" s="306">
        <f t="shared" ca="1" si="43"/>
        <v>136.41952568557301</v>
      </c>
      <c r="K109" s="307">
        <f t="shared" ca="1" si="44"/>
        <v>1109.8458852606839</v>
      </c>
      <c r="L109" s="304">
        <f t="shared" ca="1" si="29"/>
        <v>1118.1986299483415</v>
      </c>
      <c r="M109" s="306">
        <f t="shared" ca="1" si="45"/>
        <v>1.4322898743729153</v>
      </c>
      <c r="N109" s="304">
        <f t="shared" ca="1" si="46"/>
        <v>82.064164840890939</v>
      </c>
      <c r="P109" s="310">
        <f t="shared" ca="1" si="47"/>
        <v>12</v>
      </c>
      <c r="Q109" s="304">
        <f t="shared" ca="1" si="48"/>
        <v>4.3750000000027898</v>
      </c>
      <c r="R109" s="306">
        <f t="shared" ca="1" si="49"/>
        <v>2.3220303285608739E-3</v>
      </c>
      <c r="S109" s="307">
        <f t="shared" ca="1" si="50"/>
        <v>2.0843298546756515</v>
      </c>
      <c r="T109" s="304">
        <f t="shared" ca="1" si="30"/>
        <v>20.447275874368142</v>
      </c>
      <c r="U109" s="311">
        <f t="shared" ca="1" si="31"/>
        <v>0</v>
      </c>
      <c r="V109" s="306">
        <f t="shared" ca="1" si="32"/>
        <v>1.09619174466417</v>
      </c>
      <c r="W109" s="304">
        <f t="shared" ca="1" si="33"/>
        <v>59.854306227438421</v>
      </c>
      <c r="Y109" s="314" t="str">
        <f t="shared" ca="1" si="51"/>
        <v/>
      </c>
      <c r="Z109" s="315" t="str">
        <f t="shared" ca="1" si="52"/>
        <v/>
      </c>
      <c r="AA109" s="316" t="str">
        <f t="shared" ca="1" si="53"/>
        <v/>
      </c>
      <c r="AC109" s="310" t="e">
        <f t="shared" ca="1" si="54"/>
        <v>#N/A</v>
      </c>
      <c r="AD109" s="323" t="e">
        <f t="shared" ca="1" si="55"/>
        <v>#N/A</v>
      </c>
      <c r="AE109" s="324">
        <f t="shared" ca="1" si="34"/>
        <v>1109.8458852606839</v>
      </c>
      <c r="AG109" s="306">
        <f t="shared" ca="1" si="56"/>
        <v>-36.434018972798434</v>
      </c>
      <c r="AH109" s="304">
        <f t="shared" ca="1" si="57"/>
        <v>-26.71788390005581</v>
      </c>
    </row>
    <row r="110" spans="1:34" x14ac:dyDescent="0.25">
      <c r="A110" s="347">
        <f t="shared" ca="1" si="35"/>
        <v>0.01</v>
      </c>
      <c r="B110" s="304">
        <f t="shared" ca="1" si="36"/>
        <v>6.7599999999999776</v>
      </c>
      <c r="D110" s="306">
        <f t="shared" ca="1" si="37"/>
        <v>-3.757725128138123</v>
      </c>
      <c r="E110" s="307">
        <f t="shared" ca="1" si="38"/>
        <v>-36.766613414422245</v>
      </c>
      <c r="F110" s="304">
        <f t="shared" ca="1" si="39"/>
        <v>36.958143353044868</v>
      </c>
      <c r="G110" s="306">
        <f t="shared" ca="1" si="40"/>
        <v>30.663365472263699</v>
      </c>
      <c r="H110" s="307">
        <f t="shared" ca="1" si="41"/>
        <v>219.87022148031784</v>
      </c>
      <c r="I110" s="304">
        <f t="shared" ca="1" si="42"/>
        <v>221.99809971233904</v>
      </c>
      <c r="J110" s="306">
        <f t="shared" ca="1" si="43"/>
        <v>136.72634722655204</v>
      </c>
      <c r="K110" s="307">
        <f t="shared" ca="1" si="44"/>
        <v>1112.0464258061577</v>
      </c>
      <c r="L110" s="304">
        <f t="shared" ca="1" si="29"/>
        <v>1120.4201654621206</v>
      </c>
      <c r="M110" s="306">
        <f t="shared" ca="1" si="45"/>
        <v>1.4322288644774972</v>
      </c>
      <c r="N110" s="304">
        <f t="shared" ca="1" si="46"/>
        <v>82.060669231374945</v>
      </c>
      <c r="P110" s="310">
        <f t="shared" ca="1" si="47"/>
        <v>12</v>
      </c>
      <c r="Q110" s="304">
        <f t="shared" ca="1" si="48"/>
        <v>3.1250000000028173</v>
      </c>
      <c r="R110" s="306">
        <f t="shared" ca="1" si="49"/>
        <v>1.6585930918296332E-3</v>
      </c>
      <c r="S110" s="307">
        <f t="shared" ca="1" si="50"/>
        <v>2.084313268744733</v>
      </c>
      <c r="T110" s="304">
        <f t="shared" ca="1" si="30"/>
        <v>20.447113166385833</v>
      </c>
      <c r="U110" s="311">
        <f t="shared" ca="1" si="31"/>
        <v>0</v>
      </c>
      <c r="V110" s="306">
        <f t="shared" ca="1" si="32"/>
        <v>1.0959498033362225</v>
      </c>
      <c r="W110" s="304">
        <f t="shared" ca="1" si="33"/>
        <v>59.642479215419037</v>
      </c>
      <c r="Y110" s="314" t="str">
        <f t="shared" ca="1" si="51"/>
        <v/>
      </c>
      <c r="Z110" s="315" t="str">
        <f t="shared" ca="1" si="52"/>
        <v/>
      </c>
      <c r="AA110" s="316" t="str">
        <f t="shared" ca="1" si="53"/>
        <v/>
      </c>
      <c r="AC110" s="310" t="e">
        <f t="shared" ca="1" si="54"/>
        <v>#N/A</v>
      </c>
      <c r="AD110" s="323" t="e">
        <f t="shared" ca="1" si="55"/>
        <v>#N/A</v>
      </c>
      <c r="AE110" s="324">
        <f t="shared" ca="1" si="34"/>
        <v>1112.0464258061577</v>
      </c>
      <c r="AG110" s="306">
        <f t="shared" ca="1" si="56"/>
        <v>-36.933317463324798</v>
      </c>
      <c r="AH110" s="304">
        <f t="shared" ca="1" si="57"/>
        <v>-27.217264831596324</v>
      </c>
    </row>
    <row r="111" spans="1:34" x14ac:dyDescent="0.25">
      <c r="A111" s="347">
        <f t="shared" ca="1" si="35"/>
        <v>0.01</v>
      </c>
      <c r="B111" s="304">
        <f t="shared" ca="1" si="36"/>
        <v>6.7699999999999774</v>
      </c>
      <c r="D111" s="306">
        <f t="shared" ca="1" si="37"/>
        <v>-3.8281862535705797</v>
      </c>
      <c r="E111" s="307">
        <f t="shared" ca="1" si="38"/>
        <v>-37.259829673844145</v>
      </c>
      <c r="F111" s="304">
        <f t="shared" ca="1" si="39"/>
        <v>37.455973052584064</v>
      </c>
      <c r="G111" s="306">
        <f t="shared" ca="1" si="40"/>
        <v>30.625083609727994</v>
      </c>
      <c r="H111" s="307">
        <f t="shared" ca="1" si="41"/>
        <v>219.49762318357941</v>
      </c>
      <c r="I111" s="304">
        <f t="shared" ca="1" si="42"/>
        <v>221.62378556766745</v>
      </c>
      <c r="J111" s="306">
        <f t="shared" ca="1" si="43"/>
        <v>137.03278947196199</v>
      </c>
      <c r="K111" s="307">
        <f t="shared" ca="1" si="44"/>
        <v>1114.2432650294772</v>
      </c>
      <c r="L111" s="304">
        <f t="shared" ca="1" si="29"/>
        <v>1122.6379821892795</v>
      </c>
      <c r="M111" s="306">
        <f t="shared" ca="1" si="45"/>
        <v>1.4321677247918803</v>
      </c>
      <c r="N111" s="304">
        <f t="shared" ca="1" si="46"/>
        <v>82.057166185428329</v>
      </c>
      <c r="P111" s="310">
        <f t="shared" ca="1" si="47"/>
        <v>12</v>
      </c>
      <c r="Q111" s="304">
        <f t="shared" ca="1" si="48"/>
        <v>1.8750000000028457</v>
      </c>
      <c r="R111" s="306">
        <f t="shared" ca="1" si="49"/>
        <v>9.9515585509839309E-4</v>
      </c>
      <c r="S111" s="307">
        <f t="shared" ca="1" si="50"/>
        <v>2.084303317186182</v>
      </c>
      <c r="T111" s="304">
        <f t="shared" ca="1" si="30"/>
        <v>20.447015541596446</v>
      </c>
      <c r="U111" s="311">
        <f t="shared" ca="1" si="31"/>
        <v>0</v>
      </c>
      <c r="V111" s="306">
        <f t="shared" ca="1" si="32"/>
        <v>1.0957083192584214</v>
      </c>
      <c r="W111" s="304">
        <f t="shared" ca="1" si="33"/>
        <v>59.428423237381239</v>
      </c>
      <c r="Y111" s="314" t="str">
        <f t="shared" ca="1" si="51"/>
        <v/>
      </c>
      <c r="Z111" s="315" t="str">
        <f t="shared" ca="1" si="52"/>
        <v/>
      </c>
      <c r="AA111" s="316" t="str">
        <f t="shared" ca="1" si="53"/>
        <v/>
      </c>
      <c r="AC111" s="310" t="e">
        <f t="shared" ca="1" si="54"/>
        <v>#N/A</v>
      </c>
      <c r="AD111" s="323" t="e">
        <f t="shared" ca="1" si="55"/>
        <v>#N/A</v>
      </c>
      <c r="AE111" s="324">
        <f t="shared" ca="1" si="34"/>
        <v>1114.2432650294772</v>
      </c>
      <c r="AG111" s="306">
        <f t="shared" ca="1" si="56"/>
        <v>-37.431455889323956</v>
      </c>
      <c r="AH111" s="304">
        <f t="shared" ca="1" si="57"/>
        <v>-27.715485907973566</v>
      </c>
    </row>
    <row r="112" spans="1:34" x14ac:dyDescent="0.25">
      <c r="A112" s="347">
        <f t="shared" ca="1" si="35"/>
        <v>0.01</v>
      </c>
      <c r="B112" s="304">
        <f t="shared" ca="1" si="36"/>
        <v>6.7799999999999772</v>
      </c>
      <c r="D112" s="306">
        <f t="shared" ca="1" si="37"/>
        <v>-3.8985516732726997</v>
      </c>
      <c r="E112" s="307">
        <f t="shared" ca="1" si="38"/>
        <v>-37.751893548656504</v>
      </c>
      <c r="F112" s="304">
        <f t="shared" ca="1" si="39"/>
        <v>37.952656977585505</v>
      </c>
      <c r="G112" s="306">
        <f t="shared" ca="1" si="40"/>
        <v>30.586098092995268</v>
      </c>
      <c r="H112" s="307">
        <f t="shared" ca="1" si="41"/>
        <v>219.12010424809284</v>
      </c>
      <c r="I112" s="304">
        <f t="shared" ca="1" si="42"/>
        <v>221.24450158647875</v>
      </c>
      <c r="J112" s="306">
        <f t="shared" ca="1" si="43"/>
        <v>137.33884538047562</v>
      </c>
      <c r="K112" s="307">
        <f t="shared" ca="1" si="44"/>
        <v>1116.4363536666356</v>
      </c>
      <c r="L112" s="304">
        <f t="shared" ca="1" si="29"/>
        <v>1124.8520303750602</v>
      </c>
      <c r="M112" s="306">
        <f t="shared" ca="1" si="45"/>
        <v>1.4321064534438201</v>
      </c>
      <c r="N112" s="304">
        <f t="shared" ca="1" si="46"/>
        <v>82.053655595779418</v>
      </c>
      <c r="P112" s="310">
        <f t="shared" ca="1" si="47"/>
        <v>12</v>
      </c>
      <c r="Q112" s="304">
        <f t="shared" ca="1" si="48"/>
        <v>0.62500000000287237</v>
      </c>
      <c r="R112" s="306">
        <f t="shared" ca="1" si="49"/>
        <v>3.3171861836715213E-4</v>
      </c>
      <c r="S112" s="307">
        <f t="shared" ca="1" si="50"/>
        <v>2.0842999999999985</v>
      </c>
      <c r="T112" s="304">
        <f t="shared" ca="1" si="30"/>
        <v>20.446982999999985</v>
      </c>
      <c r="U112" s="311">
        <f t="shared" ca="1" si="31"/>
        <v>0</v>
      </c>
      <c r="V112" s="306">
        <f t="shared" ca="1" si="32"/>
        <v>1.0954672975746542</v>
      </c>
      <c r="W112" s="304">
        <f t="shared" ca="1" si="33"/>
        <v>59.212159581758733</v>
      </c>
      <c r="Y112" s="314" t="str">
        <f t="shared" ca="1" si="51"/>
        <v/>
      </c>
      <c r="Z112" s="315" t="str">
        <f t="shared" ca="1" si="52"/>
        <v/>
      </c>
      <c r="AA112" s="316" t="str">
        <f t="shared" ca="1" si="53"/>
        <v/>
      </c>
      <c r="AC112" s="310" t="e">
        <f t="shared" ca="1" si="54"/>
        <v>#N/A</v>
      </c>
      <c r="AD112" s="323" t="e">
        <f t="shared" ca="1" si="55"/>
        <v>#N/A</v>
      </c>
      <c r="AE112" s="324">
        <f t="shared" ca="1" si="34"/>
        <v>1116.4363536666356</v>
      </c>
      <c r="AG112" s="306">
        <f t="shared" ca="1" si="56"/>
        <v>-37.928439648432537</v>
      </c>
      <c r="AH112" s="304">
        <f t="shared" ca="1" si="57"/>
        <v>-28.212552529567919</v>
      </c>
    </row>
    <row r="113" spans="1:34" x14ac:dyDescent="0.25">
      <c r="A113" s="347">
        <f t="shared" ca="1" si="35"/>
        <v>0.01</v>
      </c>
      <c r="B113" s="304">
        <f t="shared" ca="1" si="36"/>
        <v>6.7899999999999769</v>
      </c>
      <c r="D113" s="306">
        <f t="shared" ca="1" si="37"/>
        <v>-3.9273740218606759</v>
      </c>
      <c r="E113" s="307">
        <f t="shared" ca="1" si="38"/>
        <v>-37.945874097927096</v>
      </c>
      <c r="F113" s="304">
        <f t="shared" ca="1" si="39"/>
        <v>38.148573076372344</v>
      </c>
      <c r="G113" s="306">
        <f t="shared" ca="1" si="40"/>
        <v>30.54682435277666</v>
      </c>
      <c r="H113" s="307">
        <f t="shared" ca="1" si="41"/>
        <v>218.74064550711358</v>
      </c>
      <c r="I113" s="304">
        <f t="shared" ca="1" si="42"/>
        <v>220.86325741260839</v>
      </c>
      <c r="J113" s="306">
        <f t="shared" ca="1" si="43"/>
        <v>137.64450999270449</v>
      </c>
      <c r="K113" s="307">
        <f t="shared" ca="1" si="44"/>
        <v>1118.6256574154115</v>
      </c>
      <c r="L113" s="304">
        <f t="shared" ca="1" si="29"/>
        <v>1127.0622753686655</v>
      </c>
      <c r="M113" s="306">
        <f t="shared" ca="1" si="45"/>
        <v>1.4320450493784653</v>
      </c>
      <c r="N113" s="304">
        <f t="shared" ca="1" si="46"/>
        <v>82.05013740198963</v>
      </c>
      <c r="P113" s="310">
        <f t="shared" ca="1" si="47"/>
        <v>13</v>
      </c>
      <c r="Q113" s="304">
        <f t="shared" ca="1" si="48"/>
        <v>0</v>
      </c>
      <c r="R113" s="306">
        <f t="shared" ca="1" si="49"/>
        <v>0</v>
      </c>
      <c r="S113" s="307">
        <f t="shared" ca="1" si="50"/>
        <v>2.0842999999999985</v>
      </c>
      <c r="T113" s="304">
        <f t="shared" ca="1" si="30"/>
        <v>20.446982999999985</v>
      </c>
      <c r="U113" s="311">
        <f t="shared" ca="1" si="31"/>
        <v>0</v>
      </c>
      <c r="V113" s="306">
        <f t="shared" ca="1" si="32"/>
        <v>1.0952267417811143</v>
      </c>
      <c r="W113" s="304">
        <f t="shared" ca="1" si="33"/>
        <v>58.995311205212097</v>
      </c>
      <c r="Y113" s="314" t="str">
        <f t="shared" ca="1" si="51"/>
        <v>Fin de propulsion</v>
      </c>
      <c r="Z113" s="315" t="str">
        <f t="shared" ca="1" si="52"/>
        <v/>
      </c>
      <c r="AA113" s="316" t="str">
        <f t="shared" ca="1" si="53"/>
        <v/>
      </c>
      <c r="AC113" s="310" t="e">
        <f t="shared" ca="1" si="54"/>
        <v>#N/A</v>
      </c>
      <c r="AD113" s="323" t="e">
        <f t="shared" ca="1" si="55"/>
        <v>#N/A</v>
      </c>
      <c r="AE113" s="324">
        <f t="shared" ca="1" si="34"/>
        <v>1118.6256574154115</v>
      </c>
      <c r="AG113" s="306">
        <f t="shared" ca="1" si="56"/>
        <v>-38.124459024832973</v>
      </c>
      <c r="AH113" s="304">
        <f t="shared" ca="1" si="57"/>
        <v>-28.408654983331946</v>
      </c>
    </row>
    <row r="114" spans="1:34" x14ac:dyDescent="0.25">
      <c r="A114" s="347">
        <f t="shared" ca="1" si="35"/>
        <v>0.01</v>
      </c>
      <c r="B114" s="304">
        <f t="shared" ca="1" si="36"/>
        <v>6.7999999999999767</v>
      </c>
      <c r="D114" s="306">
        <f t="shared" ca="1" si="37"/>
        <v>-3.9147124088160106</v>
      </c>
      <c r="E114" s="307">
        <f t="shared" ca="1" si="38"/>
        <v>-37.842593810403251</v>
      </c>
      <c r="F114" s="304">
        <f t="shared" ca="1" si="39"/>
        <v>38.044538103950067</v>
      </c>
      <c r="G114" s="306">
        <f t="shared" ca="1" si="40"/>
        <v>30.5076772286885</v>
      </c>
      <c r="H114" s="307">
        <f t="shared" ca="1" si="41"/>
        <v>218.36221956900954</v>
      </c>
      <c r="I114" s="304">
        <f t="shared" ca="1" si="42"/>
        <v>220.48305446222884</v>
      </c>
      <c r="J114" s="306">
        <f t="shared" ca="1" si="43"/>
        <v>137.9497825006118</v>
      </c>
      <c r="K114" s="307">
        <f t="shared" ca="1" si="44"/>
        <v>1120.8111717407921</v>
      </c>
      <c r="L114" s="304">
        <f t="shared" ca="1" si="29"/>
        <v>1129.2687125706323</v>
      </c>
      <c r="M114" s="306">
        <f t="shared" ca="1" si="45"/>
        <v>1.4319835123691975</v>
      </c>
      <c r="N114" s="304">
        <f t="shared" ca="1" si="46"/>
        <v>82.046611591074736</v>
      </c>
      <c r="P114" s="310">
        <f t="shared" ca="1" si="47"/>
        <v>13</v>
      </c>
      <c r="Q114" s="304">
        <f t="shared" ca="1" si="48"/>
        <v>0</v>
      </c>
      <c r="R114" s="306">
        <f t="shared" ca="1" si="49"/>
        <v>0</v>
      </c>
      <c r="S114" s="307">
        <f t="shared" ca="1" si="50"/>
        <v>2.0842999999999985</v>
      </c>
      <c r="T114" s="304">
        <f t="shared" ca="1" si="30"/>
        <v>20.446982999999985</v>
      </c>
      <c r="U114" s="311">
        <f t="shared" ca="1" si="31"/>
        <v>0</v>
      </c>
      <c r="V114" s="306">
        <f t="shared" ca="1" si="32"/>
        <v>1.0949866521017424</v>
      </c>
      <c r="W114" s="304">
        <f t="shared" ca="1" si="33"/>
        <v>58.779484050838398</v>
      </c>
      <c r="Y114" s="314" t="str">
        <f t="shared" ca="1" si="51"/>
        <v/>
      </c>
      <c r="Z114" s="315" t="str">
        <f t="shared" ca="1" si="52"/>
        <v/>
      </c>
      <c r="AA114" s="316" t="str">
        <f t="shared" ca="1" si="53"/>
        <v/>
      </c>
      <c r="AC114" s="310" t="e">
        <f t="shared" ca="1" si="54"/>
        <v>#N/A</v>
      </c>
      <c r="AD114" s="323" t="e">
        <f t="shared" ca="1" si="55"/>
        <v>#N/A</v>
      </c>
      <c r="AE114" s="324">
        <f t="shared" ca="1" si="34"/>
        <v>1120.8111717407921</v>
      </c>
      <c r="AG114" s="306">
        <f t="shared" ca="1" si="56"/>
        <v>-38.020336784254411</v>
      </c>
      <c r="AH114" s="304">
        <f t="shared" ca="1" si="57"/>
        <v>-28.304616036660818</v>
      </c>
    </row>
    <row r="115" spans="1:34" x14ac:dyDescent="0.25">
      <c r="A115" s="347">
        <f t="shared" ca="1" si="35"/>
        <v>0.01</v>
      </c>
      <c r="B115" s="304">
        <f t="shared" ca="1" si="36"/>
        <v>6.8099999999999765</v>
      </c>
      <c r="D115" s="306">
        <f t="shared" ca="1" si="37"/>
        <v>-3.9021096344244355</v>
      </c>
      <c r="E115" s="307">
        <f t="shared" ca="1" si="38"/>
        <v>-37.739799911914361</v>
      </c>
      <c r="F115" s="304">
        <f t="shared" ca="1" si="39"/>
        <v>37.940993094414374</v>
      </c>
      <c r="G115" s="306">
        <f t="shared" ca="1" si="40"/>
        <v>30.468656132344258</v>
      </c>
      <c r="H115" s="307">
        <f t="shared" ca="1" si="41"/>
        <v>217.98482156989039</v>
      </c>
      <c r="I115" s="304">
        <f t="shared" ca="1" si="42"/>
        <v>220.10388783792072</v>
      </c>
      <c r="J115" s="306">
        <f t="shared" ca="1" si="43"/>
        <v>138.25466416741696</v>
      </c>
      <c r="K115" s="307">
        <f t="shared" ca="1" si="44"/>
        <v>1122.9929069464865</v>
      </c>
      <c r="L115" s="304">
        <f t="shared" ca="1" si="29"/>
        <v>1131.4713523621203</v>
      </c>
      <c r="M115" s="306">
        <f t="shared" ca="1" si="45"/>
        <v>1.4319218421886413</v>
      </c>
      <c r="N115" s="304">
        <f t="shared" ca="1" si="46"/>
        <v>82.043078150007048</v>
      </c>
      <c r="P115" s="310">
        <f t="shared" ca="1" si="47"/>
        <v>13</v>
      </c>
      <c r="Q115" s="304">
        <f t="shared" ca="1" si="48"/>
        <v>0</v>
      </c>
      <c r="R115" s="306">
        <f t="shared" ca="1" si="49"/>
        <v>0</v>
      </c>
      <c r="S115" s="307">
        <f t="shared" ca="1" si="50"/>
        <v>2.0842999999999985</v>
      </c>
      <c r="T115" s="304">
        <f t="shared" ca="1" si="30"/>
        <v>20.446982999999985</v>
      </c>
      <c r="U115" s="311">
        <f t="shared" ca="1" si="31"/>
        <v>0</v>
      </c>
      <c r="V115" s="306">
        <f t="shared" ca="1" si="32"/>
        <v>1.0947470271310802</v>
      </c>
      <c r="W115" s="304">
        <f t="shared" ca="1" si="33"/>
        <v>58.564671710391963</v>
      </c>
      <c r="Y115" s="314" t="str">
        <f t="shared" ca="1" si="51"/>
        <v/>
      </c>
      <c r="Z115" s="315" t="str">
        <f t="shared" ca="1" si="52"/>
        <v/>
      </c>
      <c r="AA115" s="316" t="str">
        <f t="shared" ca="1" si="53"/>
        <v/>
      </c>
      <c r="AC115" s="310" t="e">
        <f t="shared" ca="1" si="54"/>
        <v>#N/A</v>
      </c>
      <c r="AD115" s="323" t="e">
        <f t="shared" ca="1" si="55"/>
        <v>#N/A</v>
      </c>
      <c r="AE115" s="324">
        <f t="shared" ca="1" si="34"/>
        <v>1122.9929069464865</v>
      </c>
      <c r="AG115" s="306">
        <f t="shared" ca="1" si="56"/>
        <v>-37.916704285889075</v>
      </c>
      <c r="AH115" s="304">
        <f t="shared" ca="1" si="57"/>
        <v>-28.201067049291581</v>
      </c>
    </row>
    <row r="116" spans="1:34" x14ac:dyDescent="0.25">
      <c r="A116" s="347">
        <f t="shared" ca="1" si="35"/>
        <v>0.01</v>
      </c>
      <c r="B116" s="304">
        <f t="shared" ca="1" si="36"/>
        <v>6.8199999999999763</v>
      </c>
      <c r="D116" s="306">
        <f t="shared" ca="1" si="37"/>
        <v>-3.8895653281513645</v>
      </c>
      <c r="E116" s="307">
        <f t="shared" ca="1" si="38"/>
        <v>-37.637489350324458</v>
      </c>
      <c r="F116" s="304">
        <f t="shared" ca="1" si="39"/>
        <v>37.837934973221572</v>
      </c>
      <c r="G116" s="306">
        <f t="shared" ca="1" si="40"/>
        <v>30.429760479062743</v>
      </c>
      <c r="H116" s="307">
        <f t="shared" ca="1" si="41"/>
        <v>217.60844667638713</v>
      </c>
      <c r="I116" s="304">
        <f t="shared" ca="1" si="42"/>
        <v>219.72575267301542</v>
      </c>
      <c r="J116" s="306">
        <f t="shared" ca="1" si="43"/>
        <v>138.55915625047399</v>
      </c>
      <c r="K116" s="307">
        <f t="shared" ca="1" si="44"/>
        <v>1125.170873287718</v>
      </c>
      <c r="L116" s="304">
        <f t="shared" ca="1" si="29"/>
        <v>1133.6702050754836</v>
      </c>
      <c r="M116" s="306">
        <f t="shared" ca="1" si="45"/>
        <v>1.4318600386086593</v>
      </c>
      <c r="N116" s="304">
        <f t="shared" ca="1" si="46"/>
        <v>82.03953706571528</v>
      </c>
      <c r="P116" s="310">
        <f t="shared" ca="1" si="47"/>
        <v>13</v>
      </c>
      <c r="Q116" s="304">
        <f t="shared" ca="1" si="48"/>
        <v>0</v>
      </c>
      <c r="R116" s="306">
        <f t="shared" ca="1" si="49"/>
        <v>0</v>
      </c>
      <c r="S116" s="307">
        <f t="shared" ca="1" si="50"/>
        <v>2.0842999999999985</v>
      </c>
      <c r="T116" s="304">
        <f t="shared" ca="1" si="30"/>
        <v>20.446982999999985</v>
      </c>
      <c r="U116" s="311">
        <f t="shared" ca="1" si="31"/>
        <v>0</v>
      </c>
      <c r="V116" s="306">
        <f t="shared" ca="1" si="32"/>
        <v>1.0945078654705389</v>
      </c>
      <c r="W116" s="304">
        <f t="shared" ca="1" si="33"/>
        <v>58.350867826227578</v>
      </c>
      <c r="Y116" s="314" t="str">
        <f t="shared" ca="1" si="51"/>
        <v/>
      </c>
      <c r="Z116" s="315" t="str">
        <f t="shared" ca="1" si="52"/>
        <v/>
      </c>
      <c r="AA116" s="316" t="str">
        <f t="shared" ca="1" si="53"/>
        <v/>
      </c>
      <c r="AC116" s="310" t="e">
        <f t="shared" ca="1" si="54"/>
        <v>#N/A</v>
      </c>
      <c r="AD116" s="323" t="e">
        <f t="shared" ca="1" si="55"/>
        <v>#N/A</v>
      </c>
      <c r="AE116" s="324">
        <f t="shared" ca="1" si="34"/>
        <v>1125.170873287718</v>
      </c>
      <c r="AG116" s="306">
        <f t="shared" ca="1" si="56"/>
        <v>-37.813558454658711</v>
      </c>
      <c r="AH116" s="304">
        <f t="shared" ca="1" si="57"/>
        <v>-28.098004946692896</v>
      </c>
    </row>
    <row r="117" spans="1:34" x14ac:dyDescent="0.25">
      <c r="A117" s="347">
        <f t="shared" ca="1" si="35"/>
        <v>0.01</v>
      </c>
      <c r="B117" s="304">
        <f t="shared" ca="1" si="36"/>
        <v>6.8299999999999761</v>
      </c>
      <c r="D117" s="306">
        <f t="shared" ca="1" si="37"/>
        <v>-3.8770791223868177</v>
      </c>
      <c r="E117" s="307">
        <f t="shared" ca="1" si="38"/>
        <v>-37.535659097597701</v>
      </c>
      <c r="F117" s="304">
        <f t="shared" ca="1" si="39"/>
        <v>37.735360690104933</v>
      </c>
      <c r="G117" s="306">
        <f t="shared" ca="1" si="40"/>
        <v>30.390989687838875</v>
      </c>
      <c r="H117" s="307">
        <f t="shared" ca="1" si="41"/>
        <v>217.23309008541116</v>
      </c>
      <c r="I117" s="304">
        <f t="shared" ca="1" si="42"/>
        <v>219.34864413135244</v>
      </c>
      <c r="J117" s="306">
        <f t="shared" ca="1" si="43"/>
        <v>138.8632600013085</v>
      </c>
      <c r="K117" s="307">
        <f t="shared" ca="1" si="44"/>
        <v>1127.3450809715271</v>
      </c>
      <c r="L117" s="304">
        <f t="shared" ca="1" si="29"/>
        <v>1135.8652809945772</v>
      </c>
      <c r="M117" s="306">
        <f t="shared" ca="1" si="45"/>
        <v>1.4317981014003527</v>
      </c>
      <c r="N117" s="304">
        <f t="shared" ca="1" si="46"/>
        <v>82.035988325084489</v>
      </c>
      <c r="P117" s="310">
        <f t="shared" ca="1" si="47"/>
        <v>13</v>
      </c>
      <c r="Q117" s="304">
        <f t="shared" ca="1" si="48"/>
        <v>0</v>
      </c>
      <c r="R117" s="306">
        <f t="shared" ca="1" si="49"/>
        <v>0</v>
      </c>
      <c r="S117" s="307">
        <f t="shared" ca="1" si="50"/>
        <v>2.0842999999999985</v>
      </c>
      <c r="T117" s="304">
        <f t="shared" ca="1" si="30"/>
        <v>20.446982999999985</v>
      </c>
      <c r="U117" s="311">
        <f t="shared" ca="1" si="31"/>
        <v>0</v>
      </c>
      <c r="V117" s="306">
        <f t="shared" ca="1" si="32"/>
        <v>1.0942691657283596</v>
      </c>
      <c r="W117" s="304">
        <f t="shared" ca="1" si="33"/>
        <v>58.138066090820352</v>
      </c>
      <c r="Y117" s="314" t="str">
        <f t="shared" ca="1" si="51"/>
        <v/>
      </c>
      <c r="Z117" s="315" t="str">
        <f t="shared" ca="1" si="52"/>
        <v/>
      </c>
      <c r="AA117" s="316" t="str">
        <f t="shared" ca="1" si="53"/>
        <v/>
      </c>
      <c r="AC117" s="310" t="e">
        <f t="shared" ca="1" si="54"/>
        <v>#N/A</v>
      </c>
      <c r="AD117" s="323" t="e">
        <f t="shared" ca="1" si="55"/>
        <v>#N/A</v>
      </c>
      <c r="AE117" s="324">
        <f t="shared" ca="1" si="34"/>
        <v>1127.3450809715271</v>
      </c>
      <c r="AG117" s="306">
        <f t="shared" ca="1" si="56"/>
        <v>-37.71089623975994</v>
      </c>
      <c r="AH117" s="304">
        <f t="shared" ca="1" si="57"/>
        <v>-27.995426678610382</v>
      </c>
    </row>
    <row r="118" spans="1:34" x14ac:dyDescent="0.25">
      <c r="A118" s="347">
        <f t="shared" ca="1" si="35"/>
        <v>0.01</v>
      </c>
      <c r="B118" s="304">
        <f t="shared" ca="1" si="36"/>
        <v>6.8399999999999759</v>
      </c>
      <c r="D118" s="306">
        <f t="shared" ca="1" si="37"/>
        <v>-3.8646506524176001</v>
      </c>
      <c r="E118" s="307">
        <f t="shared" ca="1" si="38"/>
        <v>-37.434306149569665</v>
      </c>
      <c r="F118" s="304">
        <f t="shared" ca="1" si="39"/>
        <v>37.633267218844296</v>
      </c>
      <c r="G118" s="306">
        <f t="shared" ca="1" si="40"/>
        <v>30.352343181314698</v>
      </c>
      <c r="H118" s="307">
        <f t="shared" ca="1" si="41"/>
        <v>216.85874702391547</v>
      </c>
      <c r="I118" s="304">
        <f t="shared" ca="1" si="42"/>
        <v>218.97255740703872</v>
      </c>
      <c r="J118" s="306">
        <f t="shared" ca="1" si="43"/>
        <v>139.16697666565426</v>
      </c>
      <c r="K118" s="307">
        <f t="shared" ca="1" si="44"/>
        <v>1129.5155401570737</v>
      </c>
      <c r="L118" s="304">
        <f t="shared" ca="1" si="29"/>
        <v>1138.0565903550601</v>
      </c>
      <c r="M118" s="306">
        <f t="shared" ca="1" si="45"/>
        <v>1.4317360303340561</v>
      </c>
      <c r="N118" s="304">
        <f t="shared" ca="1" si="46"/>
        <v>82.032431914955822</v>
      </c>
      <c r="P118" s="310">
        <f t="shared" ca="1" si="47"/>
        <v>13</v>
      </c>
      <c r="Q118" s="304">
        <f t="shared" ca="1" si="48"/>
        <v>0</v>
      </c>
      <c r="R118" s="306">
        <f t="shared" ca="1" si="49"/>
        <v>0</v>
      </c>
      <c r="S118" s="307">
        <f t="shared" ca="1" si="50"/>
        <v>2.0842999999999985</v>
      </c>
      <c r="T118" s="304">
        <f t="shared" ca="1" si="30"/>
        <v>20.446982999999985</v>
      </c>
      <c r="U118" s="311">
        <f t="shared" ca="1" si="31"/>
        <v>0</v>
      </c>
      <c r="V118" s="306">
        <f t="shared" ca="1" si="32"/>
        <v>1.0940309265195647</v>
      </c>
      <c r="W118" s="304">
        <f t="shared" ca="1" si="33"/>
        <v>57.926260246290276</v>
      </c>
      <c r="Y118" s="314" t="str">
        <f t="shared" ca="1" si="51"/>
        <v/>
      </c>
      <c r="Z118" s="315" t="str">
        <f t="shared" ca="1" si="52"/>
        <v/>
      </c>
      <c r="AA118" s="316" t="str">
        <f t="shared" ca="1" si="53"/>
        <v/>
      </c>
      <c r="AC118" s="310" t="e">
        <f t="shared" ca="1" si="54"/>
        <v>#N/A</v>
      </c>
      <c r="AD118" s="323" t="e">
        <f t="shared" ca="1" si="55"/>
        <v>#N/A</v>
      </c>
      <c r="AE118" s="324">
        <f t="shared" ca="1" si="34"/>
        <v>1129.5155401570737</v>
      </c>
      <c r="AG118" s="306">
        <f t="shared" ca="1" si="56"/>
        <v>-37.608714614433879</v>
      </c>
      <c r="AH118" s="304">
        <f t="shared" ca="1" si="57"/>
        <v>-27.89332921883625</v>
      </c>
    </row>
    <row r="119" spans="1:34" x14ac:dyDescent="0.25">
      <c r="A119" s="347">
        <f t="shared" ca="1" si="35"/>
        <v>0.01</v>
      </c>
      <c r="B119" s="304">
        <f t="shared" ca="1" si="36"/>
        <v>6.8499999999999757</v>
      </c>
      <c r="D119" s="306">
        <f t="shared" ca="1" si="37"/>
        <v>-3.8522795563998851</v>
      </c>
      <c r="E119" s="307">
        <f t="shared" ca="1" si="38"/>
        <v>-37.3334275257209</v>
      </c>
      <c r="F119" s="304">
        <f t="shared" ca="1" si="39"/>
        <v>37.531651557037982</v>
      </c>
      <c r="G119" s="306">
        <f t="shared" ca="1" si="40"/>
        <v>30.313820385750699</v>
      </c>
      <c r="H119" s="307">
        <f t="shared" ca="1" si="41"/>
        <v>216.48541274865826</v>
      </c>
      <c r="I119" s="304">
        <f t="shared" ca="1" si="42"/>
        <v>218.59748772421077</v>
      </c>
      <c r="J119" s="306">
        <f t="shared" ca="1" si="43"/>
        <v>139.47030748348959</v>
      </c>
      <c r="K119" s="307">
        <f t="shared" ca="1" si="44"/>
        <v>1131.6822609559365</v>
      </c>
      <c r="L119" s="304">
        <f t="shared" ca="1" si="29"/>
        <v>1140.2441433446961</v>
      </c>
      <c r="M119" s="306">
        <f t="shared" ca="1" si="45"/>
        <v>1.4316738251793368</v>
      </c>
      <c r="N119" s="304">
        <f t="shared" ca="1" si="46"/>
        <v>82.028867822126443</v>
      </c>
      <c r="P119" s="310">
        <f t="shared" ca="1" si="47"/>
        <v>13</v>
      </c>
      <c r="Q119" s="304">
        <f t="shared" ca="1" si="48"/>
        <v>0</v>
      </c>
      <c r="R119" s="306">
        <f t="shared" ca="1" si="49"/>
        <v>0</v>
      </c>
      <c r="S119" s="307">
        <f t="shared" ca="1" si="50"/>
        <v>2.0842999999999985</v>
      </c>
      <c r="T119" s="304">
        <f t="shared" ca="1" si="30"/>
        <v>20.446982999999985</v>
      </c>
      <c r="U119" s="311">
        <f t="shared" ca="1" si="31"/>
        <v>0</v>
      </c>
      <c r="V119" s="306">
        <f t="shared" ca="1" si="32"/>
        <v>1.0937931464659163</v>
      </c>
      <c r="W119" s="304">
        <f t="shared" ca="1" si="33"/>
        <v>57.715444083932503</v>
      </c>
      <c r="Y119" s="314" t="str">
        <f t="shared" ca="1" si="51"/>
        <v/>
      </c>
      <c r="Z119" s="315" t="str">
        <f t="shared" ca="1" si="52"/>
        <v/>
      </c>
      <c r="AA119" s="316" t="str">
        <f t="shared" ca="1" si="53"/>
        <v/>
      </c>
      <c r="AC119" s="310" t="e">
        <f t="shared" ca="1" si="54"/>
        <v>#N/A</v>
      </c>
      <c r="AD119" s="323" t="e">
        <f t="shared" ca="1" si="55"/>
        <v>#N/A</v>
      </c>
      <c r="AE119" s="324">
        <f t="shared" ca="1" si="34"/>
        <v>1131.6822609559365</v>
      </c>
      <c r="AG119" s="306">
        <f t="shared" ca="1" si="56"/>
        <v>-37.507010575738029</v>
      </c>
      <c r="AH119" s="304">
        <f t="shared" ca="1" si="57"/>
        <v>-27.7917095649812</v>
      </c>
    </row>
    <row r="120" spans="1:34" x14ac:dyDescent="0.25">
      <c r="A120" s="347">
        <f t="shared" ca="1" si="35"/>
        <v>0.01</v>
      </c>
      <c r="B120" s="304">
        <f t="shared" ca="1" si="36"/>
        <v>6.8599999999999755</v>
      </c>
      <c r="D120" s="306">
        <f t="shared" ca="1" si="37"/>
        <v>-3.8399654753320167</v>
      </c>
      <c r="E120" s="307">
        <f t="shared" ca="1" si="38"/>
        <v>-37.233020268953254</v>
      </c>
      <c r="F120" s="304">
        <f t="shared" ca="1" si="39"/>
        <v>37.430510725877433</v>
      </c>
      <c r="G120" s="306">
        <f t="shared" ca="1" si="40"/>
        <v>30.275420730997379</v>
      </c>
      <c r="H120" s="307">
        <f t="shared" ca="1" si="41"/>
        <v>216.11308254596872</v>
      </c>
      <c r="I120" s="304">
        <f t="shared" ca="1" si="42"/>
        <v>218.2234303367986</v>
      </c>
      <c r="J120" s="306">
        <f t="shared" ca="1" si="43"/>
        <v>139.77325368907333</v>
      </c>
      <c r="K120" s="307">
        <f t="shared" ca="1" si="44"/>
        <v>1133.8452534324097</v>
      </c>
      <c r="L120" s="304">
        <f t="shared" ca="1" si="29"/>
        <v>1142.4279501036533</v>
      </c>
      <c r="M120" s="306">
        <f t="shared" ca="1" si="45"/>
        <v>1.4316114857049922</v>
      </c>
      <c r="N120" s="304">
        <f t="shared" ca="1" si="46"/>
        <v>82.025296033349434</v>
      </c>
      <c r="P120" s="310">
        <f t="shared" ca="1" si="47"/>
        <v>13</v>
      </c>
      <c r="Q120" s="304">
        <f t="shared" ca="1" si="48"/>
        <v>0</v>
      </c>
      <c r="R120" s="306">
        <f t="shared" ca="1" si="49"/>
        <v>0</v>
      </c>
      <c r="S120" s="307">
        <f t="shared" ca="1" si="50"/>
        <v>2.0842999999999985</v>
      </c>
      <c r="T120" s="304">
        <f t="shared" ca="1" si="30"/>
        <v>20.446982999999985</v>
      </c>
      <c r="U120" s="311">
        <f t="shared" ca="1" si="31"/>
        <v>0</v>
      </c>
      <c r="V120" s="306">
        <f t="shared" ca="1" si="32"/>
        <v>1.0935558241958721</v>
      </c>
      <c r="W120" s="304">
        <f t="shared" ca="1" si="33"/>
        <v>57.505611443752613</v>
      </c>
      <c r="Y120" s="314" t="str">
        <f t="shared" ca="1" si="51"/>
        <v/>
      </c>
      <c r="Z120" s="315" t="str">
        <f t="shared" ca="1" si="52"/>
        <v/>
      </c>
      <c r="AA120" s="316" t="str">
        <f t="shared" ca="1" si="53"/>
        <v/>
      </c>
      <c r="AC120" s="310" t="e">
        <f t="shared" ca="1" si="54"/>
        <v>#N/A</v>
      </c>
      <c r="AD120" s="323" t="e">
        <f t="shared" ca="1" si="55"/>
        <v>#N/A</v>
      </c>
      <c r="AE120" s="324">
        <f t="shared" ca="1" si="34"/>
        <v>1133.8452534324097</v>
      </c>
      <c r="AG120" s="306">
        <f t="shared" ca="1" si="56"/>
        <v>-37.405781144320898</v>
      </c>
      <c r="AH120" s="304">
        <f t="shared" ca="1" si="57"/>
        <v>-27.690564738249073</v>
      </c>
    </row>
    <row r="121" spans="1:34" x14ac:dyDescent="0.25">
      <c r="A121" s="347">
        <f t="shared" ca="1" si="35"/>
        <v>0.01</v>
      </c>
      <c r="B121" s="304">
        <f t="shared" ca="1" si="36"/>
        <v>6.8699999999999752</v>
      </c>
      <c r="D121" s="306">
        <f t="shared" ca="1" si="37"/>
        <v>-3.8277080530276693</v>
      </c>
      <c r="E121" s="307">
        <f t="shared" ca="1" si="38"/>
        <v>-37.133081445368475</v>
      </c>
      <c r="F121" s="304">
        <f t="shared" ca="1" si="39"/>
        <v>37.329841769924251</v>
      </c>
      <c r="G121" s="306">
        <f t="shared" ca="1" si="40"/>
        <v>30.2371436504671</v>
      </c>
      <c r="H121" s="307">
        <f t="shared" ca="1" si="41"/>
        <v>215.74175173151505</v>
      </c>
      <c r="I121" s="304">
        <f t="shared" ca="1" si="42"/>
        <v>217.85038052829208</v>
      </c>
      <c r="J121" s="306">
        <f t="shared" ca="1" si="43"/>
        <v>140.07581651098064</v>
      </c>
      <c r="K121" s="307">
        <f t="shared" ca="1" si="44"/>
        <v>1136.004527603797</v>
      </c>
      <c r="L121" s="304">
        <f t="shared" ca="1" si="29"/>
        <v>1144.6080207247999</v>
      </c>
      <c r="M121" s="306">
        <f t="shared" ca="1" si="45"/>
        <v>1.4315490116790468</v>
      </c>
      <c r="N121" s="304">
        <f t="shared" ca="1" si="46"/>
        <v>82.021716535333582</v>
      </c>
      <c r="P121" s="310">
        <f t="shared" ca="1" si="47"/>
        <v>13</v>
      </c>
      <c r="Q121" s="304">
        <f t="shared" ca="1" si="48"/>
        <v>0</v>
      </c>
      <c r="R121" s="306">
        <f t="shared" ca="1" si="49"/>
        <v>0</v>
      </c>
      <c r="S121" s="307">
        <f t="shared" ca="1" si="50"/>
        <v>2.0842999999999985</v>
      </c>
      <c r="T121" s="304">
        <f t="shared" ca="1" si="30"/>
        <v>20.446982999999985</v>
      </c>
      <c r="U121" s="311">
        <f t="shared" ca="1" si="31"/>
        <v>0</v>
      </c>
      <c r="V121" s="306">
        <f t="shared" ca="1" si="32"/>
        <v>1.0933189583445442</v>
      </c>
      <c r="W121" s="304">
        <f t="shared" ca="1" si="33"/>
        <v>57.296756214007196</v>
      </c>
      <c r="Y121" s="314" t="str">
        <f t="shared" ca="1" si="51"/>
        <v/>
      </c>
      <c r="Z121" s="315" t="str">
        <f t="shared" ca="1" si="52"/>
        <v/>
      </c>
      <c r="AA121" s="316" t="str">
        <f t="shared" ca="1" si="53"/>
        <v/>
      </c>
      <c r="AC121" s="310" t="e">
        <f t="shared" ca="1" si="54"/>
        <v>#N/A</v>
      </c>
      <c r="AD121" s="323" t="e">
        <f t="shared" ca="1" si="55"/>
        <v>#N/A</v>
      </c>
      <c r="AE121" s="324">
        <f t="shared" ca="1" si="34"/>
        <v>1136.004527603797</v>
      </c>
      <c r="AG121" s="306">
        <f t="shared" ca="1" si="56"/>
        <v>-37.305023364199045</v>
      </c>
      <c r="AH121" s="304">
        <f t="shared" ca="1" si="57"/>
        <v>-27.589891783213861</v>
      </c>
    </row>
    <row r="122" spans="1:34" x14ac:dyDescent="0.25">
      <c r="A122" s="347">
        <f t="shared" ca="1" si="35"/>
        <v>0.01</v>
      </c>
      <c r="B122" s="304">
        <f t="shared" ca="1" si="36"/>
        <v>6.879999999999975</v>
      </c>
      <c r="D122" s="306">
        <f t="shared" ca="1" si="37"/>
        <v>-3.8155069360892848</v>
      </c>
      <c r="E122" s="307">
        <f t="shared" ca="1" si="38"/>
        <v>-37.033608144049417</v>
      </c>
      <c r="F122" s="304">
        <f t="shared" ca="1" si="39"/>
        <v>37.229641756889748</v>
      </c>
      <c r="G122" s="306">
        <f t="shared" ca="1" si="40"/>
        <v>30.198988581106207</v>
      </c>
      <c r="H122" s="307">
        <f t="shared" ca="1" si="41"/>
        <v>215.37141565007457</v>
      </c>
      <c r="I122" s="304">
        <f t="shared" ca="1" si="42"/>
        <v>217.47833361150936</v>
      </c>
      <c r="J122" s="306">
        <f t="shared" ca="1" si="43"/>
        <v>140.37799717213852</v>
      </c>
      <c r="K122" s="307">
        <f t="shared" ca="1" si="44"/>
        <v>1138.1600934407049</v>
      </c>
      <c r="L122" s="304">
        <f t="shared" ca="1" si="29"/>
        <v>1146.784365253998</v>
      </c>
      <c r="M122" s="306">
        <f t="shared" ca="1" si="45"/>
        <v>1.4314864028687506</v>
      </c>
      <c r="N122" s="304">
        <f t="shared" ca="1" si="46"/>
        <v>82.018129314743277</v>
      </c>
      <c r="P122" s="310">
        <f t="shared" ca="1" si="47"/>
        <v>13</v>
      </c>
      <c r="Q122" s="304">
        <f t="shared" ca="1" si="48"/>
        <v>0</v>
      </c>
      <c r="R122" s="306">
        <f t="shared" ca="1" si="49"/>
        <v>0</v>
      </c>
      <c r="S122" s="307">
        <f t="shared" ca="1" si="50"/>
        <v>2.0842999999999985</v>
      </c>
      <c r="T122" s="304">
        <f t="shared" ca="1" si="30"/>
        <v>20.446982999999985</v>
      </c>
      <c r="U122" s="311">
        <f t="shared" ca="1" si="31"/>
        <v>0</v>
      </c>
      <c r="V122" s="306">
        <f t="shared" ca="1" si="32"/>
        <v>1.0930825475536536</v>
      </c>
      <c r="W122" s="304">
        <f t="shared" ca="1" si="33"/>
        <v>57.088872330749112</v>
      </c>
      <c r="Y122" s="314" t="str">
        <f t="shared" ca="1" si="51"/>
        <v/>
      </c>
      <c r="Z122" s="315" t="str">
        <f t="shared" ca="1" si="52"/>
        <v/>
      </c>
      <c r="AA122" s="316" t="str">
        <f t="shared" ca="1" si="53"/>
        <v/>
      </c>
      <c r="AC122" s="310" t="e">
        <f t="shared" ca="1" si="54"/>
        <v>#N/A</v>
      </c>
      <c r="AD122" s="323" t="e">
        <f t="shared" ca="1" si="55"/>
        <v>#N/A</v>
      </c>
      <c r="AE122" s="324">
        <f t="shared" ca="1" si="34"/>
        <v>1138.1600934407049</v>
      </c>
      <c r="AG122" s="306">
        <f t="shared" ca="1" si="56"/>
        <v>-37.204734302536636</v>
      </c>
      <c r="AH122" s="304">
        <f t="shared" ca="1" si="57"/>
        <v>-27.489687767599307</v>
      </c>
    </row>
    <row r="123" spans="1:34" x14ac:dyDescent="0.25">
      <c r="A123" s="347">
        <f t="shared" ca="1" si="35"/>
        <v>0.01</v>
      </c>
      <c r="B123" s="304">
        <f t="shared" ca="1" si="36"/>
        <v>6.8899999999999748</v>
      </c>
      <c r="D123" s="306">
        <f t="shared" ca="1" si="37"/>
        <v>-3.8033617738817793</v>
      </c>
      <c r="E123" s="307">
        <f t="shared" ca="1" si="38"/>
        <v>-36.934597476843464</v>
      </c>
      <c r="F123" s="304">
        <f t="shared" ca="1" si="39"/>
        <v>37.129907777416804</v>
      </c>
      <c r="G123" s="306">
        <f t="shared" ca="1" si="40"/>
        <v>30.160954963367388</v>
      </c>
      <c r="H123" s="307">
        <f t="shared" ca="1" si="41"/>
        <v>215.00206967530613</v>
      </c>
      <c r="I123" s="304">
        <f t="shared" ca="1" si="42"/>
        <v>217.10728492836776</v>
      </c>
      <c r="J123" s="306">
        <f t="shared" ca="1" si="43"/>
        <v>140.67979688986088</v>
      </c>
      <c r="K123" s="307">
        <f t="shared" ca="1" si="44"/>
        <v>1140.3119608673319</v>
      </c>
      <c r="L123" s="304">
        <f t="shared" ca="1" si="29"/>
        <v>1148.9569936903956</v>
      </c>
      <c r="M123" s="306">
        <f t="shared" ca="1" si="45"/>
        <v>1.4314236590405758</v>
      </c>
      <c r="N123" s="304">
        <f t="shared" ca="1" si="46"/>
        <v>82.014534358198361</v>
      </c>
      <c r="P123" s="310">
        <f t="shared" ca="1" si="47"/>
        <v>13</v>
      </c>
      <c r="Q123" s="304">
        <f t="shared" ca="1" si="48"/>
        <v>0</v>
      </c>
      <c r="R123" s="306">
        <f t="shared" ca="1" si="49"/>
        <v>0</v>
      </c>
      <c r="S123" s="307">
        <f t="shared" ca="1" si="50"/>
        <v>2.0842999999999985</v>
      </c>
      <c r="T123" s="304">
        <f t="shared" ca="1" si="30"/>
        <v>20.446982999999985</v>
      </c>
      <c r="U123" s="311">
        <f t="shared" ca="1" si="31"/>
        <v>0</v>
      </c>
      <c r="V123" s="306">
        <f t="shared" ca="1" si="32"/>
        <v>1.0928465904714897</v>
      </c>
      <c r="W123" s="304">
        <f t="shared" ca="1" si="33"/>
        <v>56.8819537773782</v>
      </c>
      <c r="Y123" s="314" t="str">
        <f t="shared" ca="1" si="51"/>
        <v/>
      </c>
      <c r="Z123" s="315" t="str">
        <f t="shared" ca="1" si="52"/>
        <v/>
      </c>
      <c r="AA123" s="316" t="str">
        <f t="shared" ca="1" si="53"/>
        <v/>
      </c>
      <c r="AC123" s="310" t="e">
        <f t="shared" ca="1" si="54"/>
        <v>#N/A</v>
      </c>
      <c r="AD123" s="323" t="e">
        <f t="shared" ca="1" si="55"/>
        <v>#N/A</v>
      </c>
      <c r="AE123" s="324">
        <f t="shared" ca="1" si="34"/>
        <v>1140.3119608673319</v>
      </c>
      <c r="AG123" s="306">
        <f t="shared" ca="1" si="56"/>
        <v>-37.104911049427258</v>
      </c>
      <c r="AH123" s="304">
        <f t="shared" ca="1" si="57"/>
        <v>-27.389949782060718</v>
      </c>
    </row>
    <row r="124" spans="1:34" x14ac:dyDescent="0.25">
      <c r="A124" s="347">
        <f t="shared" ca="1" si="35"/>
        <v>0.01</v>
      </c>
      <c r="B124" s="304">
        <f t="shared" ca="1" si="36"/>
        <v>6.8999999999999746</v>
      </c>
      <c r="D124" s="306">
        <f t="shared" ca="1" si="37"/>
        <v>-3.7912722185065961</v>
      </c>
      <c r="E124" s="307">
        <f t="shared" ca="1" si="38"/>
        <v>-36.83604657814854</v>
      </c>
      <c r="F124" s="304">
        <f t="shared" ca="1" si="39"/>
        <v>37.030636944864298</v>
      </c>
      <c r="G124" s="306">
        <f t="shared" ca="1" si="40"/>
        <v>30.123042241182322</v>
      </c>
      <c r="H124" s="307">
        <f t="shared" ca="1" si="41"/>
        <v>214.63370920952465</v>
      </c>
      <c r="I124" s="304">
        <f t="shared" ca="1" si="42"/>
        <v>216.73722984965653</v>
      </c>
      <c r="J124" s="306">
        <f t="shared" ca="1" si="43"/>
        <v>140.98121687588363</v>
      </c>
      <c r="K124" s="307">
        <f t="shared" ca="1" si="44"/>
        <v>1142.460139761756</v>
      </c>
      <c r="L124" s="304">
        <f t="shared" ca="1" si="29"/>
        <v>1151.1259159867159</v>
      </c>
      <c r="M124" s="306">
        <f t="shared" ca="1" si="45"/>
        <v>1.431360779960215</v>
      </c>
      <c r="N124" s="304">
        <f t="shared" ca="1" si="46"/>
        <v>82.010931652274024</v>
      </c>
      <c r="P124" s="310">
        <f t="shared" ca="1" si="47"/>
        <v>13</v>
      </c>
      <c r="Q124" s="304">
        <f t="shared" ca="1" si="48"/>
        <v>0</v>
      </c>
      <c r="R124" s="306">
        <f t="shared" ca="1" si="49"/>
        <v>0</v>
      </c>
      <c r="S124" s="307">
        <f t="shared" ca="1" si="50"/>
        <v>2.0842999999999985</v>
      </c>
      <c r="T124" s="304">
        <f t="shared" ca="1" si="30"/>
        <v>20.446982999999985</v>
      </c>
      <c r="U124" s="311">
        <f t="shared" ca="1" si="31"/>
        <v>0</v>
      </c>
      <c r="V124" s="306">
        <f t="shared" ca="1" si="32"/>
        <v>1.0926110857528692</v>
      </c>
      <c r="W124" s="304">
        <f t="shared" ca="1" si="33"/>
        <v>56.675994584196772</v>
      </c>
      <c r="Y124" s="314" t="str">
        <f t="shared" ca="1" si="51"/>
        <v/>
      </c>
      <c r="Z124" s="315" t="str">
        <f t="shared" ca="1" si="52"/>
        <v/>
      </c>
      <c r="AA124" s="316" t="str">
        <f t="shared" ca="1" si="53"/>
        <v/>
      </c>
      <c r="AC124" s="310" t="e">
        <f t="shared" ca="1" si="54"/>
        <v>#N/A</v>
      </c>
      <c r="AD124" s="323" t="e">
        <f t="shared" ca="1" si="55"/>
        <v>#N/A</v>
      </c>
      <c r="AE124" s="324">
        <f t="shared" ca="1" si="34"/>
        <v>1142.460139761756</v>
      </c>
      <c r="AG124" s="306">
        <f t="shared" ca="1" si="56"/>
        <v>-37.005550717678346</v>
      </c>
      <c r="AH124" s="304">
        <f t="shared" ca="1" si="57"/>
        <v>-27.29067493996941</v>
      </c>
    </row>
    <row r="125" spans="1:34" x14ac:dyDescent="0.25">
      <c r="A125" s="347">
        <f t="shared" ca="1" si="35"/>
        <v>0.01</v>
      </c>
      <c r="B125" s="304">
        <f t="shared" ca="1" si="36"/>
        <v>6.9099999999999744</v>
      </c>
      <c r="D125" s="306">
        <f t="shared" ca="1" si="37"/>
        <v>-3.7792379247759853</v>
      </c>
      <c r="E125" s="307">
        <f t="shared" ca="1" si="38"/>
        <v>-36.737952604701391</v>
      </c>
      <c r="F125" s="304">
        <f t="shared" ca="1" si="39"/>
        <v>36.93182639509385</v>
      </c>
      <c r="G125" s="306">
        <f t="shared" ca="1" si="40"/>
        <v>30.085249861934564</v>
      </c>
      <c r="H125" s="307">
        <f t="shared" ca="1" si="41"/>
        <v>214.26632968347764</v>
      </c>
      <c r="I125" s="304">
        <f t="shared" ca="1" si="42"/>
        <v>216.36816377481176</v>
      </c>
      <c r="J125" s="306">
        <f t="shared" ca="1" si="43"/>
        <v>141.28225833639922</v>
      </c>
      <c r="K125" s="307">
        <f t="shared" ca="1" si="44"/>
        <v>1144.604639956221</v>
      </c>
      <c r="L125" s="304">
        <f t="shared" ca="1" si="29"/>
        <v>1153.2911420495448</v>
      </c>
      <c r="M125" s="306">
        <f t="shared" ca="1" si="45"/>
        <v>1.4312977653925789</v>
      </c>
      <c r="N125" s="304">
        <f t="shared" ca="1" si="46"/>
        <v>82.007321183500636</v>
      </c>
      <c r="P125" s="310">
        <f t="shared" ca="1" si="47"/>
        <v>13</v>
      </c>
      <c r="Q125" s="304">
        <f t="shared" ca="1" si="48"/>
        <v>0</v>
      </c>
      <c r="R125" s="306">
        <f t="shared" ca="1" si="49"/>
        <v>0</v>
      </c>
      <c r="S125" s="307">
        <f t="shared" ca="1" si="50"/>
        <v>2.0842999999999985</v>
      </c>
      <c r="T125" s="304">
        <f t="shared" ca="1" si="30"/>
        <v>20.446982999999985</v>
      </c>
      <c r="U125" s="311">
        <f t="shared" ca="1" si="31"/>
        <v>0</v>
      </c>
      <c r="V125" s="306">
        <f t="shared" ca="1" si="32"/>
        <v>1.0923760320590914</v>
      </c>
      <c r="W125" s="304">
        <f t="shared" ca="1" si="33"/>
        <v>56.470988827969691</v>
      </c>
      <c r="Y125" s="314" t="str">
        <f t="shared" ca="1" si="51"/>
        <v/>
      </c>
      <c r="Z125" s="315" t="str">
        <f t="shared" ca="1" si="52"/>
        <v/>
      </c>
      <c r="AA125" s="316" t="str">
        <f t="shared" ca="1" si="53"/>
        <v/>
      </c>
      <c r="AC125" s="310" t="e">
        <f t="shared" ca="1" si="54"/>
        <v>#N/A</v>
      </c>
      <c r="AD125" s="323" t="e">
        <f t="shared" ca="1" si="55"/>
        <v>#N/A</v>
      </c>
      <c r="AE125" s="324">
        <f t="shared" ca="1" si="34"/>
        <v>1144.604639956221</v>
      </c>
      <c r="AG125" s="306">
        <f t="shared" ca="1" si="56"/>
        <v>-36.906650442597964</v>
      </c>
      <c r="AH125" s="304">
        <f t="shared" ca="1" si="57"/>
        <v>-27.19186037719945</v>
      </c>
    </row>
    <row r="126" spans="1:34" x14ac:dyDescent="0.25">
      <c r="A126" s="347">
        <f t="shared" ca="1" si="35"/>
        <v>0.01</v>
      </c>
      <c r="B126" s="304">
        <f t="shared" ca="1" si="36"/>
        <v>6.9199999999999742</v>
      </c>
      <c r="D126" s="306">
        <f t="shared" ca="1" si="37"/>
        <v>-3.7672585501875844</v>
      </c>
      <c r="E126" s="307">
        <f t="shared" ca="1" si="38"/>
        <v>-36.640312735368049</v>
      </c>
      <c r="F126" s="304">
        <f t="shared" ca="1" si="39"/>
        <v>36.83347328625873</v>
      </c>
      <c r="G126" s="306">
        <f t="shared" ca="1" si="40"/>
        <v>30.047577276432687</v>
      </c>
      <c r="H126" s="307">
        <f t="shared" ca="1" si="41"/>
        <v>213.89992655612394</v>
      </c>
      <c r="I126" s="304">
        <f t="shared" ca="1" si="42"/>
        <v>216.00008213169366</v>
      </c>
      <c r="J126" s="306">
        <f t="shared" ca="1" si="43"/>
        <v>141.58292247209107</v>
      </c>
      <c r="K126" s="307">
        <f t="shared" ca="1" si="44"/>
        <v>1146.745471237419</v>
      </c>
      <c r="L126" s="304">
        <f t="shared" ca="1" si="29"/>
        <v>1155.4526817396152</v>
      </c>
      <c r="M126" s="306">
        <f t="shared" ca="1" si="45"/>
        <v>1.431234615101793</v>
      </c>
      <c r="N126" s="304">
        <f t="shared" ca="1" si="46"/>
        <v>82.003702938363574</v>
      </c>
      <c r="P126" s="310">
        <f t="shared" ca="1" si="47"/>
        <v>13</v>
      </c>
      <c r="Q126" s="304">
        <f t="shared" ca="1" si="48"/>
        <v>0</v>
      </c>
      <c r="R126" s="306">
        <f t="shared" ca="1" si="49"/>
        <v>0</v>
      </c>
      <c r="S126" s="307">
        <f t="shared" ca="1" si="50"/>
        <v>2.0842999999999985</v>
      </c>
      <c r="T126" s="304">
        <f t="shared" ca="1" si="30"/>
        <v>20.446982999999985</v>
      </c>
      <c r="U126" s="311">
        <f t="shared" ca="1" si="31"/>
        <v>0</v>
      </c>
      <c r="V126" s="306">
        <f t="shared" ca="1" si="32"/>
        <v>1.0921414280578998</v>
      </c>
      <c r="W126" s="304">
        <f t="shared" ca="1" si="33"/>
        <v>56.266930631489764</v>
      </c>
      <c r="Y126" s="314" t="str">
        <f t="shared" ca="1" si="51"/>
        <v/>
      </c>
      <c r="Z126" s="315" t="str">
        <f t="shared" ca="1" si="52"/>
        <v/>
      </c>
      <c r="AA126" s="316" t="str">
        <f t="shared" ca="1" si="53"/>
        <v/>
      </c>
      <c r="AC126" s="310" t="e">
        <f t="shared" ca="1" si="54"/>
        <v>#N/A</v>
      </c>
      <c r="AD126" s="323" t="e">
        <f t="shared" ca="1" si="55"/>
        <v>#N/A</v>
      </c>
      <c r="AE126" s="324">
        <f t="shared" ca="1" si="34"/>
        <v>1146.745471237419</v>
      </c>
      <c r="AG126" s="306">
        <f t="shared" ca="1" si="56"/>
        <v>-36.808207381783639</v>
      </c>
      <c r="AH126" s="304">
        <f t="shared" ca="1" si="57"/>
        <v>-27.093503251916584</v>
      </c>
    </row>
    <row r="127" spans="1:34" x14ac:dyDescent="0.25">
      <c r="A127" s="347">
        <f t="shared" ca="1" si="35"/>
        <v>0.01</v>
      </c>
      <c r="B127" s="304">
        <f t="shared" ca="1" si="36"/>
        <v>6.929999999999974</v>
      </c>
      <c r="D127" s="306">
        <f t="shared" ca="1" si="37"/>
        <v>-3.7553337548993087</v>
      </c>
      <c r="E127" s="307">
        <f t="shared" ca="1" si="38"/>
        <v>-36.543124170936863</v>
      </c>
      <c r="F127" s="304">
        <f t="shared" ca="1" si="39"/>
        <v>36.73557479859538</v>
      </c>
      <c r="G127" s="306">
        <f t="shared" ca="1" si="40"/>
        <v>30.010023938883695</v>
      </c>
      <c r="H127" s="307">
        <f t="shared" ca="1" si="41"/>
        <v>213.53449531441458</v>
      </c>
      <c r="I127" s="304">
        <f t="shared" ca="1" si="42"/>
        <v>215.63298037636568</v>
      </c>
      <c r="J127" s="306">
        <f t="shared" ca="1" si="43"/>
        <v>141.88321047816765</v>
      </c>
      <c r="K127" s="307">
        <f t="shared" ca="1" si="44"/>
        <v>1148.8826433467716</v>
      </c>
      <c r="L127" s="304">
        <f t="shared" ca="1" si="29"/>
        <v>1157.61054487209</v>
      </c>
      <c r="M127" s="306">
        <f t="shared" ca="1" si="45"/>
        <v>1.4311713288511954</v>
      </c>
      <c r="N127" s="304">
        <f t="shared" ca="1" si="46"/>
        <v>82.000076903303125</v>
      </c>
      <c r="P127" s="310">
        <f t="shared" ca="1" si="47"/>
        <v>13</v>
      </c>
      <c r="Q127" s="304">
        <f t="shared" ca="1" si="48"/>
        <v>0</v>
      </c>
      <c r="R127" s="306">
        <f t="shared" ca="1" si="49"/>
        <v>0</v>
      </c>
      <c r="S127" s="307">
        <f t="shared" ca="1" si="50"/>
        <v>2.0842999999999985</v>
      </c>
      <c r="T127" s="304">
        <f t="shared" ca="1" si="30"/>
        <v>20.446982999999985</v>
      </c>
      <c r="U127" s="311">
        <f t="shared" ca="1" si="31"/>
        <v>0</v>
      </c>
      <c r="V127" s="306">
        <f t="shared" ca="1" si="32"/>
        <v>1.09190727242344</v>
      </c>
      <c r="W127" s="304">
        <f t="shared" ca="1" si="33"/>
        <v>56.063814163147576</v>
      </c>
      <c r="Y127" s="314" t="str">
        <f t="shared" ca="1" si="51"/>
        <v/>
      </c>
      <c r="Z127" s="315" t="str">
        <f t="shared" ca="1" si="52"/>
        <v/>
      </c>
      <c r="AA127" s="316" t="str">
        <f t="shared" ca="1" si="53"/>
        <v/>
      </c>
      <c r="AC127" s="310" t="e">
        <f t="shared" ca="1" si="54"/>
        <v>#N/A</v>
      </c>
      <c r="AD127" s="323" t="e">
        <f t="shared" ca="1" si="55"/>
        <v>#N/A</v>
      </c>
      <c r="AE127" s="324">
        <f t="shared" ca="1" si="34"/>
        <v>1148.8826433467716</v>
      </c>
      <c r="AG127" s="306">
        <f t="shared" ca="1" si="56"/>
        <v>-36.710218714913921</v>
      </c>
      <c r="AH127" s="304">
        <f t="shared" ca="1" si="57"/>
        <v>-26.995600744369717</v>
      </c>
    </row>
    <row r="128" spans="1:34" x14ac:dyDescent="0.25">
      <c r="A128" s="347">
        <f t="shared" ca="1" si="35"/>
        <v>0.01</v>
      </c>
      <c r="B128" s="304">
        <f t="shared" ca="1" si="36"/>
        <v>6.9399999999999737</v>
      </c>
      <c r="D128" s="306">
        <f t="shared" ca="1" si="37"/>
        <v>-3.7434632017044809</v>
      </c>
      <c r="E128" s="307">
        <f t="shared" ca="1" si="38"/>
        <v>-36.44638413391359</v>
      </c>
      <c r="F128" s="304">
        <f t="shared" ca="1" si="39"/>
        <v>36.638128134217006</v>
      </c>
      <c r="G128" s="306">
        <f t="shared" ca="1" si="40"/>
        <v>29.972589306866649</v>
      </c>
      <c r="H128" s="307">
        <f t="shared" ca="1" si="41"/>
        <v>213.17003147307545</v>
      </c>
      <c r="I128" s="304">
        <f t="shared" ca="1" si="42"/>
        <v>215.26685399287572</v>
      </c>
      <c r="J128" s="306">
        <f t="shared" ca="1" si="43"/>
        <v>142.18312354439641</v>
      </c>
      <c r="K128" s="307">
        <f t="shared" ca="1" si="44"/>
        <v>1151.016165980709</v>
      </c>
      <c r="L128" s="304">
        <f t="shared" ca="1" si="29"/>
        <v>1159.7647412168435</v>
      </c>
      <c r="M128" s="306">
        <f t="shared" ca="1" si="45"/>
        <v>1.4311079064033354</v>
      </c>
      <c r="N128" s="304">
        <f t="shared" ca="1" si="46"/>
        <v>81.996443064714356</v>
      </c>
      <c r="P128" s="310">
        <f t="shared" ca="1" si="47"/>
        <v>13</v>
      </c>
      <c r="Q128" s="304">
        <f t="shared" ca="1" si="48"/>
        <v>0</v>
      </c>
      <c r="R128" s="306">
        <f t="shared" ca="1" si="49"/>
        <v>0</v>
      </c>
      <c r="S128" s="307">
        <f t="shared" ca="1" si="50"/>
        <v>2.0842999999999985</v>
      </c>
      <c r="T128" s="304">
        <f t="shared" ca="1" si="30"/>
        <v>20.446982999999985</v>
      </c>
      <c r="U128" s="311">
        <f t="shared" ca="1" si="31"/>
        <v>0</v>
      </c>
      <c r="V128" s="306">
        <f t="shared" ca="1" si="32"/>
        <v>1.0916735638362185</v>
      </c>
      <c r="W128" s="304">
        <f t="shared" ca="1" si="33"/>
        <v>55.861633636506006</v>
      </c>
      <c r="Y128" s="314" t="str">
        <f t="shared" ca="1" si="51"/>
        <v/>
      </c>
      <c r="Z128" s="315" t="str">
        <f t="shared" ca="1" si="52"/>
        <v/>
      </c>
      <c r="AA128" s="316" t="str">
        <f t="shared" ca="1" si="53"/>
        <v/>
      </c>
      <c r="AC128" s="310" t="e">
        <f t="shared" ca="1" si="54"/>
        <v>#N/A</v>
      </c>
      <c r="AD128" s="323" t="e">
        <f t="shared" ca="1" si="55"/>
        <v>#N/A</v>
      </c>
      <c r="AE128" s="324">
        <f t="shared" ca="1" si="34"/>
        <v>1151.016165980709</v>
      </c>
      <c r="AG128" s="306">
        <f t="shared" ca="1" si="56"/>
        <v>-36.612681643541954</v>
      </c>
      <c r="AH128" s="304">
        <f t="shared" ca="1" si="57"/>
        <v>-26.898150056684553</v>
      </c>
    </row>
    <row r="129" spans="1:34" x14ac:dyDescent="0.25">
      <c r="A129" s="347">
        <f t="shared" ca="1" si="35"/>
        <v>0.01</v>
      </c>
      <c r="B129" s="304">
        <f t="shared" ca="1" si="36"/>
        <v>6.9499999999999735</v>
      </c>
      <c r="D129" s="306">
        <f t="shared" ca="1" si="37"/>
        <v>-3.7316465560072101</v>
      </c>
      <c r="E129" s="307">
        <f t="shared" ca="1" si="38"/>
        <v>-36.350089868318769</v>
      </c>
      <c r="F129" s="304">
        <f t="shared" ca="1" si="39"/>
        <v>36.541130516909455</v>
      </c>
      <c r="G129" s="306">
        <f t="shared" ca="1" si="40"/>
        <v>29.935272841306578</v>
      </c>
      <c r="H129" s="307">
        <f t="shared" ca="1" si="41"/>
        <v>212.80653057439227</v>
      </c>
      <c r="I129" s="304">
        <f t="shared" ca="1" si="42"/>
        <v>214.90169849303942</v>
      </c>
      <c r="J129" s="306">
        <f t="shared" ca="1" si="43"/>
        <v>142.48266285513728</v>
      </c>
      <c r="K129" s="307">
        <f t="shared" ca="1" si="44"/>
        <v>1153.1460487909465</v>
      </c>
      <c r="L129" s="304">
        <f t="shared" ca="1" si="29"/>
        <v>1161.9152804987386</v>
      </c>
      <c r="M129" s="306">
        <f t="shared" ca="1" si="45"/>
        <v>1.4310443475199692</v>
      </c>
      <c r="N129" s="304">
        <f t="shared" ca="1" si="46"/>
        <v>81.992801408946917</v>
      </c>
      <c r="P129" s="310">
        <f t="shared" ca="1" si="47"/>
        <v>13</v>
      </c>
      <c r="Q129" s="304">
        <f t="shared" ca="1" si="48"/>
        <v>0</v>
      </c>
      <c r="R129" s="306">
        <f t="shared" ca="1" si="49"/>
        <v>0</v>
      </c>
      <c r="S129" s="307">
        <f t="shared" ca="1" si="50"/>
        <v>2.0842999999999985</v>
      </c>
      <c r="T129" s="304">
        <f t="shared" ca="1" si="30"/>
        <v>20.446982999999985</v>
      </c>
      <c r="U129" s="311">
        <f t="shared" ca="1" si="31"/>
        <v>0</v>
      </c>
      <c r="V129" s="306">
        <f t="shared" ca="1" si="32"/>
        <v>1.0914403009830635</v>
      </c>
      <c r="W129" s="304">
        <f t="shared" ca="1" si="33"/>
        <v>55.660383309879499</v>
      </c>
      <c r="Y129" s="314" t="str">
        <f t="shared" ca="1" si="51"/>
        <v/>
      </c>
      <c r="Z129" s="315" t="str">
        <f t="shared" ca="1" si="52"/>
        <v/>
      </c>
      <c r="AA129" s="316" t="str">
        <f t="shared" ca="1" si="53"/>
        <v/>
      </c>
      <c r="AC129" s="310" t="e">
        <f t="shared" ca="1" si="54"/>
        <v>#N/A</v>
      </c>
      <c r="AD129" s="323" t="e">
        <f t="shared" ca="1" si="55"/>
        <v>#N/A</v>
      </c>
      <c r="AE129" s="324">
        <f t="shared" ca="1" si="34"/>
        <v>1153.1460487909465</v>
      </c>
      <c r="AG129" s="306">
        <f t="shared" ca="1" si="56"/>
        <v>-36.515593390891325</v>
      </c>
      <c r="AH129" s="304">
        <f t="shared" ca="1" si="57"/>
        <v>-26.80114841265943</v>
      </c>
    </row>
    <row r="130" spans="1:34" x14ac:dyDescent="0.25">
      <c r="A130" s="347">
        <f t="shared" ca="1" si="35"/>
        <v>0.01</v>
      </c>
      <c r="B130" s="304">
        <f t="shared" ca="1" si="36"/>
        <v>6.9599999999999733</v>
      </c>
      <c r="D130" s="306">
        <f t="shared" ca="1" si="37"/>
        <v>-3.7198834857981211</v>
      </c>
      <c r="E130" s="307">
        <f t="shared" ca="1" si="38"/>
        <v>-36.254238639487312</v>
      </c>
      <c r="F130" s="304">
        <f t="shared" ca="1" si="39"/>
        <v>36.444579191929328</v>
      </c>
      <c r="G130" s="306">
        <f t="shared" ca="1" si="40"/>
        <v>29.898074006448596</v>
      </c>
      <c r="H130" s="307">
        <f t="shared" ca="1" si="41"/>
        <v>212.44398818799741</v>
      </c>
      <c r="I130" s="304">
        <f t="shared" ca="1" si="42"/>
        <v>214.53750941622553</v>
      </c>
      <c r="J130" s="306">
        <f t="shared" ca="1" si="43"/>
        <v>142.78182958937606</v>
      </c>
      <c r="K130" s="307">
        <f t="shared" ca="1" si="44"/>
        <v>1155.2723013847583</v>
      </c>
      <c r="L130" s="304">
        <f t="shared" ca="1" si="29"/>
        <v>1164.0621723979029</v>
      </c>
      <c r="M130" s="306">
        <f t="shared" ca="1" si="45"/>
        <v>1.4309806519620594</v>
      </c>
      <c r="N130" s="304">
        <f t="shared" ca="1" si="46"/>
        <v>81.989151922304941</v>
      </c>
      <c r="P130" s="310">
        <f t="shared" ca="1" si="47"/>
        <v>13</v>
      </c>
      <c r="Q130" s="304">
        <f t="shared" ca="1" si="48"/>
        <v>0</v>
      </c>
      <c r="R130" s="306">
        <f t="shared" ca="1" si="49"/>
        <v>0</v>
      </c>
      <c r="S130" s="307">
        <f t="shared" ca="1" si="50"/>
        <v>2.0842999999999985</v>
      </c>
      <c r="T130" s="304">
        <f t="shared" ca="1" si="30"/>
        <v>20.446982999999985</v>
      </c>
      <c r="U130" s="311">
        <f t="shared" ca="1" si="31"/>
        <v>0</v>
      </c>
      <c r="V130" s="306">
        <f t="shared" ca="1" si="32"/>
        <v>1.0912074825570841</v>
      </c>
      <c r="W130" s="304">
        <f t="shared" ca="1" si="33"/>
        <v>55.460057485917901</v>
      </c>
      <c r="Y130" s="314" t="str">
        <f t="shared" ca="1" si="51"/>
        <v/>
      </c>
      <c r="Z130" s="315" t="str">
        <f t="shared" ca="1" si="52"/>
        <v/>
      </c>
      <c r="AA130" s="316" t="str">
        <f t="shared" ca="1" si="53"/>
        <v/>
      </c>
      <c r="AC130" s="310" t="e">
        <f t="shared" ca="1" si="54"/>
        <v>#N/A</v>
      </c>
      <c r="AD130" s="323" t="e">
        <f t="shared" ca="1" si="55"/>
        <v>#N/A</v>
      </c>
      <c r="AE130" s="324">
        <f t="shared" ca="1" si="34"/>
        <v>1155.2723013847583</v>
      </c>
      <c r="AG130" s="306">
        <f t="shared" ca="1" si="56"/>
        <v>-36.418951201654203</v>
      </c>
      <c r="AH130" s="304">
        <f t="shared" ca="1" si="57"/>
        <v>-26.704593057563471</v>
      </c>
    </row>
    <row r="131" spans="1:34" x14ac:dyDescent="0.25">
      <c r="A131" s="347">
        <f t="shared" ca="1" si="35"/>
        <v>0.01</v>
      </c>
      <c r="B131" s="304">
        <f t="shared" ca="1" si="36"/>
        <v>6.9699999999999731</v>
      </c>
      <c r="D131" s="306">
        <f t="shared" ca="1" si="37"/>
        <v>-3.708173661630247</v>
      </c>
      <c r="E131" s="307">
        <f t="shared" ca="1" si="38"/>
        <v>-36.158827733870297</v>
      </c>
      <c r="F131" s="304">
        <f t="shared" ca="1" si="39"/>
        <v>36.348471425804355</v>
      </c>
      <c r="G131" s="306">
        <f t="shared" ca="1" si="40"/>
        <v>29.860992269832295</v>
      </c>
      <c r="H131" s="307">
        <f t="shared" ca="1" si="41"/>
        <v>212.08239991065869</v>
      </c>
      <c r="I131" s="304">
        <f t="shared" ca="1" si="42"/>
        <v>214.17428232914321</v>
      </c>
      <c r="J131" s="306">
        <f t="shared" ca="1" si="43"/>
        <v>143.08062492075746</v>
      </c>
      <c r="K131" s="307">
        <f t="shared" ca="1" si="44"/>
        <v>1157.3949333252515</v>
      </c>
      <c r="L131" s="304">
        <f t="shared" ca="1" si="29"/>
        <v>1166.2054265500044</v>
      </c>
      <c r="M131" s="306">
        <f t="shared" ca="1" si="45"/>
        <v>1.4309168194897701</v>
      </c>
      <c r="N131" s="304">
        <f t="shared" ca="1" si="46"/>
        <v>81.985494591046887</v>
      </c>
      <c r="P131" s="310">
        <f t="shared" ca="1" si="47"/>
        <v>13</v>
      </c>
      <c r="Q131" s="304">
        <f t="shared" ca="1" si="48"/>
        <v>0</v>
      </c>
      <c r="R131" s="306">
        <f t="shared" ca="1" si="49"/>
        <v>0</v>
      </c>
      <c r="S131" s="307">
        <f t="shared" ca="1" si="50"/>
        <v>2.0842999999999985</v>
      </c>
      <c r="T131" s="304">
        <f t="shared" ca="1" si="30"/>
        <v>20.446982999999985</v>
      </c>
      <c r="U131" s="311">
        <f t="shared" ca="1" si="31"/>
        <v>0</v>
      </c>
      <c r="V131" s="306">
        <f t="shared" ca="1" si="32"/>
        <v>1.0909751072576304</v>
      </c>
      <c r="W131" s="304">
        <f t="shared" ca="1" si="33"/>
        <v>55.26065051119474</v>
      </c>
      <c r="Y131" s="314" t="str">
        <f t="shared" ca="1" si="51"/>
        <v/>
      </c>
      <c r="Z131" s="315" t="str">
        <f t="shared" ca="1" si="52"/>
        <v/>
      </c>
      <c r="AA131" s="316" t="str">
        <f t="shared" ca="1" si="53"/>
        <v/>
      </c>
      <c r="AC131" s="310" t="e">
        <f t="shared" ca="1" si="54"/>
        <v>#N/A</v>
      </c>
      <c r="AD131" s="323" t="e">
        <f t="shared" ca="1" si="55"/>
        <v>#N/A</v>
      </c>
      <c r="AE131" s="324">
        <f t="shared" ca="1" si="34"/>
        <v>1157.3949333252515</v>
      </c>
      <c r="AG131" s="306">
        <f t="shared" ca="1" si="56"/>
        <v>-36.32275234179167</v>
      </c>
      <c r="AH131" s="304">
        <f t="shared" ca="1" si="57"/>
        <v>-26.60848125793693</v>
      </c>
    </row>
    <row r="132" spans="1:34" x14ac:dyDescent="0.25">
      <c r="A132" s="347">
        <f t="shared" ca="1" si="35"/>
        <v>0.01</v>
      </c>
      <c r="B132" s="304">
        <f t="shared" ca="1" si="36"/>
        <v>6.9799999999999729</v>
      </c>
      <c r="D132" s="306">
        <f t="shared" ca="1" si="37"/>
        <v>-3.6965167565952801</v>
      </c>
      <c r="E132" s="307">
        <f t="shared" ca="1" si="38"/>
        <v>-36.063854458838904</v>
      </c>
      <c r="F132" s="304">
        <f t="shared" ca="1" si="39"/>
        <v>36.25280450613586</v>
      </c>
      <c r="G132" s="306">
        <f t="shared" ca="1" si="40"/>
        <v>29.824027102266342</v>
      </c>
      <c r="H132" s="307">
        <f t="shared" ca="1" si="41"/>
        <v>211.7217613660703</v>
      </c>
      <c r="I132" s="304">
        <f t="shared" ca="1" si="42"/>
        <v>213.81201282563131</v>
      </c>
      <c r="J132" s="306">
        <f t="shared" ca="1" si="43"/>
        <v>143.37905001761794</v>
      </c>
      <c r="K132" s="307">
        <f t="shared" ca="1" si="44"/>
        <v>1159.513954131635</v>
      </c>
      <c r="L132" s="304">
        <f t="shared" ref="L132:L195" ca="1" si="58">SQRT(pos_x^2+pos_z^2)</f>
        <v>1168.3450525465214</v>
      </c>
      <c r="M132" s="306">
        <f t="shared" ca="1" si="45"/>
        <v>1.4308528498624671</v>
      </c>
      <c r="N132" s="304">
        <f t="shared" ca="1" si="46"/>
        <v>81.981829401385397</v>
      </c>
      <c r="P132" s="310">
        <f t="shared" ca="1" si="47"/>
        <v>13</v>
      </c>
      <c r="Q132" s="304">
        <f t="shared" ca="1" si="48"/>
        <v>0</v>
      </c>
      <c r="R132" s="306">
        <f t="shared" ca="1" si="49"/>
        <v>0</v>
      </c>
      <c r="S132" s="307">
        <f t="shared" ca="1" si="50"/>
        <v>2.0842999999999985</v>
      </c>
      <c r="T132" s="304">
        <f t="shared" ref="T132:T195" ca="1" si="59">m*g</f>
        <v>20.446982999999985</v>
      </c>
      <c r="U132" s="311">
        <f t="shared" ref="U132:U195" ca="1" si="60">IF(pos_xz&lt;L_rampe,Poids*COS(Beta),0)</f>
        <v>0</v>
      </c>
      <c r="V132" s="306">
        <f t="shared" ref="V132:V195" ca="1" si="61">Rho_moyen*(20000-Alt_rampe-pos_z)/(20000+Alt_rampe+pos_z)</f>
        <v>1.090743173790256</v>
      </c>
      <c r="W132" s="304">
        <f t="shared" ref="W132:W195" ca="1" si="62">1/2*Rho*Sref*Cx*vit_xz^2</f>
        <v>55.062156775800155</v>
      </c>
      <c r="Y132" s="314" t="str">
        <f t="shared" ca="1" si="51"/>
        <v/>
      </c>
      <c r="Z132" s="315" t="str">
        <f t="shared" ca="1" si="52"/>
        <v/>
      </c>
      <c r="AA132" s="316" t="str">
        <f t="shared" ca="1" si="53"/>
        <v/>
      </c>
      <c r="AC132" s="310" t="e">
        <f t="shared" ca="1" si="54"/>
        <v>#N/A</v>
      </c>
      <c r="AD132" s="323" t="e">
        <f t="shared" ca="1" si="55"/>
        <v>#N/A</v>
      </c>
      <c r="AE132" s="324">
        <f t="shared" ref="AE132:AE195" ca="1" si="63">IF(t&lt;T_para, pos_z, NA())</f>
        <v>1159.513954131635</v>
      </c>
      <c r="AG132" s="306">
        <f t="shared" ca="1" si="56"/>
        <v>-36.226994098336192</v>
      </c>
      <c r="AH132" s="304">
        <f t="shared" ca="1" si="57"/>
        <v>-26.512810301393646</v>
      </c>
    </row>
    <row r="133" spans="1:34" x14ac:dyDescent="0.25">
      <c r="A133" s="347">
        <f t="shared" ref="A133:A196" ca="1" si="64">IF(B132+0.01&lt;=T_ini+ROUNDUP(Temps_fin_propu,0), 0.01, IF(K132&gt;0, 0.1, 0.0001))</f>
        <v>0.01</v>
      </c>
      <c r="B133" s="304">
        <f t="shared" ref="B133:B196" ca="1" si="65">B132+pas</f>
        <v>6.9899999999999727</v>
      </c>
      <c r="D133" s="306">
        <f t="shared" ref="D133:D196" ca="1" si="66">IF(AND(L132&lt;L_rampe,Poussee&lt;Poids*SIN(M132)),0,(-W132+Poussee)/m*COS(M132)-U132/m*SIN(M132))</f>
        <v>-3.6849124462999936</v>
      </c>
      <c r="E133" s="307">
        <f t="shared" ref="E133:E196" ca="1" si="67">IF(AND(L132&lt;L_rampe,Poussee&lt;Poids*SIN(M132)),0,(-W132+Poussee)/m*SIN(M132)+U132/m*COS(M132)-Poids/m)</f>
        <v>-35.969316142490491</v>
      </c>
      <c r="F133" s="304">
        <f t="shared" ref="F133:F196" ca="1" si="68">SQRT(acc_x^2+acc_z^2)</f>
        <v>36.157575741403399</v>
      </c>
      <c r="G133" s="306">
        <f t="shared" ref="G133:G196" ca="1" si="69">G132+acc_x*pas</f>
        <v>29.787177977803342</v>
      </c>
      <c r="H133" s="307">
        <f t="shared" ref="H133:H196" ca="1" si="70">H132+acc_z*pas</f>
        <v>211.3620682046454</v>
      </c>
      <c r="I133" s="304">
        <f t="shared" ref="I133:I196" ca="1" si="71">SQRT(vit_x^2+vit_z^2)</f>
        <v>213.45069652644966</v>
      </c>
      <c r="J133" s="306">
        <f t="shared" ref="J133:J196" ca="1" si="72">J132+0.5*(vit_x+G132)*pas*(K132&gt;=0)</f>
        <v>143.67710604301828</v>
      </c>
      <c r="K133" s="307">
        <f t="shared" ref="K133:K196" ca="1" si="73">K132+0.5*(vit_z+H132)*pas</f>
        <v>1161.6293732794886</v>
      </c>
      <c r="L133" s="304">
        <f t="shared" ca="1" si="58"/>
        <v>1170.4810599350142</v>
      </c>
      <c r="M133" s="306">
        <f t="shared" ref="M133:M196" ca="1" si="74">IF(AND(L132&gt;L_rampe,G133&gt;0),ATAN2(G133,H133),$M$4)</f>
        <v>1.4307887428387125</v>
      </c>
      <c r="N133" s="304">
        <f t="shared" ref="N133:N196" ca="1" si="75">DEGREES(Beta)</f>
        <v>81.978156339487114</v>
      </c>
      <c r="P133" s="310">
        <f t="shared" ref="P133:P196" ca="1" si="76">MATCH(t-pas/2-T_ini,CdP_t)</f>
        <v>13</v>
      </c>
      <c r="Q133" s="304">
        <f t="shared" ref="Q133:Q196" ca="1" si="77">(INDEX(CdP,2,i_P+1)-INDEX(CdP,2,i_P+0))/(INDEX(CdP,1,i_P+1)-INDEX(CdP,1,i_P+0))*(t-pas/2-T_ini-INDEX(CdP,1,i_P+0))+INDEX(CdP,2,i_P+0)</f>
        <v>0</v>
      </c>
      <c r="R133" s="306">
        <f t="shared" ref="R133:R196" ca="1" si="78">Poussee/(g*ISP)</f>
        <v>0</v>
      </c>
      <c r="S133" s="307">
        <f t="shared" ref="S133:S196" ca="1" si="79">S132-Débit*pas</f>
        <v>2.0842999999999985</v>
      </c>
      <c r="T133" s="304">
        <f t="shared" ca="1" si="59"/>
        <v>20.446982999999985</v>
      </c>
      <c r="U133" s="311">
        <f t="shared" ca="1" si="60"/>
        <v>0</v>
      </c>
      <c r="V133" s="306">
        <f t="shared" ca="1" si="61"/>
        <v>1.0905116808666757</v>
      </c>
      <c r="W133" s="304">
        <f t="shared" ca="1" si="62"/>
        <v>54.864570712937891</v>
      </c>
      <c r="Y133" s="314" t="str">
        <f t="shared" ref="Y133:Y196" ca="1" si="80">IF(AND(pos_z&lt;=0,K132&gt;0),"Impact balistique","") &amp; IF(AND(H134&lt;0,vit_z&gt;=0),"Apogée","") &amp; IF(AND(Poussee=0,Q132&gt;0),"Fin de propulsion","") &amp; IF(AND(L134&gt;L_rampe,pos_xz&lt;=L_rampe),"Sortie de rampe","")</f>
        <v/>
      </c>
      <c r="Z133" s="315" t="str">
        <f t="shared" ref="Z133:Z196" ca="1" si="81">IF(ABS(t-T_para)&lt;pas/2,"Para","")</f>
        <v/>
      </c>
      <c r="AA133" s="316" t="str">
        <f t="shared" ref="AA133:AA196" ca="1" si="82">IF(ABS(t-T_satellite)&lt;pas/2,"Satellite","")</f>
        <v/>
      </c>
      <c r="AC133" s="310" t="e">
        <f t="shared" ref="AC133:AC196" ca="1" si="83">IF(ABS(t-ROUND(t,0))&lt;0.001,t,NA())</f>
        <v>#N/A</v>
      </c>
      <c r="AD133" s="323" t="e">
        <f t="shared" ref="AD133:AD196" ca="1" si="84">IF(ABS(t-ROUND(t,0))&lt;0.001,pos_x,NA())</f>
        <v>#N/A</v>
      </c>
      <c r="AE133" s="324">
        <f t="shared" ca="1" si="63"/>
        <v>1161.6293732794886</v>
      </c>
      <c r="AG133" s="306">
        <f t="shared" ref="AG133:AG196" ca="1" si="85">IF(AND(L132&lt;L_rampe,Poussee&lt;Poids*SIN(M132)),0,(-W132+Poussee)/m-Poids*SIN(M132)/m)</f>
        <v>-36.131673779196284</v>
      </c>
      <c r="AH133" s="304">
        <f t="shared" ref="AH133:AH196" ca="1" si="86">IF(AND(L132&lt;L_rampe,Poussee&lt;Poids*SIN(M132)), g*SIN(M132), (-W132+Poussee)/m)</f>
        <v>-26.417577496425753</v>
      </c>
    </row>
    <row r="134" spans="1:34" x14ac:dyDescent="0.25">
      <c r="A134" s="347">
        <f t="shared" ca="1" si="64"/>
        <v>0.01</v>
      </c>
      <c r="B134" s="304">
        <f t="shared" ca="1" si="65"/>
        <v>6.9999999999999725</v>
      </c>
      <c r="D134" s="306">
        <f t="shared" ca="1" si="66"/>
        <v>-3.6733604088429965</v>
      </c>
      <c r="E134" s="307">
        <f t="shared" ca="1" si="67"/>
        <v>-35.875210133456676</v>
      </c>
      <c r="F134" s="304">
        <f t="shared" ca="1" si="68"/>
        <v>36.062782460771487</v>
      </c>
      <c r="G134" s="306">
        <f t="shared" ca="1" si="69"/>
        <v>29.750444373714913</v>
      </c>
      <c r="H134" s="307">
        <f t="shared" ca="1" si="70"/>
        <v>211.00331610331082</v>
      </c>
      <c r="I134" s="304">
        <f t="shared" ca="1" si="71"/>
        <v>213.09032907907203</v>
      </c>
      <c r="J134" s="306">
        <f t="shared" ca="1" si="72"/>
        <v>143.97479415477588</v>
      </c>
      <c r="K134" s="307">
        <f t="shared" ca="1" si="73"/>
        <v>1163.7412002010285</v>
      </c>
      <c r="L134" s="304">
        <f t="shared" ca="1" si="58"/>
        <v>1172.6134582193915</v>
      </c>
      <c r="M134" s="306">
        <f t="shared" ca="1" si="74"/>
        <v>1.4307244981762648</v>
      </c>
      <c r="N134" s="304">
        <f t="shared" ca="1" si="75"/>
        <v>81.974475391472623</v>
      </c>
      <c r="P134" s="310">
        <f t="shared" ca="1" si="76"/>
        <v>13</v>
      </c>
      <c r="Q134" s="304">
        <f t="shared" ca="1" si="77"/>
        <v>0</v>
      </c>
      <c r="R134" s="306">
        <f t="shared" ca="1" si="78"/>
        <v>0</v>
      </c>
      <c r="S134" s="307">
        <f t="shared" ca="1" si="79"/>
        <v>2.0842999999999985</v>
      </c>
      <c r="T134" s="304">
        <f t="shared" ca="1" si="59"/>
        <v>20.446982999999985</v>
      </c>
      <c r="U134" s="311">
        <f t="shared" ca="1" si="60"/>
        <v>0</v>
      </c>
      <c r="V134" s="306">
        <f t="shared" ca="1" si="61"/>
        <v>1.090280627204729</v>
      </c>
      <c r="W134" s="304">
        <f t="shared" ca="1" si="62"/>
        <v>54.667886798526958</v>
      </c>
      <c r="Y134" s="314" t="str">
        <f t="shared" ca="1" si="80"/>
        <v/>
      </c>
      <c r="Z134" s="315" t="str">
        <f t="shared" ca="1" si="81"/>
        <v/>
      </c>
      <c r="AA134" s="316" t="str">
        <f t="shared" ca="1" si="82"/>
        <v/>
      </c>
      <c r="AC134" s="310">
        <f t="shared" ca="1" si="83"/>
        <v>6.9999999999999725</v>
      </c>
      <c r="AD134" s="323">
        <f t="shared" ca="1" si="84"/>
        <v>143.97479415477588</v>
      </c>
      <c r="AE134" s="324">
        <f t="shared" ca="1" si="63"/>
        <v>1163.7412002010285</v>
      </c>
      <c r="AG134" s="306">
        <f t="shared" ca="1" si="85"/>
        <v>-36.03678871296313</v>
      </c>
      <c r="AH134" s="304">
        <f t="shared" ca="1" si="86"/>
        <v>-26.322780172210301</v>
      </c>
    </row>
    <row r="135" spans="1:34" x14ac:dyDescent="0.25">
      <c r="A135" s="347">
        <f t="shared" ca="1" si="64"/>
        <v>0.01</v>
      </c>
      <c r="B135" s="304">
        <f t="shared" ca="1" si="65"/>
        <v>7.0099999999999723</v>
      </c>
      <c r="D135" s="306">
        <f t="shared" ca="1" si="66"/>
        <v>-3.6618603247916583</v>
      </c>
      <c r="E135" s="307">
        <f t="shared" ca="1" si="67"/>
        <v>-35.781533800713603</v>
      </c>
      <c r="F135" s="304">
        <f t="shared" ca="1" si="68"/>
        <v>35.968422013898433</v>
      </c>
      <c r="G135" s="306">
        <f t="shared" ca="1" si="69"/>
        <v>29.713825770466997</v>
      </c>
      <c r="H135" s="307">
        <f t="shared" ca="1" si="70"/>
        <v>210.64550076530369</v>
      </c>
      <c r="I135" s="304">
        <f t="shared" ca="1" si="71"/>
        <v>212.73090615748157</v>
      </c>
      <c r="J135" s="306">
        <f t="shared" ca="1" si="72"/>
        <v>144.2721155054968</v>
      </c>
      <c r="K135" s="307">
        <f t="shared" ca="1" si="73"/>
        <v>1165.8494442853716</v>
      </c>
      <c r="L135" s="304">
        <f t="shared" ca="1" si="58"/>
        <v>1174.7422568601767</v>
      </c>
      <c r="M135" s="306">
        <f t="shared" ca="1" si="74"/>
        <v>1.4306601156320744</v>
      </c>
      <c r="N135" s="304">
        <f t="shared" ca="1" si="75"/>
        <v>81.970786543416196</v>
      </c>
      <c r="P135" s="310">
        <f t="shared" ca="1" si="76"/>
        <v>13</v>
      </c>
      <c r="Q135" s="304">
        <f t="shared" ca="1" si="77"/>
        <v>0</v>
      </c>
      <c r="R135" s="306">
        <f t="shared" ca="1" si="78"/>
        <v>0</v>
      </c>
      <c r="S135" s="307">
        <f t="shared" ca="1" si="79"/>
        <v>2.0842999999999985</v>
      </c>
      <c r="T135" s="304">
        <f t="shared" ca="1" si="59"/>
        <v>20.446982999999985</v>
      </c>
      <c r="U135" s="311">
        <f t="shared" ca="1" si="60"/>
        <v>0</v>
      </c>
      <c r="V135" s="306">
        <f t="shared" ca="1" si="61"/>
        <v>1.0900500115283422</v>
      </c>
      <c r="W135" s="304">
        <f t="shared" ca="1" si="62"/>
        <v>54.472099550807656</v>
      </c>
      <c r="Y135" s="314" t="str">
        <f t="shared" ca="1" si="80"/>
        <v/>
      </c>
      <c r="Z135" s="315" t="str">
        <f t="shared" ca="1" si="81"/>
        <v/>
      </c>
      <c r="AA135" s="316" t="str">
        <f t="shared" ca="1" si="82"/>
        <v/>
      </c>
      <c r="AC135" s="310" t="e">
        <f t="shared" ca="1" si="83"/>
        <v>#N/A</v>
      </c>
      <c r="AD135" s="323" t="e">
        <f t="shared" ca="1" si="84"/>
        <v>#N/A</v>
      </c>
      <c r="AE135" s="324">
        <f t="shared" ca="1" si="63"/>
        <v>1165.8494442853716</v>
      </c>
      <c r="AG135" s="306">
        <f t="shared" ca="1" si="85"/>
        <v>-35.942336248719513</v>
      </c>
      <c r="AH135" s="304">
        <f t="shared" ca="1" si="86"/>
        <v>-26.228415678418173</v>
      </c>
    </row>
    <row r="136" spans="1:34" x14ac:dyDescent="0.25">
      <c r="A136" s="347">
        <f t="shared" ca="1" si="64"/>
        <v>0.01</v>
      </c>
      <c r="B136" s="304">
        <f t="shared" ca="1" si="65"/>
        <v>7.019999999999972</v>
      </c>
      <c r="D136" s="306">
        <f t="shared" ca="1" si="66"/>
        <v>-3.6504118771593745</v>
      </c>
      <c r="E136" s="307">
        <f t="shared" ca="1" si="67"/>
        <v>-35.688284533394288</v>
      </c>
      <c r="F136" s="304">
        <f t="shared" ca="1" si="68"/>
        <v>35.874491770747312</v>
      </c>
      <c r="G136" s="306">
        <f t="shared" ca="1" si="69"/>
        <v>29.677321651695404</v>
      </c>
      <c r="H136" s="307">
        <f t="shared" ca="1" si="70"/>
        <v>210.28861791996974</v>
      </c>
      <c r="I136" s="304">
        <f t="shared" ca="1" si="71"/>
        <v>212.37242346196743</v>
      </c>
      <c r="J136" s="306">
        <f t="shared" ca="1" si="72"/>
        <v>144.56907124260761</v>
      </c>
      <c r="K136" s="307">
        <f t="shared" ca="1" si="73"/>
        <v>1167.954114878798</v>
      </c>
      <c r="L136" s="304">
        <f t="shared" ca="1" si="58"/>
        <v>1176.867465274772</v>
      </c>
      <c r="M136" s="306">
        <f t="shared" ca="1" si="74"/>
        <v>1.4305955949622819</v>
      </c>
      <c r="N136" s="304">
        <f t="shared" ca="1" si="75"/>
        <v>81.967089781345734</v>
      </c>
      <c r="P136" s="310">
        <f t="shared" ca="1" si="76"/>
        <v>13</v>
      </c>
      <c r="Q136" s="304">
        <f t="shared" ca="1" si="77"/>
        <v>0</v>
      </c>
      <c r="R136" s="306">
        <f t="shared" ca="1" si="78"/>
        <v>0</v>
      </c>
      <c r="S136" s="307">
        <f t="shared" ca="1" si="79"/>
        <v>2.0842999999999985</v>
      </c>
      <c r="T136" s="304">
        <f t="shared" ca="1" si="59"/>
        <v>20.446982999999985</v>
      </c>
      <c r="U136" s="311">
        <f t="shared" ca="1" si="60"/>
        <v>0</v>
      </c>
      <c r="V136" s="306">
        <f t="shared" ca="1" si="61"/>
        <v>1.0898198325674877</v>
      </c>
      <c r="W136" s="304">
        <f t="shared" ca="1" si="62"/>
        <v>54.277203529951343</v>
      </c>
      <c r="Y136" s="314" t="str">
        <f t="shared" ca="1" si="80"/>
        <v/>
      </c>
      <c r="Z136" s="315" t="str">
        <f t="shared" ca="1" si="81"/>
        <v/>
      </c>
      <c r="AA136" s="316" t="str">
        <f t="shared" ca="1" si="82"/>
        <v/>
      </c>
      <c r="AC136" s="310" t="e">
        <f t="shared" ca="1" si="83"/>
        <v>#N/A</v>
      </c>
      <c r="AD136" s="323" t="e">
        <f t="shared" ca="1" si="84"/>
        <v>#N/A</v>
      </c>
      <c r="AE136" s="324">
        <f t="shared" ca="1" si="63"/>
        <v>1167.954114878798</v>
      </c>
      <c r="AG136" s="306">
        <f t="shared" ca="1" si="85"/>
        <v>-35.848313755850739</v>
      </c>
      <c r="AH136" s="304">
        <f t="shared" ca="1" si="86"/>
        <v>-26.13448138502504</v>
      </c>
    </row>
    <row r="137" spans="1:34" x14ac:dyDescent="0.25">
      <c r="A137" s="347">
        <f t="shared" ca="1" si="64"/>
        <v>0.01</v>
      </c>
      <c r="B137" s="304">
        <f t="shared" ca="1" si="65"/>
        <v>7.0299999999999718</v>
      </c>
      <c r="D137" s="306">
        <f t="shared" ca="1" si="66"/>
        <v>-3.6390147513829945</v>
      </c>
      <c r="E137" s="307">
        <f t="shared" ca="1" si="67"/>
        <v>-35.595459740602813</v>
      </c>
      <c r="F137" s="304">
        <f t="shared" ca="1" si="68"/>
        <v>35.780989121398797</v>
      </c>
      <c r="G137" s="306">
        <f t="shared" ca="1" si="69"/>
        <v>29.640931504181573</v>
      </c>
      <c r="H137" s="307">
        <f t="shared" ca="1" si="70"/>
        <v>209.93266332256371</v>
      </c>
      <c r="I137" s="304">
        <f t="shared" ca="1" si="71"/>
        <v>212.01487671892383</v>
      </c>
      <c r="J137" s="306">
        <f t="shared" ca="1" si="72"/>
        <v>144.865662508387</v>
      </c>
      <c r="K137" s="307">
        <f t="shared" ca="1" si="73"/>
        <v>1170.0552212850107</v>
      </c>
      <c r="L137" s="304">
        <f t="shared" ca="1" si="58"/>
        <v>1178.9890928377197</v>
      </c>
      <c r="M137" s="306">
        <f t="shared" ca="1" si="74"/>
        <v>1.4305309359222156</v>
      </c>
      <c r="N137" s="304">
        <f t="shared" ca="1" si="75"/>
        <v>81.963385091242557</v>
      </c>
      <c r="P137" s="310">
        <f t="shared" ca="1" si="76"/>
        <v>13</v>
      </c>
      <c r="Q137" s="304">
        <f t="shared" ca="1" si="77"/>
        <v>0</v>
      </c>
      <c r="R137" s="306">
        <f t="shared" ca="1" si="78"/>
        <v>0</v>
      </c>
      <c r="S137" s="307">
        <f t="shared" ca="1" si="79"/>
        <v>2.0842999999999985</v>
      </c>
      <c r="T137" s="304">
        <f t="shared" ca="1" si="59"/>
        <v>20.446982999999985</v>
      </c>
      <c r="U137" s="311">
        <f t="shared" ca="1" si="60"/>
        <v>0</v>
      </c>
      <c r="V137" s="306">
        <f t="shared" ca="1" si="61"/>
        <v>1.0895900890581491</v>
      </c>
      <c r="W137" s="304">
        <f t="shared" ca="1" si="62"/>
        <v>54.083193337675105</v>
      </c>
      <c r="Y137" s="314" t="str">
        <f t="shared" ca="1" si="80"/>
        <v/>
      </c>
      <c r="Z137" s="315" t="str">
        <f t="shared" ca="1" si="81"/>
        <v/>
      </c>
      <c r="AA137" s="316" t="str">
        <f t="shared" ca="1" si="82"/>
        <v/>
      </c>
      <c r="AC137" s="310" t="e">
        <f t="shared" ca="1" si="83"/>
        <v>#N/A</v>
      </c>
      <c r="AD137" s="323" t="e">
        <f t="shared" ca="1" si="84"/>
        <v>#N/A</v>
      </c>
      <c r="AE137" s="324">
        <f t="shared" ca="1" si="63"/>
        <v>1170.0552212850107</v>
      </c>
      <c r="AG137" s="306">
        <f t="shared" ca="1" si="85"/>
        <v>-35.75471862385745</v>
      </c>
      <c r="AH137" s="304">
        <f t="shared" ca="1" si="86"/>
        <v>-26.040974682124158</v>
      </c>
    </row>
    <row r="138" spans="1:34" x14ac:dyDescent="0.25">
      <c r="A138" s="347">
        <f t="shared" ca="1" si="64"/>
        <v>0.01</v>
      </c>
      <c r="B138" s="304">
        <f t="shared" ca="1" si="65"/>
        <v>7.0399999999999716</v>
      </c>
      <c r="D138" s="306">
        <f t="shared" ca="1" si="66"/>
        <v>-3.6276686353005414</v>
      </c>
      <c r="E138" s="307">
        <f t="shared" ca="1" si="67"/>
        <v>-35.50305685123071</v>
      </c>
      <c r="F138" s="304">
        <f t="shared" ca="1" si="68"/>
        <v>35.687911475866208</v>
      </c>
      <c r="G138" s="306">
        <f t="shared" ca="1" si="69"/>
        <v>29.604654817828568</v>
      </c>
      <c r="H138" s="307">
        <f t="shared" ca="1" si="70"/>
        <v>209.57763275405139</v>
      </c>
      <c r="I138" s="304">
        <f t="shared" ca="1" si="71"/>
        <v>211.65826168065072</v>
      </c>
      <c r="J138" s="306">
        <f t="shared" ca="1" si="72"/>
        <v>145.16189043999705</v>
      </c>
      <c r="K138" s="307">
        <f t="shared" ca="1" si="73"/>
        <v>1172.1527727653938</v>
      </c>
      <c r="L138" s="304">
        <f t="shared" ca="1" si="58"/>
        <v>1181.1071488809619</v>
      </c>
      <c r="M138" s="306">
        <f t="shared" ca="1" si="74"/>
        <v>1.4304661382663881</v>
      </c>
      <c r="N138" s="304">
        <f t="shared" ca="1" si="75"/>
        <v>81.9596724590413</v>
      </c>
      <c r="P138" s="310">
        <f t="shared" ca="1" si="76"/>
        <v>13</v>
      </c>
      <c r="Q138" s="304">
        <f t="shared" ca="1" si="77"/>
        <v>0</v>
      </c>
      <c r="R138" s="306">
        <f t="shared" ca="1" si="78"/>
        <v>0</v>
      </c>
      <c r="S138" s="307">
        <f t="shared" ca="1" si="79"/>
        <v>2.0842999999999985</v>
      </c>
      <c r="T138" s="304">
        <f t="shared" ca="1" si="59"/>
        <v>20.446982999999985</v>
      </c>
      <c r="U138" s="311">
        <f t="shared" ca="1" si="60"/>
        <v>0</v>
      </c>
      <c r="V138" s="306">
        <f t="shared" ca="1" si="61"/>
        <v>1.0893607797422802</v>
      </c>
      <c r="W138" s="304">
        <f t="shared" ca="1" si="62"/>
        <v>53.890063616859884</v>
      </c>
      <c r="Y138" s="314" t="str">
        <f t="shared" ca="1" si="80"/>
        <v/>
      </c>
      <c r="Z138" s="315" t="str">
        <f t="shared" ca="1" si="81"/>
        <v/>
      </c>
      <c r="AA138" s="316" t="str">
        <f t="shared" ca="1" si="82"/>
        <v/>
      </c>
      <c r="AC138" s="310" t="e">
        <f t="shared" ca="1" si="83"/>
        <v>#N/A</v>
      </c>
      <c r="AD138" s="323" t="e">
        <f t="shared" ca="1" si="84"/>
        <v>#N/A</v>
      </c>
      <c r="AE138" s="324">
        <f t="shared" ca="1" si="63"/>
        <v>1172.1527727653938</v>
      </c>
      <c r="AG138" s="306">
        <f t="shared" ca="1" si="85"/>
        <v>-35.661548262170669</v>
      </c>
      <c r="AH138" s="304">
        <f t="shared" ca="1" si="86"/>
        <v>-25.947892979741468</v>
      </c>
    </row>
    <row r="139" spans="1:34" x14ac:dyDescent="0.25">
      <c r="A139" s="347">
        <f t="shared" ca="1" si="64"/>
        <v>0.01</v>
      </c>
      <c r="B139" s="304">
        <f t="shared" ca="1" si="65"/>
        <v>7.0499999999999714</v>
      </c>
      <c r="D139" s="306">
        <f t="shared" ca="1" si="66"/>
        <v>-3.6163732191291555</v>
      </c>
      <c r="E139" s="307">
        <f t="shared" ca="1" si="67"/>
        <v>-35.411073313775169</v>
      </c>
      <c r="F139" s="304">
        <f t="shared" ca="1" si="68"/>
        <v>35.59525626391239</v>
      </c>
      <c r="G139" s="306">
        <f t="shared" ca="1" si="69"/>
        <v>29.568491085637277</v>
      </c>
      <c r="H139" s="307">
        <f t="shared" ca="1" si="70"/>
        <v>209.22352202091363</v>
      </c>
      <c r="I139" s="304">
        <f t="shared" ca="1" si="71"/>
        <v>211.30257412515621</v>
      </c>
      <c r="J139" s="306">
        <f t="shared" ca="1" si="72"/>
        <v>145.45775616951437</v>
      </c>
      <c r="K139" s="307">
        <f t="shared" ca="1" si="73"/>
        <v>1174.2467785392687</v>
      </c>
      <c r="L139" s="304">
        <f t="shared" ca="1" si="58"/>
        <v>1183.2216426940981</v>
      </c>
      <c r="M139" s="306">
        <f t="shared" ca="1" si="74"/>
        <v>1.4304012017484948</v>
      </c>
      <c r="N139" s="304">
        <f t="shared" ca="1" si="75"/>
        <v>81.955951870629747</v>
      </c>
      <c r="P139" s="310">
        <f t="shared" ca="1" si="76"/>
        <v>13</v>
      </c>
      <c r="Q139" s="304">
        <f t="shared" ca="1" si="77"/>
        <v>0</v>
      </c>
      <c r="R139" s="306">
        <f t="shared" ca="1" si="78"/>
        <v>0</v>
      </c>
      <c r="S139" s="307">
        <f t="shared" ca="1" si="79"/>
        <v>2.0842999999999985</v>
      </c>
      <c r="T139" s="304">
        <f t="shared" ca="1" si="59"/>
        <v>20.446982999999985</v>
      </c>
      <c r="U139" s="311">
        <f t="shared" ca="1" si="60"/>
        <v>0</v>
      </c>
      <c r="V139" s="306">
        <f t="shared" ca="1" si="61"/>
        <v>1.0891319033677722</v>
      </c>
      <c r="W139" s="304">
        <f t="shared" ca="1" si="62"/>
        <v>53.697809051173344</v>
      </c>
      <c r="Y139" s="314" t="str">
        <f t="shared" ca="1" si="80"/>
        <v/>
      </c>
      <c r="Z139" s="315" t="str">
        <f t="shared" ca="1" si="81"/>
        <v/>
      </c>
      <c r="AA139" s="316" t="str">
        <f t="shared" ca="1" si="82"/>
        <v/>
      </c>
      <c r="AC139" s="310" t="e">
        <f t="shared" ca="1" si="83"/>
        <v>#N/A</v>
      </c>
      <c r="AD139" s="323" t="e">
        <f t="shared" ca="1" si="84"/>
        <v>#N/A</v>
      </c>
      <c r="AE139" s="324">
        <f t="shared" ca="1" si="63"/>
        <v>1174.2467785392687</v>
      </c>
      <c r="AG139" s="306">
        <f t="shared" ca="1" si="85"/>
        <v>-35.568800099968648</v>
      </c>
      <c r="AH139" s="304">
        <f t="shared" ca="1" si="86"/>
        <v>-25.855233707652413</v>
      </c>
    </row>
    <row r="140" spans="1:34" x14ac:dyDescent="0.25">
      <c r="A140" s="347">
        <f t="shared" ca="1" si="64"/>
        <v>0.01</v>
      </c>
      <c r="B140" s="304">
        <f t="shared" ca="1" si="65"/>
        <v>7.0599999999999712</v>
      </c>
      <c r="D140" s="306">
        <f t="shared" ca="1" si="66"/>
        <v>-3.6051281954432794</v>
      </c>
      <c r="E140" s="307">
        <f t="shared" ca="1" si="67"/>
        <v>-35.31950659615935</v>
      </c>
      <c r="F140" s="304">
        <f t="shared" ca="1" si="68"/>
        <v>35.50302093486868</v>
      </c>
      <c r="G140" s="306">
        <f t="shared" ca="1" si="69"/>
        <v>29.532439803682845</v>
      </c>
      <c r="H140" s="307">
        <f t="shared" ca="1" si="70"/>
        <v>208.87032695495205</v>
      </c>
      <c r="I140" s="304">
        <f t="shared" ca="1" si="71"/>
        <v>210.94780985596108</v>
      </c>
      <c r="J140" s="306">
        <f t="shared" ca="1" si="72"/>
        <v>145.75326082396097</v>
      </c>
      <c r="K140" s="307">
        <f t="shared" ca="1" si="73"/>
        <v>1176.3372477841481</v>
      </c>
      <c r="L140" s="304">
        <f t="shared" ca="1" si="58"/>
        <v>1185.3325835246417</v>
      </c>
      <c r="M140" s="306">
        <f t="shared" ca="1" si="74"/>
        <v>1.4303361261214105</v>
      </c>
      <c r="N140" s="304">
        <f t="shared" ca="1" si="75"/>
        <v>81.952223311848641</v>
      </c>
      <c r="P140" s="310">
        <f t="shared" ca="1" si="76"/>
        <v>13</v>
      </c>
      <c r="Q140" s="304">
        <f t="shared" ca="1" si="77"/>
        <v>0</v>
      </c>
      <c r="R140" s="306">
        <f t="shared" ca="1" si="78"/>
        <v>0</v>
      </c>
      <c r="S140" s="307">
        <f t="shared" ca="1" si="79"/>
        <v>2.0842999999999985</v>
      </c>
      <c r="T140" s="304">
        <f t="shared" ca="1" si="59"/>
        <v>20.446982999999985</v>
      </c>
      <c r="U140" s="311">
        <f t="shared" ca="1" si="60"/>
        <v>0</v>
      </c>
      <c r="V140" s="306">
        <f t="shared" ca="1" si="61"/>
        <v>1.0889034586884128</v>
      </c>
      <c r="W140" s="304">
        <f t="shared" ca="1" si="62"/>
        <v>53.506424364696244</v>
      </c>
      <c r="Y140" s="314" t="str">
        <f t="shared" ca="1" si="80"/>
        <v/>
      </c>
      <c r="Z140" s="315" t="str">
        <f t="shared" ca="1" si="81"/>
        <v/>
      </c>
      <c r="AA140" s="316" t="str">
        <f t="shared" ca="1" si="82"/>
        <v/>
      </c>
      <c r="AC140" s="310" t="e">
        <f t="shared" ca="1" si="83"/>
        <v>#N/A</v>
      </c>
      <c r="AD140" s="323" t="e">
        <f t="shared" ca="1" si="84"/>
        <v>#N/A</v>
      </c>
      <c r="AE140" s="324">
        <f t="shared" ca="1" si="63"/>
        <v>1176.3372477841481</v>
      </c>
      <c r="AG140" s="306">
        <f t="shared" ca="1" si="85"/>
        <v>-35.476471585995881</v>
      </c>
      <c r="AH140" s="304">
        <f t="shared" ca="1" si="86"/>
        <v>-25.76299431520097</v>
      </c>
    </row>
    <row r="141" spans="1:34" x14ac:dyDescent="0.25">
      <c r="A141" s="347">
        <f t="shared" ca="1" si="64"/>
        <v>0.01</v>
      </c>
      <c r="B141" s="304">
        <f t="shared" ca="1" si="65"/>
        <v>7.069999999999971</v>
      </c>
      <c r="D141" s="306">
        <f t="shared" ca="1" si="66"/>
        <v>-3.5939332591530686</v>
      </c>
      <c r="E141" s="307">
        <f t="shared" ca="1" si="67"/>
        <v>-35.228354185554487</v>
      </c>
      <c r="F141" s="304">
        <f t="shared" ca="1" si="68"/>
        <v>35.411202957455721</v>
      </c>
      <c r="G141" s="306">
        <f t="shared" ca="1" si="69"/>
        <v>29.496500471091313</v>
      </c>
      <c r="H141" s="307">
        <f t="shared" ca="1" si="70"/>
        <v>208.51804341309651</v>
      </c>
      <c r="I141" s="304">
        <f t="shared" ca="1" si="71"/>
        <v>210.59396470190472</v>
      </c>
      <c r="J141" s="306">
        <f t="shared" ca="1" si="72"/>
        <v>146.04840552533483</v>
      </c>
      <c r="K141" s="307">
        <f t="shared" ca="1" si="73"/>
        <v>1178.4241896359883</v>
      </c>
      <c r="L141" s="304">
        <f t="shared" ca="1" si="58"/>
        <v>1187.4399805782725</v>
      </c>
      <c r="M141" s="306">
        <f t="shared" ca="1" si="74"/>
        <v>1.4302709111371865</v>
      </c>
      <c r="N141" s="304">
        <f t="shared" ca="1" si="75"/>
        <v>81.948486768491605</v>
      </c>
      <c r="P141" s="310">
        <f t="shared" ca="1" si="76"/>
        <v>13</v>
      </c>
      <c r="Q141" s="304">
        <f t="shared" ca="1" si="77"/>
        <v>0</v>
      </c>
      <c r="R141" s="306">
        <f t="shared" ca="1" si="78"/>
        <v>0</v>
      </c>
      <c r="S141" s="307">
        <f t="shared" ca="1" si="79"/>
        <v>2.0842999999999985</v>
      </c>
      <c r="T141" s="304">
        <f t="shared" ca="1" si="59"/>
        <v>20.446982999999985</v>
      </c>
      <c r="U141" s="311">
        <f t="shared" ca="1" si="60"/>
        <v>0</v>
      </c>
      <c r="V141" s="306">
        <f t="shared" ca="1" si="61"/>
        <v>1.08867544446385</v>
      </c>
      <c r="W141" s="304">
        <f t="shared" ca="1" si="62"/>
        <v>53.315904321553013</v>
      </c>
      <c r="Y141" s="314" t="str">
        <f t="shared" ca="1" si="80"/>
        <v/>
      </c>
      <c r="Z141" s="315" t="str">
        <f t="shared" ca="1" si="81"/>
        <v/>
      </c>
      <c r="AA141" s="316" t="str">
        <f t="shared" ca="1" si="82"/>
        <v/>
      </c>
      <c r="AC141" s="310" t="e">
        <f t="shared" ca="1" si="83"/>
        <v>#N/A</v>
      </c>
      <c r="AD141" s="323" t="e">
        <f t="shared" ca="1" si="84"/>
        <v>#N/A</v>
      </c>
      <c r="AE141" s="324">
        <f t="shared" ca="1" si="63"/>
        <v>1178.4241896359883</v>
      </c>
      <c r="AG141" s="306">
        <f t="shared" ca="1" si="85"/>
        <v>-35.384560188383858</v>
      </c>
      <c r="AH141" s="304">
        <f t="shared" ca="1" si="86"/>
        <v>-25.671172271120415</v>
      </c>
    </row>
    <row r="142" spans="1:34" x14ac:dyDescent="0.25">
      <c r="A142" s="347">
        <f t="shared" ca="1" si="64"/>
        <v>0.01</v>
      </c>
      <c r="B142" s="304">
        <f t="shared" ca="1" si="65"/>
        <v>7.0799999999999708</v>
      </c>
      <c r="D142" s="306">
        <f t="shared" ca="1" si="66"/>
        <v>-3.5827881074830432</v>
      </c>
      <c r="E142" s="307">
        <f t="shared" ca="1" si="67"/>
        <v>-35.137613588203877</v>
      </c>
      <c r="F142" s="304">
        <f t="shared" ca="1" si="68"/>
        <v>35.319799819606168</v>
      </c>
      <c r="G142" s="306">
        <f t="shared" ca="1" si="69"/>
        <v>29.460672590016483</v>
      </c>
      <c r="H142" s="307">
        <f t="shared" ca="1" si="70"/>
        <v>208.16666727721446</v>
      </c>
      <c r="I142" s="304">
        <f t="shared" ca="1" si="71"/>
        <v>210.24103451695308</v>
      </c>
      <c r="J142" s="306">
        <f t="shared" ca="1" si="72"/>
        <v>146.34319139064036</v>
      </c>
      <c r="K142" s="307">
        <f t="shared" ca="1" si="73"/>
        <v>1180.50761318944</v>
      </c>
      <c r="L142" s="304">
        <f t="shared" ca="1" si="58"/>
        <v>1189.5438430190902</v>
      </c>
      <c r="M142" s="306">
        <f t="shared" ca="1" si="74"/>
        <v>1.4302055565470493</v>
      </c>
      <c r="N142" s="304">
        <f t="shared" ca="1" si="75"/>
        <v>81.944742226304925</v>
      </c>
      <c r="P142" s="310">
        <f t="shared" ca="1" si="76"/>
        <v>13</v>
      </c>
      <c r="Q142" s="304">
        <f t="shared" ca="1" si="77"/>
        <v>0</v>
      </c>
      <c r="R142" s="306">
        <f t="shared" ca="1" si="78"/>
        <v>0</v>
      </c>
      <c r="S142" s="307">
        <f t="shared" ca="1" si="79"/>
        <v>2.0842999999999985</v>
      </c>
      <c r="T142" s="304">
        <f t="shared" ca="1" si="59"/>
        <v>20.446982999999985</v>
      </c>
      <c r="U142" s="311">
        <f t="shared" ca="1" si="60"/>
        <v>0</v>
      </c>
      <c r="V142" s="306">
        <f t="shared" ca="1" si="61"/>
        <v>1.088447859459559</v>
      </c>
      <c r="W142" s="304">
        <f t="shared" ca="1" si="62"/>
        <v>53.126243725546416</v>
      </c>
      <c r="Y142" s="314" t="str">
        <f t="shared" ca="1" si="80"/>
        <v/>
      </c>
      <c r="Z142" s="315" t="str">
        <f t="shared" ca="1" si="81"/>
        <v/>
      </c>
      <c r="AA142" s="316" t="str">
        <f t="shared" ca="1" si="82"/>
        <v/>
      </c>
      <c r="AC142" s="310" t="e">
        <f t="shared" ca="1" si="83"/>
        <v>#N/A</v>
      </c>
      <c r="AD142" s="323" t="e">
        <f t="shared" ca="1" si="84"/>
        <v>#N/A</v>
      </c>
      <c r="AE142" s="324">
        <f t="shared" ca="1" si="63"/>
        <v>1180.50761318944</v>
      </c>
      <c r="AG142" s="306">
        <f t="shared" ca="1" si="85"/>
        <v>-35.293063394473791</v>
      </c>
      <c r="AH142" s="304">
        <f t="shared" ca="1" si="86"/>
        <v>-25.579765063356067</v>
      </c>
    </row>
    <row r="143" spans="1:34" x14ac:dyDescent="0.25">
      <c r="A143" s="347">
        <f t="shared" ca="1" si="64"/>
        <v>0.01</v>
      </c>
      <c r="B143" s="304">
        <f t="shared" ca="1" si="65"/>
        <v>7.0899999999999705</v>
      </c>
      <c r="D143" s="306">
        <f t="shared" ca="1" si="66"/>
        <v>-3.5716924399509482</v>
      </c>
      <c r="E143" s="307">
        <f t="shared" ca="1" si="67"/>
        <v>-35.047282329248944</v>
      </c>
      <c r="F143" s="304">
        <f t="shared" ca="1" si="68"/>
        <v>35.228809028289447</v>
      </c>
      <c r="G143" s="306">
        <f t="shared" ca="1" si="69"/>
        <v>29.424955665616974</v>
      </c>
      <c r="H143" s="307">
        <f t="shared" ca="1" si="70"/>
        <v>207.81619445392198</v>
      </c>
      <c r="I143" s="304">
        <f t="shared" ca="1" si="71"/>
        <v>209.8890151800085</v>
      </c>
      <c r="J143" s="306">
        <f t="shared" ca="1" si="72"/>
        <v>146.63761953191852</v>
      </c>
      <c r="K143" s="307">
        <f t="shared" ca="1" si="73"/>
        <v>1182.5875274980956</v>
      </c>
      <c r="L143" s="304">
        <f t="shared" ca="1" si="58"/>
        <v>1191.6441799698628</v>
      </c>
      <c r="M143" s="306">
        <f t="shared" ca="1" si="74"/>
        <v>1.430140062101396</v>
      </c>
      <c r="N143" s="304">
        <f t="shared" ca="1" si="75"/>
        <v>81.940989670987449</v>
      </c>
      <c r="P143" s="310">
        <f t="shared" ca="1" si="76"/>
        <v>13</v>
      </c>
      <c r="Q143" s="304">
        <f t="shared" ca="1" si="77"/>
        <v>0</v>
      </c>
      <c r="R143" s="306">
        <f t="shared" ca="1" si="78"/>
        <v>0</v>
      </c>
      <c r="S143" s="307">
        <f t="shared" ca="1" si="79"/>
        <v>2.0842999999999985</v>
      </c>
      <c r="T143" s="304">
        <f t="shared" ca="1" si="59"/>
        <v>20.446982999999985</v>
      </c>
      <c r="U143" s="311">
        <f t="shared" ca="1" si="60"/>
        <v>0</v>
      </c>
      <c r="V143" s="306">
        <f t="shared" ca="1" si="61"/>
        <v>1.0882207024468014</v>
      </c>
      <c r="W143" s="304">
        <f t="shared" ca="1" si="62"/>
        <v>52.93743741979587</v>
      </c>
      <c r="Y143" s="314" t="str">
        <f t="shared" ca="1" si="80"/>
        <v/>
      </c>
      <c r="Z143" s="315" t="str">
        <f t="shared" ca="1" si="81"/>
        <v/>
      </c>
      <c r="AA143" s="316" t="str">
        <f t="shared" ca="1" si="82"/>
        <v/>
      </c>
      <c r="AC143" s="310" t="e">
        <f t="shared" ca="1" si="83"/>
        <v>#N/A</v>
      </c>
      <c r="AD143" s="323" t="e">
        <f t="shared" ca="1" si="84"/>
        <v>#N/A</v>
      </c>
      <c r="AE143" s="324">
        <f t="shared" ca="1" si="63"/>
        <v>1182.5875274980956</v>
      </c>
      <c r="AG143" s="306">
        <f t="shared" ca="1" si="85"/>
        <v>-35.201978710641342</v>
      </c>
      <c r="AH143" s="304">
        <f t="shared" ca="1" si="86"/>
        <v>-25.488770198890013</v>
      </c>
    </row>
    <row r="144" spans="1:34" x14ac:dyDescent="0.25">
      <c r="A144" s="347">
        <f t="shared" ca="1" si="64"/>
        <v>0.01</v>
      </c>
      <c r="B144" s="304">
        <f t="shared" ca="1" si="65"/>
        <v>7.0999999999999703</v>
      </c>
      <c r="D144" s="306">
        <f t="shared" ca="1" si="66"/>
        <v>-3.5606459583468832</v>
      </c>
      <c r="E144" s="307">
        <f t="shared" ca="1" si="67"/>
        <v>-34.957357952556912</v>
      </c>
      <c r="F144" s="304">
        <f t="shared" ca="1" si="68"/>
        <v>35.138228109338208</v>
      </c>
      <c r="G144" s="306">
        <f t="shared" ca="1" si="69"/>
        <v>29.389349206033504</v>
      </c>
      <c r="H144" s="307">
        <f t="shared" ca="1" si="70"/>
        <v>207.4666208743964</v>
      </c>
      <c r="I144" s="304">
        <f t="shared" ca="1" si="71"/>
        <v>209.53790259472083</v>
      </c>
      <c r="J144" s="306">
        <f t="shared" ca="1" si="72"/>
        <v>146.93169105627678</v>
      </c>
      <c r="K144" s="307">
        <f t="shared" ca="1" si="73"/>
        <v>1184.6639415747372</v>
      </c>
      <c r="L144" s="304">
        <f t="shared" ca="1" si="58"/>
        <v>1193.7410005122761</v>
      </c>
      <c r="M144" s="306">
        <f t="shared" ca="1" si="74"/>
        <v>1.4300744275497934</v>
      </c>
      <c r="N144" s="304">
        <f t="shared" ca="1" si="75"/>
        <v>81.937229088190378</v>
      </c>
      <c r="P144" s="310">
        <f t="shared" ca="1" si="76"/>
        <v>13</v>
      </c>
      <c r="Q144" s="304">
        <f t="shared" ca="1" si="77"/>
        <v>0</v>
      </c>
      <c r="R144" s="306">
        <f t="shared" ca="1" si="78"/>
        <v>0</v>
      </c>
      <c r="S144" s="307">
        <f t="shared" ca="1" si="79"/>
        <v>2.0842999999999985</v>
      </c>
      <c r="T144" s="304">
        <f t="shared" ca="1" si="59"/>
        <v>20.446982999999985</v>
      </c>
      <c r="U144" s="311">
        <f t="shared" ca="1" si="60"/>
        <v>0</v>
      </c>
      <c r="V144" s="306">
        <f t="shared" ca="1" si="61"/>
        <v>1.0879939722025935</v>
      </c>
      <c r="W144" s="304">
        <f t="shared" ca="1" si="62"/>
        <v>52.7494802863798</v>
      </c>
      <c r="Y144" s="314" t="str">
        <f t="shared" ca="1" si="80"/>
        <v/>
      </c>
      <c r="Z144" s="315" t="str">
        <f t="shared" ca="1" si="81"/>
        <v/>
      </c>
      <c r="AA144" s="316" t="str">
        <f t="shared" ca="1" si="82"/>
        <v/>
      </c>
      <c r="AC144" s="310" t="e">
        <f t="shared" ca="1" si="83"/>
        <v>#N/A</v>
      </c>
      <c r="AD144" s="323" t="e">
        <f t="shared" ca="1" si="84"/>
        <v>#N/A</v>
      </c>
      <c r="AE144" s="324">
        <f t="shared" ca="1" si="63"/>
        <v>1184.6639415747372</v>
      </c>
      <c r="AG144" s="306">
        <f t="shared" ca="1" si="85"/>
        <v>-35.111303662123078</v>
      </c>
      <c r="AH144" s="304">
        <f t="shared" ca="1" si="86"/>
        <v>-25.398185203567582</v>
      </c>
    </row>
    <row r="145" spans="1:34" x14ac:dyDescent="0.25">
      <c r="A145" s="347">
        <f t="shared" ca="1" si="64"/>
        <v>0.01</v>
      </c>
      <c r="B145" s="304">
        <f t="shared" ca="1" si="65"/>
        <v>7.1099999999999701</v>
      </c>
      <c r="D145" s="306">
        <f t="shared" ca="1" si="66"/>
        <v>-3.5496483667125918</v>
      </c>
      <c r="E145" s="307">
        <f t="shared" ca="1" si="67"/>
        <v>-34.867838020550508</v>
      </c>
      <c r="F145" s="304">
        <f t="shared" ca="1" si="68"/>
        <v>35.048054607276747</v>
      </c>
      <c r="G145" s="306">
        <f t="shared" ca="1" si="69"/>
        <v>29.35385272236638</v>
      </c>
      <c r="H145" s="307">
        <f t="shared" ca="1" si="70"/>
        <v>207.11794249419088</v>
      </c>
      <c r="I145" s="304">
        <f t="shared" ca="1" si="71"/>
        <v>209.18769268930077</v>
      </c>
      <c r="J145" s="306">
        <f t="shared" ca="1" si="72"/>
        <v>147.22540706591877</v>
      </c>
      <c r="K145" s="307">
        <f t="shared" ca="1" si="73"/>
        <v>1186.7368643915802</v>
      </c>
      <c r="L145" s="304">
        <f t="shared" ca="1" si="58"/>
        <v>1195.8343136871786</v>
      </c>
      <c r="M145" s="306">
        <f t="shared" ca="1" si="74"/>
        <v>1.4300086526409741</v>
      </c>
      <c r="N145" s="304">
        <f t="shared" ca="1" si="75"/>
        <v>81.933460463517179</v>
      </c>
      <c r="P145" s="310">
        <f t="shared" ca="1" si="76"/>
        <v>13</v>
      </c>
      <c r="Q145" s="304">
        <f t="shared" ca="1" si="77"/>
        <v>0</v>
      </c>
      <c r="R145" s="306">
        <f t="shared" ca="1" si="78"/>
        <v>0</v>
      </c>
      <c r="S145" s="307">
        <f t="shared" ca="1" si="79"/>
        <v>2.0842999999999985</v>
      </c>
      <c r="T145" s="304">
        <f t="shared" ca="1" si="59"/>
        <v>20.446982999999985</v>
      </c>
      <c r="U145" s="311">
        <f t="shared" ca="1" si="60"/>
        <v>0</v>
      </c>
      <c r="V145" s="306">
        <f t="shared" ca="1" si="61"/>
        <v>1.0877676675096677</v>
      </c>
      <c r="W145" s="304">
        <f t="shared" ca="1" si="62"/>
        <v>52.562367245981662</v>
      </c>
      <c r="Y145" s="314" t="str">
        <f t="shared" ca="1" si="80"/>
        <v/>
      </c>
      <c r="Z145" s="315" t="str">
        <f t="shared" ca="1" si="81"/>
        <v/>
      </c>
      <c r="AA145" s="316" t="str">
        <f t="shared" ca="1" si="82"/>
        <v/>
      </c>
      <c r="AC145" s="310" t="e">
        <f t="shared" ca="1" si="83"/>
        <v>#N/A</v>
      </c>
      <c r="AD145" s="323" t="e">
        <f t="shared" ca="1" si="84"/>
        <v>#N/A</v>
      </c>
      <c r="AE145" s="324">
        <f t="shared" ca="1" si="63"/>
        <v>1186.7368643915802</v>
      </c>
      <c r="AG145" s="306">
        <f t="shared" ca="1" si="85"/>
        <v>-35.021035792844863</v>
      </c>
      <c r="AH145" s="304">
        <f t="shared" ca="1" si="86"/>
        <v>-25.30800762192575</v>
      </c>
    </row>
    <row r="146" spans="1:34" x14ac:dyDescent="0.25">
      <c r="A146" s="347">
        <f t="shared" ca="1" si="64"/>
        <v>0.01</v>
      </c>
      <c r="B146" s="304">
        <f t="shared" ca="1" si="65"/>
        <v>7.1199999999999699</v>
      </c>
      <c r="D146" s="306">
        <f t="shared" ca="1" si="66"/>
        <v>-3.5386993713210297</v>
      </c>
      <c r="E146" s="307">
        <f t="shared" ca="1" si="67"/>
        <v>-34.778720114039352</v>
      </c>
      <c r="F146" s="304">
        <f t="shared" ca="1" si="68"/>
        <v>34.958286085151165</v>
      </c>
      <c r="G146" s="306">
        <f t="shared" ca="1" si="69"/>
        <v>29.31846572865317</v>
      </c>
      <c r="H146" s="307">
        <f t="shared" ca="1" si="70"/>
        <v>206.77015529305049</v>
      </c>
      <c r="I146" s="304">
        <f t="shared" ca="1" si="71"/>
        <v>208.83838141633456</v>
      </c>
      <c r="J146" s="306">
        <f t="shared" ca="1" si="72"/>
        <v>147.51876865817388</v>
      </c>
      <c r="K146" s="307">
        <f t="shared" ca="1" si="73"/>
        <v>1188.8063048805163</v>
      </c>
      <c r="L146" s="304">
        <f t="shared" ca="1" si="58"/>
        <v>1197.9241284948271</v>
      </c>
      <c r="M146" s="306">
        <f t="shared" ca="1" si="74"/>
        <v>1.4299427371228348</v>
      </c>
      <c r="N146" s="304">
        <f t="shared" ca="1" si="75"/>
        <v>81.929683782523384</v>
      </c>
      <c r="P146" s="310">
        <f t="shared" ca="1" si="76"/>
        <v>13</v>
      </c>
      <c r="Q146" s="304">
        <f t="shared" ca="1" si="77"/>
        <v>0</v>
      </c>
      <c r="R146" s="306">
        <f t="shared" ca="1" si="78"/>
        <v>0</v>
      </c>
      <c r="S146" s="307">
        <f t="shared" ca="1" si="79"/>
        <v>2.0842999999999985</v>
      </c>
      <c r="T146" s="304">
        <f t="shared" ca="1" si="59"/>
        <v>20.446982999999985</v>
      </c>
      <c r="U146" s="311">
        <f t="shared" ca="1" si="60"/>
        <v>0</v>
      </c>
      <c r="V146" s="306">
        <f t="shared" ca="1" si="61"/>
        <v>1.0875417871564386</v>
      </c>
      <c r="W146" s="304">
        <f t="shared" ca="1" si="62"/>
        <v>52.376093257539772</v>
      </c>
      <c r="Y146" s="314" t="str">
        <f t="shared" ca="1" si="80"/>
        <v/>
      </c>
      <c r="Z146" s="315" t="str">
        <f t="shared" ca="1" si="81"/>
        <v/>
      </c>
      <c r="AA146" s="316" t="str">
        <f t="shared" ca="1" si="82"/>
        <v/>
      </c>
      <c r="AC146" s="310" t="e">
        <f t="shared" ca="1" si="83"/>
        <v>#N/A</v>
      </c>
      <c r="AD146" s="323" t="e">
        <f t="shared" ca="1" si="84"/>
        <v>#N/A</v>
      </c>
      <c r="AE146" s="324">
        <f t="shared" ca="1" si="63"/>
        <v>1188.8063048805163</v>
      </c>
      <c r="AG146" s="306">
        <f t="shared" ca="1" si="85"/>
        <v>-34.931172665252056</v>
      </c>
      <c r="AH146" s="304">
        <f t="shared" ca="1" si="86"/>
        <v>-25.218235017023318</v>
      </c>
    </row>
    <row r="147" spans="1:34" x14ac:dyDescent="0.25">
      <c r="A147" s="347">
        <f t="shared" ca="1" si="64"/>
        <v>0.01</v>
      </c>
      <c r="B147" s="304">
        <f t="shared" ca="1" si="65"/>
        <v>7.1299999999999697</v>
      </c>
      <c r="D147" s="306">
        <f t="shared" ca="1" si="66"/>
        <v>-3.5277986806560961</v>
      </c>
      <c r="E147" s="307">
        <f t="shared" ca="1" si="67"/>
        <v>-34.690001832053177</v>
      </c>
      <c r="F147" s="304">
        <f t="shared" ca="1" si="68"/>
        <v>34.868920124361345</v>
      </c>
      <c r="G147" s="306">
        <f t="shared" ca="1" si="69"/>
        <v>29.283187741846607</v>
      </c>
      <c r="H147" s="307">
        <f t="shared" ca="1" si="70"/>
        <v>206.42325527472997</v>
      </c>
      <c r="I147" s="304">
        <f t="shared" ca="1" si="71"/>
        <v>208.48996475260043</v>
      </c>
      <c r="J147" s="306">
        <f t="shared" ca="1" si="72"/>
        <v>147.81177692552637</v>
      </c>
      <c r="K147" s="307">
        <f t="shared" ca="1" si="73"/>
        <v>1190.8722719333553</v>
      </c>
      <c r="L147" s="304">
        <f t="shared" ca="1" si="58"/>
        <v>1200.0104538951286</v>
      </c>
      <c r="M147" s="306">
        <f t="shared" ca="1" si="74"/>
        <v>1.4298766807424328</v>
      </c>
      <c r="N147" s="304">
        <f t="shared" ca="1" si="75"/>
        <v>81.925899030716437</v>
      </c>
      <c r="P147" s="310">
        <f t="shared" ca="1" si="76"/>
        <v>13</v>
      </c>
      <c r="Q147" s="304">
        <f t="shared" ca="1" si="77"/>
        <v>0</v>
      </c>
      <c r="R147" s="306">
        <f t="shared" ca="1" si="78"/>
        <v>0</v>
      </c>
      <c r="S147" s="307">
        <f t="shared" ca="1" si="79"/>
        <v>2.0842999999999985</v>
      </c>
      <c r="T147" s="304">
        <f t="shared" ca="1" si="59"/>
        <v>20.446982999999985</v>
      </c>
      <c r="U147" s="311">
        <f t="shared" ca="1" si="60"/>
        <v>0</v>
      </c>
      <c r="V147" s="306">
        <f t="shared" ca="1" si="61"/>
        <v>1.0873163299369681</v>
      </c>
      <c r="W147" s="304">
        <f t="shared" ca="1" si="62"/>
        <v>52.190653317900882</v>
      </c>
      <c r="Y147" s="314" t="str">
        <f t="shared" ca="1" si="80"/>
        <v/>
      </c>
      <c r="Z147" s="315" t="str">
        <f t="shared" ca="1" si="81"/>
        <v/>
      </c>
      <c r="AA147" s="316" t="str">
        <f t="shared" ca="1" si="82"/>
        <v/>
      </c>
      <c r="AC147" s="310" t="e">
        <f t="shared" ca="1" si="83"/>
        <v>#N/A</v>
      </c>
      <c r="AD147" s="323" t="e">
        <f t="shared" ca="1" si="84"/>
        <v>#N/A</v>
      </c>
      <c r="AE147" s="324">
        <f t="shared" ca="1" si="63"/>
        <v>1190.8722719333553</v>
      </c>
      <c r="AG147" s="306">
        <f t="shared" ca="1" si="85"/>
        <v>-34.841711860141444</v>
      </c>
      <c r="AH147" s="304">
        <f t="shared" ca="1" si="86"/>
        <v>-25.1288649702729</v>
      </c>
    </row>
    <row r="148" spans="1:34" x14ac:dyDescent="0.25">
      <c r="A148" s="347">
        <f t="shared" ca="1" si="64"/>
        <v>0.01</v>
      </c>
      <c r="B148" s="304">
        <f t="shared" ca="1" si="65"/>
        <v>7.1399999999999695</v>
      </c>
      <c r="D148" s="306">
        <f t="shared" ca="1" si="66"/>
        <v>-3.5169460053926325</v>
      </c>
      <c r="E148" s="307">
        <f t="shared" ca="1" si="67"/>
        <v>-34.601680791676856</v>
      </c>
      <c r="F148" s="304">
        <f t="shared" ca="1" si="68"/>
        <v>34.779954324494824</v>
      </c>
      <c r="G148" s="306">
        <f t="shared" ca="1" si="69"/>
        <v>29.248018281792682</v>
      </c>
      <c r="H148" s="307">
        <f t="shared" ca="1" si="70"/>
        <v>206.07723846681321</v>
      </c>
      <c r="I148" s="304">
        <f t="shared" ca="1" si="71"/>
        <v>208.14243869888688</v>
      </c>
      <c r="J148" s="306">
        <f t="shared" ca="1" si="72"/>
        <v>148.10443295564457</v>
      </c>
      <c r="K148" s="307">
        <f t="shared" ca="1" si="73"/>
        <v>1192.9347744020629</v>
      </c>
      <c r="L148" s="304">
        <f t="shared" ca="1" si="58"/>
        <v>1202.0932988078812</v>
      </c>
      <c r="M148" s="306">
        <f t="shared" ca="1" si="74"/>
        <v>1.4298104832459828</v>
      </c>
      <c r="N148" s="304">
        <f t="shared" ca="1" si="75"/>
        <v>81.922106193555521</v>
      </c>
      <c r="P148" s="310">
        <f t="shared" ca="1" si="76"/>
        <v>13</v>
      </c>
      <c r="Q148" s="304">
        <f t="shared" ca="1" si="77"/>
        <v>0</v>
      </c>
      <c r="R148" s="306">
        <f t="shared" ca="1" si="78"/>
        <v>0</v>
      </c>
      <c r="S148" s="307">
        <f t="shared" ca="1" si="79"/>
        <v>2.0842999999999985</v>
      </c>
      <c r="T148" s="304">
        <f t="shared" ca="1" si="59"/>
        <v>20.446982999999985</v>
      </c>
      <c r="U148" s="311">
        <f t="shared" ca="1" si="60"/>
        <v>0</v>
      </c>
      <c r="V148" s="306">
        <f t="shared" ca="1" si="61"/>
        <v>1.0870912946509308</v>
      </c>
      <c r="W148" s="304">
        <f t="shared" ca="1" si="62"/>
        <v>52.006042461477421</v>
      </c>
      <c r="Y148" s="314" t="str">
        <f t="shared" ca="1" si="80"/>
        <v/>
      </c>
      <c r="Z148" s="315" t="str">
        <f t="shared" ca="1" si="81"/>
        <v/>
      </c>
      <c r="AA148" s="316" t="str">
        <f t="shared" ca="1" si="82"/>
        <v/>
      </c>
      <c r="AC148" s="310" t="e">
        <f t="shared" ca="1" si="83"/>
        <v>#N/A</v>
      </c>
      <c r="AD148" s="323" t="e">
        <f t="shared" ca="1" si="84"/>
        <v>#N/A</v>
      </c>
      <c r="AE148" s="324">
        <f t="shared" ca="1" si="63"/>
        <v>1192.9347744020629</v>
      </c>
      <c r="AG148" s="306">
        <f t="shared" ca="1" si="85"/>
        <v>-34.752650976495069</v>
      </c>
      <c r="AH148" s="304">
        <f t="shared" ca="1" si="86"/>
        <v>-25.039895081274729</v>
      </c>
    </row>
    <row r="149" spans="1:34" x14ac:dyDescent="0.25">
      <c r="A149" s="347">
        <f t="shared" ca="1" si="64"/>
        <v>0.01</v>
      </c>
      <c r="B149" s="304">
        <f t="shared" ca="1" si="65"/>
        <v>7.1499999999999693</v>
      </c>
      <c r="D149" s="306">
        <f t="shared" ca="1" si="66"/>
        <v>-3.5061410583766159</v>
      </c>
      <c r="E149" s="307">
        <f t="shared" ca="1" si="67"/>
        <v>-34.513754627887103</v>
      </c>
      <c r="F149" s="304">
        <f t="shared" ca="1" si="68"/>
        <v>34.69138630316224</v>
      </c>
      <c r="G149" s="306">
        <f t="shared" ca="1" si="69"/>
        <v>29.212956871208917</v>
      </c>
      <c r="H149" s="307">
        <f t="shared" ca="1" si="70"/>
        <v>205.73210092053435</v>
      </c>
      <c r="I149" s="304">
        <f t="shared" ca="1" si="71"/>
        <v>207.79579927981231</v>
      </c>
      <c r="J149" s="306">
        <f t="shared" ca="1" si="72"/>
        <v>148.39673783140958</v>
      </c>
      <c r="K149" s="307">
        <f t="shared" ca="1" si="73"/>
        <v>1194.9938210989997</v>
      </c>
      <c r="L149" s="304">
        <f t="shared" ca="1" si="58"/>
        <v>1204.1726721130121</v>
      </c>
      <c r="M149" s="306">
        <f t="shared" ca="1" si="74"/>
        <v>1.4297441443788561</v>
      </c>
      <c r="N149" s="304">
        <f t="shared" ca="1" si="75"/>
        <v>81.918305256451475</v>
      </c>
      <c r="P149" s="310">
        <f t="shared" ca="1" si="76"/>
        <v>13</v>
      </c>
      <c r="Q149" s="304">
        <f t="shared" ca="1" si="77"/>
        <v>0</v>
      </c>
      <c r="R149" s="306">
        <f t="shared" ca="1" si="78"/>
        <v>0</v>
      </c>
      <c r="S149" s="307">
        <f t="shared" ca="1" si="79"/>
        <v>2.0842999999999985</v>
      </c>
      <c r="T149" s="304">
        <f t="shared" ca="1" si="59"/>
        <v>20.446982999999985</v>
      </c>
      <c r="U149" s="311">
        <f t="shared" ca="1" si="60"/>
        <v>0</v>
      </c>
      <c r="V149" s="306">
        <f t="shared" ca="1" si="61"/>
        <v>1.0868666801035785</v>
      </c>
      <c r="W149" s="304">
        <f t="shared" ca="1" si="62"/>
        <v>51.822255759908245</v>
      </c>
      <c r="Y149" s="314" t="str">
        <f t="shared" ca="1" si="80"/>
        <v/>
      </c>
      <c r="Z149" s="315" t="str">
        <f t="shared" ca="1" si="81"/>
        <v/>
      </c>
      <c r="AA149" s="316" t="str">
        <f t="shared" ca="1" si="82"/>
        <v/>
      </c>
      <c r="AC149" s="310" t="e">
        <f t="shared" ca="1" si="83"/>
        <v>#N/A</v>
      </c>
      <c r="AD149" s="323" t="e">
        <f t="shared" ca="1" si="84"/>
        <v>#N/A</v>
      </c>
      <c r="AE149" s="324">
        <f t="shared" ca="1" si="63"/>
        <v>1194.9938210989997</v>
      </c>
      <c r="AG149" s="306">
        <f t="shared" ca="1" si="85"/>
        <v>-34.663987631315749</v>
      </c>
      <c r="AH149" s="304">
        <f t="shared" ca="1" si="86"/>
        <v>-24.951322967652189</v>
      </c>
    </row>
    <row r="150" spans="1:34" x14ac:dyDescent="0.25">
      <c r="A150" s="347">
        <f t="shared" ca="1" si="64"/>
        <v>0.01</v>
      </c>
      <c r="B150" s="304">
        <f t="shared" ca="1" si="65"/>
        <v>7.1599999999999691</v>
      </c>
      <c r="D150" s="306">
        <f t="shared" ca="1" si="66"/>
        <v>-3.4953835546055108</v>
      </c>
      <c r="E150" s="307">
        <f t="shared" ca="1" si="67"/>
        <v>-34.426220993390935</v>
      </c>
      <c r="F150" s="304">
        <f t="shared" ca="1" si="68"/>
        <v>34.603213695834633</v>
      </c>
      <c r="G150" s="306">
        <f t="shared" ca="1" si="69"/>
        <v>29.178003035662861</v>
      </c>
      <c r="H150" s="307">
        <f t="shared" ca="1" si="70"/>
        <v>205.38783871060045</v>
      </c>
      <c r="I150" s="304">
        <f t="shared" ca="1" si="71"/>
        <v>207.45004254364659</v>
      </c>
      <c r="J150" s="306">
        <f t="shared" ca="1" si="72"/>
        <v>148.68869263094393</v>
      </c>
      <c r="K150" s="307">
        <f t="shared" ca="1" si="73"/>
        <v>1197.0494207971553</v>
      </c>
      <c r="L150" s="304">
        <f t="shared" ca="1" si="58"/>
        <v>1206.2485826508168</v>
      </c>
      <c r="M150" s="306">
        <f t="shared" ca="1" si="74"/>
        <v>1.4296776638855757</v>
      </c>
      <c r="N150" s="304">
        <f t="shared" ca="1" si="75"/>
        <v>81.914496204766564</v>
      </c>
      <c r="P150" s="310">
        <f t="shared" ca="1" si="76"/>
        <v>13</v>
      </c>
      <c r="Q150" s="304">
        <f t="shared" ca="1" si="77"/>
        <v>0</v>
      </c>
      <c r="R150" s="306">
        <f t="shared" ca="1" si="78"/>
        <v>0</v>
      </c>
      <c r="S150" s="307">
        <f t="shared" ca="1" si="79"/>
        <v>2.0842999999999985</v>
      </c>
      <c r="T150" s="304">
        <f t="shared" ca="1" si="59"/>
        <v>20.446982999999985</v>
      </c>
      <c r="U150" s="311">
        <f t="shared" ca="1" si="60"/>
        <v>0</v>
      </c>
      <c r="V150" s="306">
        <f t="shared" ca="1" si="61"/>
        <v>1.0866424851057057</v>
      </c>
      <c r="W150" s="304">
        <f t="shared" ca="1" si="62"/>
        <v>51.639288321723079</v>
      </c>
      <c r="Y150" s="314" t="str">
        <f t="shared" ca="1" si="80"/>
        <v/>
      </c>
      <c r="Z150" s="315" t="str">
        <f t="shared" ca="1" si="81"/>
        <v/>
      </c>
      <c r="AA150" s="316" t="str">
        <f t="shared" ca="1" si="82"/>
        <v/>
      </c>
      <c r="AC150" s="310" t="e">
        <f t="shared" ca="1" si="83"/>
        <v>#N/A</v>
      </c>
      <c r="AD150" s="323" t="e">
        <f t="shared" ca="1" si="84"/>
        <v>#N/A</v>
      </c>
      <c r="AE150" s="324">
        <f t="shared" ca="1" si="63"/>
        <v>1197.0494207971553</v>
      </c>
      <c r="AG150" s="306">
        <f t="shared" ca="1" si="85"/>
        <v>-34.57571945946431</v>
      </c>
      <c r="AH150" s="304">
        <f t="shared" ca="1" si="86"/>
        <v>-24.863146264889068</v>
      </c>
    </row>
    <row r="151" spans="1:34" x14ac:dyDescent="0.25">
      <c r="A151" s="347">
        <f t="shared" ca="1" si="64"/>
        <v>0.01</v>
      </c>
      <c r="B151" s="304">
        <f t="shared" ca="1" si="65"/>
        <v>7.1699999999999688</v>
      </c>
      <c r="D151" s="306">
        <f t="shared" ca="1" si="66"/>
        <v>-3.4846732112089134</v>
      </c>
      <c r="E151" s="307">
        <f t="shared" ca="1" si="67"/>
        <v>-34.339077558465846</v>
      </c>
      <c r="F151" s="304">
        <f t="shared" ca="1" si="68"/>
        <v>34.515434155682435</v>
      </c>
      <c r="G151" s="306">
        <f t="shared" ca="1" si="69"/>
        <v>29.143156303550771</v>
      </c>
      <c r="H151" s="307">
        <f t="shared" ca="1" si="70"/>
        <v>205.0444479350158</v>
      </c>
      <c r="I151" s="304">
        <f t="shared" ca="1" si="71"/>
        <v>207.10516456213398</v>
      </c>
      <c r="J151" s="306">
        <f t="shared" ca="1" si="72"/>
        <v>148.98029842764001</v>
      </c>
      <c r="K151" s="307">
        <f t="shared" ca="1" si="73"/>
        <v>1199.1015822303834</v>
      </c>
      <c r="L151" s="304">
        <f t="shared" ca="1" si="58"/>
        <v>1208.3210392221918</v>
      </c>
      <c r="M151" s="306">
        <f t="shared" ca="1" si="74"/>
        <v>1.4296110415098149</v>
      </c>
      <c r="N151" s="304">
        <f t="shared" ca="1" si="75"/>
        <v>81.910679023814339</v>
      </c>
      <c r="P151" s="310">
        <f t="shared" ca="1" si="76"/>
        <v>13</v>
      </c>
      <c r="Q151" s="304">
        <f t="shared" ca="1" si="77"/>
        <v>0</v>
      </c>
      <c r="R151" s="306">
        <f t="shared" ca="1" si="78"/>
        <v>0</v>
      </c>
      <c r="S151" s="307">
        <f t="shared" ca="1" si="79"/>
        <v>2.0842999999999985</v>
      </c>
      <c r="T151" s="304">
        <f t="shared" ca="1" si="59"/>
        <v>20.446982999999985</v>
      </c>
      <c r="U151" s="311">
        <f t="shared" ca="1" si="60"/>
        <v>0</v>
      </c>
      <c r="V151" s="306">
        <f t="shared" ca="1" si="61"/>
        <v>1.086418708473619</v>
      </c>
      <c r="W151" s="304">
        <f t="shared" ca="1" si="62"/>
        <v>51.457135292010527</v>
      </c>
      <c r="Y151" s="314" t="str">
        <f t="shared" ca="1" si="80"/>
        <v/>
      </c>
      <c r="Z151" s="315" t="str">
        <f t="shared" ca="1" si="81"/>
        <v/>
      </c>
      <c r="AA151" s="316" t="str">
        <f t="shared" ca="1" si="82"/>
        <v/>
      </c>
      <c r="AC151" s="310" t="e">
        <f t="shared" ca="1" si="83"/>
        <v>#N/A</v>
      </c>
      <c r="AD151" s="323" t="e">
        <f t="shared" ca="1" si="84"/>
        <v>#N/A</v>
      </c>
      <c r="AE151" s="324">
        <f t="shared" ca="1" si="63"/>
        <v>1199.1015822303834</v>
      </c>
      <c r="AG151" s="306">
        <f t="shared" ca="1" si="85"/>
        <v>-34.487844113498568</v>
      </c>
      <c r="AH151" s="304">
        <f t="shared" ca="1" si="86"/>
        <v>-24.775362626168555</v>
      </c>
    </row>
    <row r="152" spans="1:34" x14ac:dyDescent="0.25">
      <c r="A152" s="347">
        <f t="shared" ca="1" si="64"/>
        <v>0.01</v>
      </c>
      <c r="B152" s="304">
        <f t="shared" ca="1" si="65"/>
        <v>7.1799999999999686</v>
      </c>
      <c r="D152" s="306">
        <f t="shared" ca="1" si="66"/>
        <v>-3.474009747429339</v>
      </c>
      <c r="E152" s="307">
        <f t="shared" ca="1" si="67"/>
        <v>-34.252322010801663</v>
      </c>
      <c r="F152" s="304">
        <f t="shared" ca="1" si="68"/>
        <v>34.428045353416188</v>
      </c>
      <c r="G152" s="306">
        <f t="shared" ca="1" si="69"/>
        <v>29.108416206076477</v>
      </c>
      <c r="H152" s="307">
        <f t="shared" ca="1" si="70"/>
        <v>204.70192471490779</v>
      </c>
      <c r="I152" s="304">
        <f t="shared" ca="1" si="71"/>
        <v>206.76116143031783</v>
      </c>
      <c r="J152" s="306">
        <f t="shared" ca="1" si="72"/>
        <v>149.27155629018816</v>
      </c>
      <c r="K152" s="307">
        <f t="shared" ca="1" si="73"/>
        <v>1201.1503140936331</v>
      </c>
      <c r="L152" s="304">
        <f t="shared" ca="1" si="58"/>
        <v>1210.3900505888703</v>
      </c>
      <c r="M152" s="306">
        <f t="shared" ca="1" si="74"/>
        <v>1.4295442769943938</v>
      </c>
      <c r="N152" s="304">
        <f t="shared" ca="1" si="75"/>
        <v>81.906853698859464</v>
      </c>
      <c r="P152" s="310">
        <f t="shared" ca="1" si="76"/>
        <v>13</v>
      </c>
      <c r="Q152" s="304">
        <f t="shared" ca="1" si="77"/>
        <v>0</v>
      </c>
      <c r="R152" s="306">
        <f t="shared" ca="1" si="78"/>
        <v>0</v>
      </c>
      <c r="S152" s="307">
        <f t="shared" ca="1" si="79"/>
        <v>2.0842999999999985</v>
      </c>
      <c r="T152" s="304">
        <f t="shared" ca="1" si="59"/>
        <v>20.446982999999985</v>
      </c>
      <c r="U152" s="311">
        <f t="shared" ca="1" si="60"/>
        <v>0</v>
      </c>
      <c r="V152" s="306">
        <f t="shared" ca="1" si="61"/>
        <v>1.0861953490290979</v>
      </c>
      <c r="W152" s="304">
        <f t="shared" ca="1" si="62"/>
        <v>51.275791852089377</v>
      </c>
      <c r="Y152" s="314" t="str">
        <f t="shared" ca="1" si="80"/>
        <v/>
      </c>
      <c r="Z152" s="315" t="str">
        <f t="shared" ca="1" si="81"/>
        <v/>
      </c>
      <c r="AA152" s="316" t="str">
        <f t="shared" ca="1" si="82"/>
        <v/>
      </c>
      <c r="AC152" s="310" t="e">
        <f t="shared" ca="1" si="83"/>
        <v>#N/A</v>
      </c>
      <c r="AD152" s="323" t="e">
        <f t="shared" ca="1" si="84"/>
        <v>#N/A</v>
      </c>
      <c r="AE152" s="324">
        <f t="shared" ca="1" si="63"/>
        <v>1201.1503140936331</v>
      </c>
      <c r="AG152" s="306">
        <f t="shared" ca="1" si="85"/>
        <v>-34.400359263514055</v>
      </c>
      <c r="AH152" s="304">
        <f t="shared" ca="1" si="86"/>
        <v>-24.687969722213964</v>
      </c>
    </row>
    <row r="153" spans="1:34" x14ac:dyDescent="0.25">
      <c r="A153" s="347">
        <f t="shared" ca="1" si="64"/>
        <v>0.01</v>
      </c>
      <c r="B153" s="304">
        <f t="shared" ca="1" si="65"/>
        <v>7.1899999999999684</v>
      </c>
      <c r="D153" s="306">
        <f t="shared" ca="1" si="66"/>
        <v>-3.4633928846032314</v>
      </c>
      <c r="E153" s="307">
        <f t="shared" ca="1" si="67"/>
        <v>-34.165952055344029</v>
      </c>
      <c r="F153" s="304">
        <f t="shared" ca="1" si="68"/>
        <v>34.34104497712886</v>
      </c>
      <c r="G153" s="306">
        <f t="shared" ca="1" si="69"/>
        <v>29.073782277230446</v>
      </c>
      <c r="H153" s="307">
        <f t="shared" ca="1" si="70"/>
        <v>204.36026519435435</v>
      </c>
      <c r="I153" s="304">
        <f t="shared" ca="1" si="71"/>
        <v>206.41802926636674</v>
      </c>
      <c r="J153" s="306">
        <f t="shared" ca="1" si="72"/>
        <v>149.5624672826047</v>
      </c>
      <c r="K153" s="307">
        <f t="shared" ca="1" si="73"/>
        <v>1203.1956250431795</v>
      </c>
      <c r="L153" s="304">
        <f t="shared" ca="1" si="58"/>
        <v>1212.4556254736531</v>
      </c>
      <c r="M153" s="306">
        <f t="shared" ca="1" si="74"/>
        <v>1.4294773700812768</v>
      </c>
      <c r="N153" s="304">
        <f t="shared" ca="1" si="75"/>
        <v>81.903020215117621</v>
      </c>
      <c r="P153" s="310">
        <f t="shared" ca="1" si="76"/>
        <v>13</v>
      </c>
      <c r="Q153" s="304">
        <f t="shared" ca="1" si="77"/>
        <v>0</v>
      </c>
      <c r="R153" s="306">
        <f t="shared" ca="1" si="78"/>
        <v>0</v>
      </c>
      <c r="S153" s="307">
        <f t="shared" ca="1" si="79"/>
        <v>2.0842999999999985</v>
      </c>
      <c r="T153" s="304">
        <f t="shared" ca="1" si="59"/>
        <v>20.446982999999985</v>
      </c>
      <c r="U153" s="311">
        <f t="shared" ca="1" si="60"/>
        <v>0</v>
      </c>
      <c r="V153" s="306">
        <f t="shared" ca="1" si="61"/>
        <v>1.0859724055993667</v>
      </c>
      <c r="W153" s="304">
        <f t="shared" ca="1" si="62"/>
        <v>51.095253219183661</v>
      </c>
      <c r="Y153" s="314" t="str">
        <f t="shared" ca="1" si="80"/>
        <v/>
      </c>
      <c r="Z153" s="315" t="str">
        <f t="shared" ca="1" si="81"/>
        <v/>
      </c>
      <c r="AA153" s="316" t="str">
        <f t="shared" ca="1" si="82"/>
        <v/>
      </c>
      <c r="AC153" s="310" t="e">
        <f t="shared" ca="1" si="83"/>
        <v>#N/A</v>
      </c>
      <c r="AD153" s="323" t="e">
        <f t="shared" ca="1" si="84"/>
        <v>#N/A</v>
      </c>
      <c r="AE153" s="324">
        <f t="shared" ca="1" si="63"/>
        <v>1203.1956250431795</v>
      </c>
      <c r="AG153" s="306">
        <f t="shared" ca="1" si="85"/>
        <v>-34.313262596986327</v>
      </c>
      <c r="AH153" s="304">
        <f t="shared" ca="1" si="86"/>
        <v>-24.600965241131036</v>
      </c>
    </row>
    <row r="154" spans="1:34" x14ac:dyDescent="0.25">
      <c r="A154" s="347">
        <f t="shared" ca="1" si="64"/>
        <v>0.01</v>
      </c>
      <c r="B154" s="304">
        <f t="shared" ca="1" si="65"/>
        <v>7.1999999999999682</v>
      </c>
      <c r="D154" s="306">
        <f t="shared" ca="1" si="66"/>
        <v>-3.452822346142177</v>
      </c>
      <c r="E154" s="307">
        <f t="shared" ca="1" si="67"/>
        <v>-34.079965414139615</v>
      </c>
      <c r="F154" s="304">
        <f t="shared" ca="1" si="68"/>
        <v>34.254430732139909</v>
      </c>
      <c r="G154" s="306">
        <f t="shared" ca="1" si="69"/>
        <v>29.039254053769024</v>
      </c>
      <c r="H154" s="307">
        <f t="shared" ca="1" si="70"/>
        <v>204.01946554021296</v>
      </c>
      <c r="I154" s="304">
        <f t="shared" ca="1" si="71"/>
        <v>206.07576421140232</v>
      </c>
      <c r="J154" s="306">
        <f t="shared" ca="1" si="72"/>
        <v>149.85303246425968</v>
      </c>
      <c r="K154" s="307">
        <f t="shared" ca="1" si="73"/>
        <v>1205.2375236968523</v>
      </c>
      <c r="L154" s="304">
        <f t="shared" ca="1" si="58"/>
        <v>1214.5177725606386</v>
      </c>
      <c r="M154" s="306">
        <f t="shared" ca="1" si="74"/>
        <v>1.42941032051157</v>
      </c>
      <c r="N154" s="304">
        <f t="shared" ca="1" si="75"/>
        <v>81.899178557755249</v>
      </c>
      <c r="P154" s="310">
        <f t="shared" ca="1" si="76"/>
        <v>13</v>
      </c>
      <c r="Q154" s="304">
        <f t="shared" ca="1" si="77"/>
        <v>0</v>
      </c>
      <c r="R154" s="306">
        <f t="shared" ca="1" si="78"/>
        <v>0</v>
      </c>
      <c r="S154" s="307">
        <f t="shared" ca="1" si="79"/>
        <v>2.0842999999999985</v>
      </c>
      <c r="T154" s="304">
        <f t="shared" ca="1" si="59"/>
        <v>20.446982999999985</v>
      </c>
      <c r="U154" s="311">
        <f t="shared" ca="1" si="60"/>
        <v>0</v>
      </c>
      <c r="V154" s="306">
        <f t="shared" ca="1" si="61"/>
        <v>1.0857498770170579</v>
      </c>
      <c r="W154" s="304">
        <f t="shared" ca="1" si="62"/>
        <v>50.915514646100775</v>
      </c>
      <c r="Y154" s="314" t="str">
        <f t="shared" ca="1" si="80"/>
        <v/>
      </c>
      <c r="Z154" s="315" t="str">
        <f t="shared" ca="1" si="81"/>
        <v/>
      </c>
      <c r="AA154" s="316" t="str">
        <f t="shared" ca="1" si="82"/>
        <v/>
      </c>
      <c r="AC154" s="310" t="e">
        <f t="shared" ca="1" si="83"/>
        <v>#N/A</v>
      </c>
      <c r="AD154" s="323" t="e">
        <f t="shared" ca="1" si="84"/>
        <v>#N/A</v>
      </c>
      <c r="AE154" s="324">
        <f t="shared" ca="1" si="63"/>
        <v>1205.2375236968523</v>
      </c>
      <c r="AG154" s="306">
        <f t="shared" ca="1" si="85"/>
        <v>-34.226551818615</v>
      </c>
      <c r="AH154" s="304">
        <f t="shared" ca="1" si="86"/>
        <v>-24.514346888252025</v>
      </c>
    </row>
    <row r="155" spans="1:34" x14ac:dyDescent="0.25">
      <c r="A155" s="347">
        <f t="shared" ca="1" si="64"/>
        <v>0.01</v>
      </c>
      <c r="B155" s="304">
        <f t="shared" ca="1" si="65"/>
        <v>7.209999999999968</v>
      </c>
      <c r="D155" s="306">
        <f t="shared" ca="1" si="66"/>
        <v>-3.4422978575143017</v>
      </c>
      <c r="E155" s="307">
        <f t="shared" ca="1" si="67"/>
        <v>-33.994359826182809</v>
      </c>
      <c r="F155" s="304">
        <f t="shared" ca="1" si="68"/>
        <v>34.16820034084089</v>
      </c>
      <c r="G155" s="306">
        <f t="shared" ca="1" si="69"/>
        <v>29.004831075193881</v>
      </c>
      <c r="H155" s="307">
        <f t="shared" ca="1" si="70"/>
        <v>203.67952194195112</v>
      </c>
      <c r="I155" s="304">
        <f t="shared" ca="1" si="71"/>
        <v>205.73436242932846</v>
      </c>
      <c r="J155" s="306">
        <f t="shared" ca="1" si="72"/>
        <v>150.14325288990449</v>
      </c>
      <c r="K155" s="307">
        <f t="shared" ca="1" si="73"/>
        <v>1207.2760186342632</v>
      </c>
      <c r="L155" s="304">
        <f t="shared" ca="1" si="58"/>
        <v>1216.5765004954517</v>
      </c>
      <c r="M155" s="306">
        <f t="shared" ca="1" si="74"/>
        <v>1.4293431280255178</v>
      </c>
      <c r="N155" s="304">
        <f t="shared" ca="1" si="75"/>
        <v>81.895328711889462</v>
      </c>
      <c r="P155" s="310">
        <f t="shared" ca="1" si="76"/>
        <v>13</v>
      </c>
      <c r="Q155" s="304">
        <f t="shared" ca="1" si="77"/>
        <v>0</v>
      </c>
      <c r="R155" s="306">
        <f t="shared" ca="1" si="78"/>
        <v>0</v>
      </c>
      <c r="S155" s="307">
        <f t="shared" ca="1" si="79"/>
        <v>2.0842999999999985</v>
      </c>
      <c r="T155" s="304">
        <f t="shared" ca="1" si="59"/>
        <v>20.446982999999985</v>
      </c>
      <c r="U155" s="311">
        <f t="shared" ca="1" si="60"/>
        <v>0</v>
      </c>
      <c r="V155" s="306">
        <f t="shared" ca="1" si="61"/>
        <v>1.0855277621201807</v>
      </c>
      <c r="W155" s="304">
        <f t="shared" ca="1" si="62"/>
        <v>50.736571420913229</v>
      </c>
      <c r="Y155" s="314" t="str">
        <f t="shared" ca="1" si="80"/>
        <v/>
      </c>
      <c r="Z155" s="315" t="str">
        <f t="shared" ca="1" si="81"/>
        <v/>
      </c>
      <c r="AA155" s="316" t="str">
        <f t="shared" ca="1" si="82"/>
        <v/>
      </c>
      <c r="AC155" s="310" t="e">
        <f t="shared" ca="1" si="83"/>
        <v>#N/A</v>
      </c>
      <c r="AD155" s="323" t="e">
        <f t="shared" ca="1" si="84"/>
        <v>#N/A</v>
      </c>
      <c r="AE155" s="324">
        <f t="shared" ca="1" si="63"/>
        <v>1207.2760186342632</v>
      </c>
      <c r="AG155" s="306">
        <f t="shared" ca="1" si="85"/>
        <v>-34.140224650169365</v>
      </c>
      <c r="AH155" s="304">
        <f t="shared" ca="1" si="86"/>
        <v>-24.428112385981294</v>
      </c>
    </row>
    <row r="156" spans="1:34" x14ac:dyDescent="0.25">
      <c r="A156" s="347">
        <f t="shared" ca="1" si="64"/>
        <v>0.01</v>
      </c>
      <c r="B156" s="304">
        <f t="shared" ca="1" si="65"/>
        <v>7.2199999999999678</v>
      </c>
      <c r="D156" s="306">
        <f t="shared" ca="1" si="66"/>
        <v>-3.4318191462258709</v>
      </c>
      <c r="E156" s="307">
        <f t="shared" ca="1" si="67"/>
        <v>-33.909133047264177</v>
      </c>
      <c r="F156" s="304">
        <f t="shared" ca="1" si="68"/>
        <v>34.082351542542746</v>
      </c>
      <c r="G156" s="306">
        <f t="shared" ca="1" si="69"/>
        <v>28.970512883731622</v>
      </c>
      <c r="H156" s="307">
        <f t="shared" ca="1" si="70"/>
        <v>203.34043061147847</v>
      </c>
      <c r="I156" s="304">
        <f t="shared" ca="1" si="71"/>
        <v>205.39382010666228</v>
      </c>
      <c r="J156" s="306">
        <f t="shared" ca="1" si="72"/>
        <v>150.43312960969911</v>
      </c>
      <c r="K156" s="307">
        <f t="shared" ca="1" si="73"/>
        <v>1209.3111183970304</v>
      </c>
      <c r="L156" s="304">
        <f t="shared" ca="1" si="58"/>
        <v>1218.6318178854699</v>
      </c>
      <c r="M156" s="306">
        <f t="shared" ca="1" si="74"/>
        <v>1.4292757923625008</v>
      </c>
      <c r="N156" s="304">
        <f t="shared" ca="1" si="75"/>
        <v>81.891470662587878</v>
      </c>
      <c r="P156" s="310">
        <f t="shared" ca="1" si="76"/>
        <v>13</v>
      </c>
      <c r="Q156" s="304">
        <f t="shared" ca="1" si="77"/>
        <v>0</v>
      </c>
      <c r="R156" s="306">
        <f t="shared" ca="1" si="78"/>
        <v>0</v>
      </c>
      <c r="S156" s="307">
        <f t="shared" ca="1" si="79"/>
        <v>2.0842999999999985</v>
      </c>
      <c r="T156" s="304">
        <f t="shared" ca="1" si="59"/>
        <v>20.446982999999985</v>
      </c>
      <c r="U156" s="311">
        <f t="shared" ca="1" si="60"/>
        <v>0</v>
      </c>
      <c r="V156" s="306">
        <f t="shared" ca="1" si="61"/>
        <v>1.0853060597520883</v>
      </c>
      <c r="W156" s="304">
        <f t="shared" ca="1" si="62"/>
        <v>50.558418866643706</v>
      </c>
      <c r="Y156" s="314" t="str">
        <f t="shared" ca="1" si="80"/>
        <v/>
      </c>
      <c r="Z156" s="315" t="str">
        <f t="shared" ca="1" si="81"/>
        <v/>
      </c>
      <c r="AA156" s="316" t="str">
        <f t="shared" ca="1" si="82"/>
        <v/>
      </c>
      <c r="AC156" s="310" t="e">
        <f t="shared" ca="1" si="83"/>
        <v>#N/A</v>
      </c>
      <c r="AD156" s="323" t="e">
        <f t="shared" ca="1" si="84"/>
        <v>#N/A</v>
      </c>
      <c r="AE156" s="324">
        <f t="shared" ca="1" si="63"/>
        <v>1209.3111183970304</v>
      </c>
      <c r="AG156" s="306">
        <f t="shared" ca="1" si="85"/>
        <v>-34.054278830335647</v>
      </c>
      <c r="AH156" s="304">
        <f t="shared" ca="1" si="86"/>
        <v>-24.342259473642599</v>
      </c>
    </row>
    <row r="157" spans="1:34" x14ac:dyDescent="0.25">
      <c r="A157" s="347">
        <f t="shared" ca="1" si="64"/>
        <v>0.01</v>
      </c>
      <c r="B157" s="304">
        <f t="shared" ca="1" si="65"/>
        <v>7.2299999999999676</v>
      </c>
      <c r="D157" s="306">
        <f t="shared" ca="1" si="66"/>
        <v>-3.421385941803079</v>
      </c>
      <c r="E157" s="307">
        <f t="shared" ca="1" si="67"/>
        <v>-33.824282849820399</v>
      </c>
      <c r="F157" s="304">
        <f t="shared" ca="1" si="68"/>
        <v>33.996882093324707</v>
      </c>
      <c r="G157" s="306">
        <f t="shared" ca="1" si="69"/>
        <v>28.936299024313591</v>
      </c>
      <c r="H157" s="307">
        <f t="shared" ca="1" si="70"/>
        <v>203.00218778298026</v>
      </c>
      <c r="I157" s="304">
        <f t="shared" ca="1" si="71"/>
        <v>205.05413345236636</v>
      </c>
      <c r="J157" s="306">
        <f t="shared" ca="1" si="72"/>
        <v>150.72266366923932</v>
      </c>
      <c r="K157" s="307">
        <f t="shared" ca="1" si="73"/>
        <v>1211.3428314890027</v>
      </c>
      <c r="L157" s="304">
        <f t="shared" ca="1" si="58"/>
        <v>1220.683733300049</v>
      </c>
      <c r="M157" s="306">
        <f t="shared" ca="1" si="74"/>
        <v>1.429208313261032</v>
      </c>
      <c r="N157" s="304">
        <f t="shared" ca="1" si="75"/>
        <v>81.887604394868376</v>
      </c>
      <c r="P157" s="310">
        <f t="shared" ca="1" si="76"/>
        <v>13</v>
      </c>
      <c r="Q157" s="304">
        <f t="shared" ca="1" si="77"/>
        <v>0</v>
      </c>
      <c r="R157" s="306">
        <f t="shared" ca="1" si="78"/>
        <v>0</v>
      </c>
      <c r="S157" s="307">
        <f t="shared" ca="1" si="79"/>
        <v>2.0842999999999985</v>
      </c>
      <c r="T157" s="304">
        <f t="shared" ca="1" si="59"/>
        <v>20.446982999999985</v>
      </c>
      <c r="U157" s="311">
        <f t="shared" ca="1" si="60"/>
        <v>0</v>
      </c>
      <c r="V157" s="306">
        <f t="shared" ca="1" si="61"/>
        <v>1.0850847687614444</v>
      </c>
      <c r="W157" s="304">
        <f t="shared" ca="1" si="62"/>
        <v>50.381052340953175</v>
      </c>
      <c r="Y157" s="314" t="str">
        <f t="shared" ca="1" si="80"/>
        <v/>
      </c>
      <c r="Z157" s="315" t="str">
        <f t="shared" ca="1" si="81"/>
        <v/>
      </c>
      <c r="AA157" s="316" t="str">
        <f t="shared" ca="1" si="82"/>
        <v/>
      </c>
      <c r="AC157" s="310" t="e">
        <f t="shared" ca="1" si="83"/>
        <v>#N/A</v>
      </c>
      <c r="AD157" s="323" t="e">
        <f t="shared" ca="1" si="84"/>
        <v>#N/A</v>
      </c>
      <c r="AE157" s="324">
        <f t="shared" ca="1" si="63"/>
        <v>1211.3428314890027</v>
      </c>
      <c r="AG157" s="306">
        <f t="shared" ca="1" si="85"/>
        <v>-33.968712114565911</v>
      </c>
      <c r="AH157" s="304">
        <f t="shared" ca="1" si="86"/>
        <v>-24.256785907327995</v>
      </c>
    </row>
    <row r="158" spans="1:34" x14ac:dyDescent="0.25">
      <c r="A158" s="347">
        <f t="shared" ca="1" si="64"/>
        <v>0.01</v>
      </c>
      <c r="B158" s="304">
        <f t="shared" ca="1" si="65"/>
        <v>7.2399999999999674</v>
      </c>
      <c r="D158" s="306">
        <f t="shared" ca="1" si="66"/>
        <v>-3.4109979757740487</v>
      </c>
      <c r="E158" s="307">
        <f t="shared" ca="1" si="67"/>
        <v>-33.739807022785797</v>
      </c>
      <c r="F158" s="304">
        <f t="shared" ca="1" si="68"/>
        <v>33.91178976588467</v>
      </c>
      <c r="G158" s="306">
        <f t="shared" ca="1" si="69"/>
        <v>28.90218904455585</v>
      </c>
      <c r="H158" s="307">
        <f t="shared" ca="1" si="70"/>
        <v>202.66478971275239</v>
      </c>
      <c r="I158" s="304">
        <f t="shared" ca="1" si="71"/>
        <v>204.71529869768256</v>
      </c>
      <c r="J158" s="306">
        <f t="shared" ca="1" si="72"/>
        <v>151.01185610958368</v>
      </c>
      <c r="K158" s="307">
        <f t="shared" ca="1" si="73"/>
        <v>1213.3711663764814</v>
      </c>
      <c r="L158" s="304">
        <f t="shared" ca="1" si="58"/>
        <v>1222.7322552707458</v>
      </c>
      <c r="M158" s="306">
        <f t="shared" ca="1" si="74"/>
        <v>1.4291406904587551</v>
      </c>
      <c r="N158" s="304">
        <f t="shared" ca="1" si="75"/>
        <v>81.883729893699069</v>
      </c>
      <c r="P158" s="310">
        <f t="shared" ca="1" si="76"/>
        <v>13</v>
      </c>
      <c r="Q158" s="304">
        <f t="shared" ca="1" si="77"/>
        <v>0</v>
      </c>
      <c r="R158" s="306">
        <f t="shared" ca="1" si="78"/>
        <v>0</v>
      </c>
      <c r="S158" s="307">
        <f t="shared" ca="1" si="79"/>
        <v>2.0842999999999985</v>
      </c>
      <c r="T158" s="304">
        <f t="shared" ca="1" si="59"/>
        <v>20.446982999999985</v>
      </c>
      <c r="U158" s="311">
        <f t="shared" ca="1" si="60"/>
        <v>0</v>
      </c>
      <c r="V158" s="306">
        <f t="shared" ca="1" si="61"/>
        <v>1.0848638880021935</v>
      </c>
      <c r="W158" s="304">
        <f t="shared" ca="1" si="62"/>
        <v>50.204467235832567</v>
      </c>
      <c r="Y158" s="314" t="str">
        <f t="shared" ca="1" si="80"/>
        <v/>
      </c>
      <c r="Z158" s="315" t="str">
        <f t="shared" ca="1" si="81"/>
        <v/>
      </c>
      <c r="AA158" s="316" t="str">
        <f t="shared" ca="1" si="82"/>
        <v/>
      </c>
      <c r="AC158" s="310" t="e">
        <f t="shared" ca="1" si="83"/>
        <v>#N/A</v>
      </c>
      <c r="AD158" s="323" t="e">
        <f t="shared" ca="1" si="84"/>
        <v>#N/A</v>
      </c>
      <c r="AE158" s="324">
        <f t="shared" ca="1" si="63"/>
        <v>1213.3711663764814</v>
      </c>
      <c r="AG158" s="306">
        <f t="shared" ca="1" si="85"/>
        <v>-33.883522274928438</v>
      </c>
      <c r="AH158" s="304">
        <f t="shared" ca="1" si="86"/>
        <v>-24.171689459748219</v>
      </c>
    </row>
    <row r="159" spans="1:34" x14ac:dyDescent="0.25">
      <c r="A159" s="347">
        <f t="shared" ca="1" si="64"/>
        <v>0.01</v>
      </c>
      <c r="B159" s="304">
        <f t="shared" ca="1" si="65"/>
        <v>7.2499999999999671</v>
      </c>
      <c r="D159" s="306">
        <f t="shared" ca="1" si="66"/>
        <v>-3.4006549816509706</v>
      </c>
      <c r="E159" s="307">
        <f t="shared" ca="1" si="67"/>
        <v>-33.655703371445419</v>
      </c>
      <c r="F159" s="304">
        <f t="shared" ca="1" si="68"/>
        <v>33.827072349391251</v>
      </c>
      <c r="G159" s="306">
        <f t="shared" ca="1" si="69"/>
        <v>28.86818249473934</v>
      </c>
      <c r="H159" s="307">
        <f t="shared" ca="1" si="70"/>
        <v>202.32823267903794</v>
      </c>
      <c r="I159" s="304">
        <f t="shared" ca="1" si="71"/>
        <v>204.37731209596745</v>
      </c>
      <c r="J159" s="306">
        <f t="shared" ca="1" si="72"/>
        <v>151.30070796728015</v>
      </c>
      <c r="K159" s="307">
        <f t="shared" ca="1" si="73"/>
        <v>1215.3961314884402</v>
      </c>
      <c r="L159" s="304">
        <f t="shared" ca="1" si="58"/>
        <v>1224.7773922915405</v>
      </c>
      <c r="M159" s="306">
        <f t="shared" ca="1" si="74"/>
        <v>1.4290729236924404</v>
      </c>
      <c r="N159" s="304">
        <f t="shared" ca="1" si="75"/>
        <v>81.879847143997992</v>
      </c>
      <c r="P159" s="310">
        <f t="shared" ca="1" si="76"/>
        <v>13</v>
      </c>
      <c r="Q159" s="304">
        <f t="shared" ca="1" si="77"/>
        <v>0</v>
      </c>
      <c r="R159" s="306">
        <f t="shared" ca="1" si="78"/>
        <v>0</v>
      </c>
      <c r="S159" s="307">
        <f t="shared" ca="1" si="79"/>
        <v>2.0842999999999985</v>
      </c>
      <c r="T159" s="304">
        <f t="shared" ca="1" si="59"/>
        <v>20.446982999999985</v>
      </c>
      <c r="U159" s="311">
        <f t="shared" ca="1" si="60"/>
        <v>0</v>
      </c>
      <c r="V159" s="306">
        <f t="shared" ca="1" si="61"/>
        <v>1.0846434163335246</v>
      </c>
      <c r="W159" s="304">
        <f t="shared" ca="1" si="62"/>
        <v>50.028658977297376</v>
      </c>
      <c r="Y159" s="314" t="str">
        <f t="shared" ca="1" si="80"/>
        <v/>
      </c>
      <c r="Z159" s="315" t="str">
        <f t="shared" ca="1" si="81"/>
        <v/>
      </c>
      <c r="AA159" s="316" t="str">
        <f t="shared" ca="1" si="82"/>
        <v/>
      </c>
      <c r="AC159" s="310" t="e">
        <f t="shared" ca="1" si="83"/>
        <v>#N/A</v>
      </c>
      <c r="AD159" s="323" t="e">
        <f t="shared" ca="1" si="84"/>
        <v>#N/A</v>
      </c>
      <c r="AE159" s="324">
        <f t="shared" ca="1" si="63"/>
        <v>1215.3961314884402</v>
      </c>
      <c r="AG159" s="306">
        <f t="shared" ca="1" si="85"/>
        <v>-33.798707099959749</v>
      </c>
      <c r="AH159" s="304">
        <f t="shared" ca="1" si="86"/>
        <v>-24.086967920084732</v>
      </c>
    </row>
    <row r="160" spans="1:34" x14ac:dyDescent="0.25">
      <c r="A160" s="347">
        <f t="shared" ca="1" si="64"/>
        <v>0.01</v>
      </c>
      <c r="B160" s="304">
        <f t="shared" ca="1" si="65"/>
        <v>7.2599999999999669</v>
      </c>
      <c r="D160" s="306">
        <f t="shared" ca="1" si="66"/>
        <v>-3.3903566949124841</v>
      </c>
      <c r="E160" s="307">
        <f t="shared" ca="1" si="67"/>
        <v>-33.571969717289619</v>
      </c>
      <c r="F160" s="304">
        <f t="shared" ca="1" si="68"/>
        <v>33.742727649337262</v>
      </c>
      <c r="G160" s="306">
        <f t="shared" ca="1" si="69"/>
        <v>28.834278927790216</v>
      </c>
      <c r="H160" s="307">
        <f t="shared" ca="1" si="70"/>
        <v>201.99251298186505</v>
      </c>
      <c r="I160" s="304">
        <f t="shared" ca="1" si="71"/>
        <v>204.04016992252906</v>
      </c>
      <c r="J160" s="306">
        <f t="shared" ca="1" si="72"/>
        <v>151.5892202743928</v>
      </c>
      <c r="K160" s="307">
        <f t="shared" ca="1" si="73"/>
        <v>1217.4177352167449</v>
      </c>
      <c r="L160" s="304">
        <f t="shared" ca="1" si="58"/>
        <v>1226.8191528190562</v>
      </c>
      <c r="M160" s="306">
        <f t="shared" ca="1" si="74"/>
        <v>1.4290050126979834</v>
      </c>
      <c r="N160" s="304">
        <f t="shared" ca="1" si="75"/>
        <v>81.875956130633057</v>
      </c>
      <c r="P160" s="310">
        <f t="shared" ca="1" si="76"/>
        <v>13</v>
      </c>
      <c r="Q160" s="304">
        <f t="shared" ca="1" si="77"/>
        <v>0</v>
      </c>
      <c r="R160" s="306">
        <f t="shared" ca="1" si="78"/>
        <v>0</v>
      </c>
      <c r="S160" s="307">
        <f t="shared" ca="1" si="79"/>
        <v>2.0842999999999985</v>
      </c>
      <c r="T160" s="304">
        <f t="shared" ca="1" si="59"/>
        <v>20.446982999999985</v>
      </c>
      <c r="U160" s="311">
        <f t="shared" ca="1" si="60"/>
        <v>0</v>
      </c>
      <c r="V160" s="306">
        <f t="shared" ca="1" si="61"/>
        <v>1.0844233526198443</v>
      </c>
      <c r="W160" s="304">
        <f t="shared" ca="1" si="62"/>
        <v>49.853623025085732</v>
      </c>
      <c r="Y160" s="314" t="str">
        <f t="shared" ca="1" si="80"/>
        <v/>
      </c>
      <c r="Z160" s="315" t="str">
        <f t="shared" ca="1" si="81"/>
        <v/>
      </c>
      <c r="AA160" s="316" t="str">
        <f t="shared" ca="1" si="82"/>
        <v/>
      </c>
      <c r="AC160" s="310" t="e">
        <f t="shared" ca="1" si="83"/>
        <v>#N/A</v>
      </c>
      <c r="AD160" s="323" t="e">
        <f t="shared" ca="1" si="84"/>
        <v>#N/A</v>
      </c>
      <c r="AE160" s="324">
        <f t="shared" ca="1" si="63"/>
        <v>1217.4177352167449</v>
      </c>
      <c r="AG160" s="306">
        <f t="shared" ca="1" si="85"/>
        <v>-33.714264394518075</v>
      </c>
      <c r="AH160" s="304">
        <f t="shared" ca="1" si="86"/>
        <v>-24.002619093843215</v>
      </c>
    </row>
    <row r="161" spans="1:34" x14ac:dyDescent="0.25">
      <c r="A161" s="347">
        <f t="shared" ca="1" si="64"/>
        <v>0.01</v>
      </c>
      <c r="B161" s="304">
        <f t="shared" ca="1" si="65"/>
        <v>7.2699999999999667</v>
      </c>
      <c r="D161" s="306">
        <f t="shared" ca="1" si="66"/>
        <v>-3.3801028529861892</v>
      </c>
      <c r="E161" s="307">
        <f t="shared" ca="1" si="67"/>
        <v>-33.488603897870263</v>
      </c>
      <c r="F161" s="304">
        <f t="shared" ca="1" si="68"/>
        <v>33.658753487394875</v>
      </c>
      <c r="G161" s="306">
        <f t="shared" ca="1" si="69"/>
        <v>28.800477899260354</v>
      </c>
      <c r="H161" s="307">
        <f t="shared" ca="1" si="70"/>
        <v>201.65762694288634</v>
      </c>
      <c r="I161" s="304">
        <f t="shared" ca="1" si="71"/>
        <v>203.70386847446491</v>
      </c>
      <c r="J161" s="306">
        <f t="shared" ca="1" si="72"/>
        <v>151.87739405852804</v>
      </c>
      <c r="K161" s="307">
        <f t="shared" ca="1" si="73"/>
        <v>1219.4359859163685</v>
      </c>
      <c r="L161" s="304">
        <f t="shared" ca="1" si="58"/>
        <v>1228.8575452727769</v>
      </c>
      <c r="M161" s="306">
        <f t="shared" ca="1" si="74"/>
        <v>1.4289369572104003</v>
      </c>
      <c r="N161" s="304">
        <f t="shared" ca="1" si="75"/>
        <v>81.872056838421841</v>
      </c>
      <c r="P161" s="310">
        <f t="shared" ca="1" si="76"/>
        <v>13</v>
      </c>
      <c r="Q161" s="304">
        <f t="shared" ca="1" si="77"/>
        <v>0</v>
      </c>
      <c r="R161" s="306">
        <f t="shared" ca="1" si="78"/>
        <v>0</v>
      </c>
      <c r="S161" s="307">
        <f t="shared" ca="1" si="79"/>
        <v>2.0842999999999985</v>
      </c>
      <c r="T161" s="304">
        <f t="shared" ca="1" si="59"/>
        <v>20.446982999999985</v>
      </c>
      <c r="U161" s="311">
        <f t="shared" ca="1" si="60"/>
        <v>0</v>
      </c>
      <c r="V161" s="306">
        <f t="shared" ca="1" si="61"/>
        <v>1.0842036957307433</v>
      </c>
      <c r="W161" s="304">
        <f t="shared" ca="1" si="62"/>
        <v>49.679354872359269</v>
      </c>
      <c r="Y161" s="314" t="str">
        <f t="shared" ca="1" si="80"/>
        <v/>
      </c>
      <c r="Z161" s="315" t="str">
        <f t="shared" ca="1" si="81"/>
        <v/>
      </c>
      <c r="AA161" s="316" t="str">
        <f t="shared" ca="1" si="82"/>
        <v/>
      </c>
      <c r="AC161" s="310" t="e">
        <f t="shared" ca="1" si="83"/>
        <v>#N/A</v>
      </c>
      <c r="AD161" s="323" t="e">
        <f t="shared" ca="1" si="84"/>
        <v>#N/A</v>
      </c>
      <c r="AE161" s="324">
        <f t="shared" ca="1" si="63"/>
        <v>1219.4359859163685</v>
      </c>
      <c r="AG161" s="306">
        <f t="shared" ca="1" si="85"/>
        <v>-33.630191979638525</v>
      </c>
      <c r="AH161" s="304">
        <f t="shared" ca="1" si="86"/>
        <v>-23.918640802708712</v>
      </c>
    </row>
    <row r="162" spans="1:34" x14ac:dyDescent="0.25">
      <c r="A162" s="347">
        <f t="shared" ca="1" si="64"/>
        <v>0.01</v>
      </c>
      <c r="B162" s="304">
        <f t="shared" ca="1" si="65"/>
        <v>7.2799999999999665</v>
      </c>
      <c r="D162" s="306">
        <f t="shared" ca="1" si="66"/>
        <v>-3.3698931952313949</v>
      </c>
      <c r="E162" s="307">
        <f t="shared" ca="1" si="67"/>
        <v>-33.405603766658217</v>
      </c>
      <c r="F162" s="304">
        <f t="shared" ca="1" si="68"/>
        <v>33.575147701272094</v>
      </c>
      <c r="G162" s="306">
        <f t="shared" ca="1" si="69"/>
        <v>28.766778967308039</v>
      </c>
      <c r="H162" s="307">
        <f t="shared" ca="1" si="70"/>
        <v>201.32357090521975</v>
      </c>
      <c r="I162" s="304">
        <f t="shared" ca="1" si="71"/>
        <v>203.36840407050207</v>
      </c>
      <c r="J162" s="306">
        <f t="shared" ca="1" si="72"/>
        <v>152.16523034286089</v>
      </c>
      <c r="K162" s="307">
        <f t="shared" ca="1" si="73"/>
        <v>1221.4508919056091</v>
      </c>
      <c r="L162" s="304">
        <f t="shared" ca="1" si="58"/>
        <v>1230.8925780352661</v>
      </c>
      <c r="M162" s="306">
        <f t="shared" ca="1" si="74"/>
        <v>1.4288687569638256</v>
      </c>
      <c r="N162" s="304">
        <f t="shared" ca="1" si="75"/>
        <v>81.86814925213136</v>
      </c>
      <c r="P162" s="310">
        <f t="shared" ca="1" si="76"/>
        <v>13</v>
      </c>
      <c r="Q162" s="304">
        <f t="shared" ca="1" si="77"/>
        <v>0</v>
      </c>
      <c r="R162" s="306">
        <f t="shared" ca="1" si="78"/>
        <v>0</v>
      </c>
      <c r="S162" s="307">
        <f t="shared" ca="1" si="79"/>
        <v>2.0842999999999985</v>
      </c>
      <c r="T162" s="304">
        <f t="shared" ca="1" si="59"/>
        <v>20.446982999999985</v>
      </c>
      <c r="U162" s="311">
        <f t="shared" ca="1" si="60"/>
        <v>0</v>
      </c>
      <c r="V162" s="306">
        <f t="shared" ca="1" si="61"/>
        <v>1.0839844445409632</v>
      </c>
      <c r="W162" s="304">
        <f t="shared" ca="1" si="62"/>
        <v>49.505850045407357</v>
      </c>
      <c r="Y162" s="314" t="str">
        <f t="shared" ca="1" si="80"/>
        <v/>
      </c>
      <c r="Z162" s="315" t="str">
        <f t="shared" ca="1" si="81"/>
        <v/>
      </c>
      <c r="AA162" s="316" t="str">
        <f t="shared" ca="1" si="82"/>
        <v/>
      </c>
      <c r="AC162" s="310" t="e">
        <f t="shared" ca="1" si="83"/>
        <v>#N/A</v>
      </c>
      <c r="AD162" s="323" t="e">
        <f t="shared" ca="1" si="84"/>
        <v>#N/A</v>
      </c>
      <c r="AE162" s="324">
        <f t="shared" ca="1" si="63"/>
        <v>1221.4508919056091</v>
      </c>
      <c r="AG162" s="306">
        <f t="shared" ca="1" si="85"/>
        <v>-33.546487692389519</v>
      </c>
      <c r="AH162" s="304">
        <f t="shared" ca="1" si="86"/>
        <v>-23.835030884402105</v>
      </c>
    </row>
    <row r="163" spans="1:34" x14ac:dyDescent="0.25">
      <c r="A163" s="347">
        <f t="shared" ca="1" si="64"/>
        <v>0.01</v>
      </c>
      <c r="B163" s="304">
        <f t="shared" ca="1" si="65"/>
        <v>7.2899999999999663</v>
      </c>
      <c r="D163" s="306">
        <f t="shared" ca="1" si="66"/>
        <v>-3.3597274629220033</v>
      </c>
      <c r="E163" s="307">
        <f t="shared" ca="1" si="67"/>
        <v>-33.32296719290251</v>
      </c>
      <c r="F163" s="304">
        <f t="shared" ca="1" si="68"/>
        <v>33.491908144570822</v>
      </c>
      <c r="G163" s="306">
        <f t="shared" ca="1" si="69"/>
        <v>28.733181692678819</v>
      </c>
      <c r="H163" s="307">
        <f t="shared" ca="1" si="70"/>
        <v>200.99034123329074</v>
      </c>
      <c r="I163" s="304">
        <f t="shared" ca="1" si="71"/>
        <v>203.03377305083788</v>
      </c>
      <c r="J163" s="306">
        <f t="shared" ca="1" si="72"/>
        <v>152.45273014616083</v>
      </c>
      <c r="K163" s="307">
        <f t="shared" ca="1" si="73"/>
        <v>1223.4624614663016</v>
      </c>
      <c r="L163" s="304">
        <f t="shared" ca="1" si="58"/>
        <v>1232.9242594523801</v>
      </c>
      <c r="M163" s="306">
        <f t="shared" ca="1" si="74"/>
        <v>1.4288004116915105</v>
      </c>
      <c r="N163" s="304">
        <f t="shared" ca="1" si="75"/>
        <v>81.864233356478039</v>
      </c>
      <c r="P163" s="310">
        <f t="shared" ca="1" si="76"/>
        <v>13</v>
      </c>
      <c r="Q163" s="304">
        <f t="shared" ca="1" si="77"/>
        <v>0</v>
      </c>
      <c r="R163" s="306">
        <f t="shared" ca="1" si="78"/>
        <v>0</v>
      </c>
      <c r="S163" s="307">
        <f t="shared" ca="1" si="79"/>
        <v>2.0842999999999985</v>
      </c>
      <c r="T163" s="304">
        <f t="shared" ca="1" si="59"/>
        <v>20.446982999999985</v>
      </c>
      <c r="U163" s="311">
        <f t="shared" ca="1" si="60"/>
        <v>0</v>
      </c>
      <c r="V163" s="306">
        <f t="shared" ca="1" si="61"/>
        <v>1.0837655979303698</v>
      </c>
      <c r="W163" s="304">
        <f t="shared" ca="1" si="62"/>
        <v>49.333104103354351</v>
      </c>
      <c r="Y163" s="314" t="str">
        <f t="shared" ca="1" si="80"/>
        <v/>
      </c>
      <c r="Z163" s="315" t="str">
        <f t="shared" ca="1" si="81"/>
        <v/>
      </c>
      <c r="AA163" s="316" t="str">
        <f t="shared" ca="1" si="82"/>
        <v/>
      </c>
      <c r="AC163" s="310" t="e">
        <f t="shared" ca="1" si="83"/>
        <v>#N/A</v>
      </c>
      <c r="AD163" s="323" t="e">
        <f t="shared" ca="1" si="84"/>
        <v>#N/A</v>
      </c>
      <c r="AE163" s="324">
        <f t="shared" ca="1" si="63"/>
        <v>1223.4624614663016</v>
      </c>
      <c r="AG163" s="306">
        <f t="shared" ca="1" si="85"/>
        <v>-33.463149385730887</v>
      </c>
      <c r="AH163" s="304">
        <f t="shared" ca="1" si="86"/>
        <v>-23.75178719253821</v>
      </c>
    </row>
    <row r="164" spans="1:34" x14ac:dyDescent="0.25">
      <c r="A164" s="347">
        <f t="shared" ca="1" si="64"/>
        <v>0.01</v>
      </c>
      <c r="B164" s="304">
        <f t="shared" ca="1" si="65"/>
        <v>7.2999999999999661</v>
      </c>
      <c r="D164" s="306">
        <f t="shared" ca="1" si="66"/>
        <v>-3.3496053992295751</v>
      </c>
      <c r="E164" s="307">
        <f t="shared" ca="1" si="67"/>
        <v>-33.240692061490918</v>
      </c>
      <c r="F164" s="304">
        <f t="shared" ca="1" si="68"/>
        <v>33.409032686646484</v>
      </c>
      <c r="G164" s="306">
        <f t="shared" ca="1" si="69"/>
        <v>28.699685638686525</v>
      </c>
      <c r="H164" s="307">
        <f t="shared" ca="1" si="70"/>
        <v>200.65793431267582</v>
      </c>
      <c r="I164" s="304">
        <f t="shared" ca="1" si="71"/>
        <v>202.69997177698264</v>
      </c>
      <c r="J164" s="306">
        <f t="shared" ca="1" si="72"/>
        <v>152.73989448281765</v>
      </c>
      <c r="K164" s="307">
        <f t="shared" ca="1" si="73"/>
        <v>1225.4707028440314</v>
      </c>
      <c r="L164" s="304">
        <f t="shared" ca="1" si="58"/>
        <v>1234.9525978334823</v>
      </c>
      <c r="M164" s="306">
        <f t="shared" ca="1" si="74"/>
        <v>1.4287319211258176</v>
      </c>
      <c r="N164" s="304">
        <f t="shared" ca="1" si="75"/>
        <v>81.86030913612737</v>
      </c>
      <c r="P164" s="310">
        <f t="shared" ca="1" si="76"/>
        <v>13</v>
      </c>
      <c r="Q164" s="304">
        <f t="shared" ca="1" si="77"/>
        <v>0</v>
      </c>
      <c r="R164" s="306">
        <f t="shared" ca="1" si="78"/>
        <v>0</v>
      </c>
      <c r="S164" s="307">
        <f t="shared" ca="1" si="79"/>
        <v>2.0842999999999985</v>
      </c>
      <c r="T164" s="304">
        <f t="shared" ca="1" si="59"/>
        <v>20.446982999999985</v>
      </c>
      <c r="U164" s="311">
        <f t="shared" ca="1" si="60"/>
        <v>0</v>
      </c>
      <c r="V164" s="306">
        <f t="shared" ca="1" si="61"/>
        <v>1.0835471547839182</v>
      </c>
      <c r="W164" s="304">
        <f t="shared" ca="1" si="62"/>
        <v>49.161112637869678</v>
      </c>
      <c r="Y164" s="314" t="str">
        <f t="shared" ca="1" si="80"/>
        <v/>
      </c>
      <c r="Z164" s="315" t="str">
        <f t="shared" ca="1" si="81"/>
        <v/>
      </c>
      <c r="AA164" s="316" t="str">
        <f t="shared" ca="1" si="82"/>
        <v/>
      </c>
      <c r="AC164" s="310" t="e">
        <f t="shared" ca="1" si="83"/>
        <v>#N/A</v>
      </c>
      <c r="AD164" s="323" t="e">
        <f t="shared" ca="1" si="84"/>
        <v>#N/A</v>
      </c>
      <c r="AE164" s="324">
        <f t="shared" ca="1" si="63"/>
        <v>1225.4707028440314</v>
      </c>
      <c r="AG164" s="306">
        <f t="shared" ca="1" si="85"/>
        <v>-33.380174928373421</v>
      </c>
      <c r="AH164" s="304">
        <f t="shared" ca="1" si="86"/>
        <v>-23.668907596485337</v>
      </c>
    </row>
    <row r="165" spans="1:34" x14ac:dyDescent="0.25">
      <c r="A165" s="347">
        <f t="shared" ca="1" si="64"/>
        <v>0.01</v>
      </c>
      <c r="B165" s="304">
        <f t="shared" ca="1" si="65"/>
        <v>7.3099999999999659</v>
      </c>
      <c r="D165" s="306">
        <f t="shared" ca="1" si="66"/>
        <v>-3.339526749206601</v>
      </c>
      <c r="E165" s="307">
        <f t="shared" ca="1" si="67"/>
        <v>-33.158776272811814</v>
      </c>
      <c r="F165" s="304">
        <f t="shared" ca="1" si="68"/>
        <v>33.326519212468831</v>
      </c>
      <c r="G165" s="306">
        <f t="shared" ca="1" si="69"/>
        <v>28.66629037119446</v>
      </c>
      <c r="H165" s="307">
        <f t="shared" ca="1" si="70"/>
        <v>200.32634654994771</v>
      </c>
      <c r="I165" s="304">
        <f t="shared" ca="1" si="71"/>
        <v>202.3669966316034</v>
      </c>
      <c r="J165" s="306">
        <f t="shared" ca="1" si="72"/>
        <v>153.02672436286704</v>
      </c>
      <c r="K165" s="307">
        <f t="shared" ca="1" si="73"/>
        <v>1227.4756242483445</v>
      </c>
      <c r="L165" s="304">
        <f t="shared" ca="1" si="58"/>
        <v>1236.977601451656</v>
      </c>
      <c r="M165" s="306">
        <f t="shared" ca="1" si="74"/>
        <v>1.4286632849982202</v>
      </c>
      <c r="N165" s="304">
        <f t="shared" ca="1" si="75"/>
        <v>81.856376575693915</v>
      </c>
      <c r="P165" s="310">
        <f t="shared" ca="1" si="76"/>
        <v>13</v>
      </c>
      <c r="Q165" s="304">
        <f t="shared" ca="1" si="77"/>
        <v>0</v>
      </c>
      <c r="R165" s="306">
        <f t="shared" ca="1" si="78"/>
        <v>0</v>
      </c>
      <c r="S165" s="307">
        <f t="shared" ca="1" si="79"/>
        <v>2.0842999999999985</v>
      </c>
      <c r="T165" s="304">
        <f t="shared" ca="1" si="59"/>
        <v>20.446982999999985</v>
      </c>
      <c r="U165" s="311">
        <f t="shared" ca="1" si="60"/>
        <v>0</v>
      </c>
      <c r="V165" s="306">
        <f t="shared" ca="1" si="61"/>
        <v>1.083329113991625</v>
      </c>
      <c r="W165" s="304">
        <f t="shared" ca="1" si="62"/>
        <v>48.989871272881111</v>
      </c>
      <c r="Y165" s="314" t="str">
        <f t="shared" ca="1" si="80"/>
        <v/>
      </c>
      <c r="Z165" s="315" t="str">
        <f t="shared" ca="1" si="81"/>
        <v/>
      </c>
      <c r="AA165" s="316" t="str">
        <f t="shared" ca="1" si="82"/>
        <v/>
      </c>
      <c r="AC165" s="310" t="e">
        <f t="shared" ca="1" si="83"/>
        <v>#N/A</v>
      </c>
      <c r="AD165" s="323" t="e">
        <f t="shared" ca="1" si="84"/>
        <v>#N/A</v>
      </c>
      <c r="AE165" s="324">
        <f t="shared" ca="1" si="63"/>
        <v>1227.4756242483445</v>
      </c>
      <c r="AG165" s="306">
        <f t="shared" ca="1" si="85"/>
        <v>-33.297562204639746</v>
      </c>
      <c r="AH165" s="304">
        <f t="shared" ca="1" si="86"/>
        <v>-23.586389981226173</v>
      </c>
    </row>
    <row r="166" spans="1:34" x14ac:dyDescent="0.25">
      <c r="A166" s="347">
        <f t="shared" ca="1" si="64"/>
        <v>0.01</v>
      </c>
      <c r="B166" s="304">
        <f t="shared" ca="1" si="65"/>
        <v>7.3199999999999656</v>
      </c>
      <c r="D166" s="306">
        <f t="shared" ca="1" si="66"/>
        <v>-3.3294912597698954</v>
      </c>
      <c r="E166" s="307">
        <f t="shared" ca="1" si="67"/>
        <v>-33.077217742617698</v>
      </c>
      <c r="F166" s="304">
        <f t="shared" ca="1" si="68"/>
        <v>33.244365622484466</v>
      </c>
      <c r="G166" s="306">
        <f t="shared" ca="1" si="69"/>
        <v>28.63299545859676</v>
      </c>
      <c r="H166" s="307">
        <f t="shared" ca="1" si="70"/>
        <v>199.99557437252153</v>
      </c>
      <c r="I166" s="304">
        <f t="shared" ca="1" si="71"/>
        <v>202.03484401836931</v>
      </c>
      <c r="J166" s="306">
        <f t="shared" ca="1" si="72"/>
        <v>153.31322079201601</v>
      </c>
      <c r="K166" s="307">
        <f t="shared" ca="1" si="73"/>
        <v>1229.4772338529569</v>
      </c>
      <c r="L166" s="304">
        <f t="shared" ca="1" si="58"/>
        <v>1238.9992785439142</v>
      </c>
      <c r="M166" s="306">
        <f t="shared" ca="1" si="74"/>
        <v>1.4285945030392972</v>
      </c>
      <c r="N166" s="304">
        <f t="shared" ca="1" si="75"/>
        <v>81.852435659740991</v>
      </c>
      <c r="P166" s="310">
        <f t="shared" ca="1" si="76"/>
        <v>13</v>
      </c>
      <c r="Q166" s="304">
        <f t="shared" ca="1" si="77"/>
        <v>0</v>
      </c>
      <c r="R166" s="306">
        <f t="shared" ca="1" si="78"/>
        <v>0</v>
      </c>
      <c r="S166" s="307">
        <f t="shared" ca="1" si="79"/>
        <v>2.0842999999999985</v>
      </c>
      <c r="T166" s="304">
        <f t="shared" ca="1" si="59"/>
        <v>20.446982999999985</v>
      </c>
      <c r="U166" s="311">
        <f t="shared" ca="1" si="60"/>
        <v>0</v>
      </c>
      <c r="V166" s="306">
        <f t="shared" ca="1" si="61"/>
        <v>1.0831114744485371</v>
      </c>
      <c r="W166" s="304">
        <f t="shared" ca="1" si="62"/>
        <v>48.819375664290988</v>
      </c>
      <c r="Y166" s="314" t="str">
        <f t="shared" ca="1" si="80"/>
        <v/>
      </c>
      <c r="Z166" s="315" t="str">
        <f t="shared" ca="1" si="81"/>
        <v/>
      </c>
      <c r="AA166" s="316" t="str">
        <f t="shared" ca="1" si="82"/>
        <v/>
      </c>
      <c r="AC166" s="310" t="e">
        <f t="shared" ca="1" si="83"/>
        <v>#N/A</v>
      </c>
      <c r="AD166" s="323" t="e">
        <f t="shared" ca="1" si="84"/>
        <v>#N/A</v>
      </c>
      <c r="AE166" s="324">
        <f t="shared" ca="1" si="63"/>
        <v>1229.4772338529569</v>
      </c>
      <c r="AG166" s="306">
        <f t="shared" ca="1" si="85"/>
        <v>-33.215309114326764</v>
      </c>
      <c r="AH166" s="304">
        <f t="shared" ca="1" si="86"/>
        <v>-23.504232247220241</v>
      </c>
    </row>
    <row r="167" spans="1:34" x14ac:dyDescent="0.25">
      <c r="A167" s="347">
        <f t="shared" ca="1" si="64"/>
        <v>0.01</v>
      </c>
      <c r="B167" s="304">
        <f t="shared" ca="1" si="65"/>
        <v>7.3299999999999654</v>
      </c>
      <c r="D167" s="306">
        <f t="shared" ca="1" si="66"/>
        <v>-3.3194986796842296</v>
      </c>
      <c r="E167" s="307">
        <f t="shared" ca="1" si="67"/>
        <v>-32.996014401889951</v>
      </c>
      <c r="F167" s="304">
        <f t="shared" ca="1" si="68"/>
        <v>33.162569832480628</v>
      </c>
      <c r="G167" s="306">
        <f t="shared" ca="1" si="69"/>
        <v>28.599800471799917</v>
      </c>
      <c r="H167" s="307">
        <f t="shared" ca="1" si="70"/>
        <v>199.66561422850262</v>
      </c>
      <c r="I167" s="304">
        <f t="shared" ca="1" si="71"/>
        <v>201.7035103617981</v>
      </c>
      <c r="J167" s="306">
        <f t="shared" ca="1" si="72"/>
        <v>153.59938477166799</v>
      </c>
      <c r="K167" s="307">
        <f t="shared" ca="1" si="73"/>
        <v>1231.475539795962</v>
      </c>
      <c r="L167" s="304">
        <f t="shared" ca="1" si="58"/>
        <v>1241.0176373114086</v>
      </c>
      <c r="M167" s="306">
        <f t="shared" ca="1" si="74"/>
        <v>1.4285255749787327</v>
      </c>
      <c r="N167" s="304">
        <f t="shared" ca="1" si="75"/>
        <v>81.848486372780613</v>
      </c>
      <c r="P167" s="310">
        <f t="shared" ca="1" si="76"/>
        <v>13</v>
      </c>
      <c r="Q167" s="304">
        <f t="shared" ca="1" si="77"/>
        <v>0</v>
      </c>
      <c r="R167" s="306">
        <f t="shared" ca="1" si="78"/>
        <v>0</v>
      </c>
      <c r="S167" s="307">
        <f t="shared" ca="1" si="79"/>
        <v>2.0842999999999985</v>
      </c>
      <c r="T167" s="304">
        <f t="shared" ca="1" si="59"/>
        <v>20.446982999999985</v>
      </c>
      <c r="U167" s="311">
        <f t="shared" ca="1" si="60"/>
        <v>0</v>
      </c>
      <c r="V167" s="306">
        <f t="shared" ca="1" si="61"/>
        <v>1.0828942350547011</v>
      </c>
      <c r="W167" s="304">
        <f t="shared" ca="1" si="62"/>
        <v>48.649621499695179</v>
      </c>
      <c r="Y167" s="314" t="str">
        <f t="shared" ca="1" si="80"/>
        <v/>
      </c>
      <c r="Z167" s="315" t="str">
        <f t="shared" ca="1" si="81"/>
        <v/>
      </c>
      <c r="AA167" s="316" t="str">
        <f t="shared" ca="1" si="82"/>
        <v/>
      </c>
      <c r="AC167" s="310" t="e">
        <f t="shared" ca="1" si="83"/>
        <v>#N/A</v>
      </c>
      <c r="AD167" s="323" t="e">
        <f t="shared" ca="1" si="84"/>
        <v>#N/A</v>
      </c>
      <c r="AE167" s="324">
        <f t="shared" ca="1" si="63"/>
        <v>1231.475539795962</v>
      </c>
      <c r="AG167" s="306">
        <f t="shared" ca="1" si="85"/>
        <v>-33.133413572569452</v>
      </c>
      <c r="AH167" s="304">
        <f t="shared" ca="1" si="86"/>
        <v>-23.422432310267727</v>
      </c>
    </row>
    <row r="168" spans="1:34" x14ac:dyDescent="0.25">
      <c r="A168" s="347">
        <f t="shared" ca="1" si="64"/>
        <v>0.01</v>
      </c>
      <c r="B168" s="304">
        <f t="shared" ca="1" si="65"/>
        <v>7.3399999999999652</v>
      </c>
      <c r="D168" s="306">
        <f t="shared" ca="1" si="66"/>
        <v>-3.3095487595460447</v>
      </c>
      <c r="E168" s="307">
        <f t="shared" ca="1" si="67"/>
        <v>-32.915164196705049</v>
      </c>
      <c r="F168" s="304">
        <f t="shared" ca="1" si="68"/>
        <v>33.081129773450407</v>
      </c>
      <c r="G168" s="306">
        <f t="shared" ca="1" si="69"/>
        <v>28.566704984204456</v>
      </c>
      <c r="H168" s="307">
        <f t="shared" ca="1" si="70"/>
        <v>199.33646258653556</v>
      </c>
      <c r="I168" s="304">
        <f t="shared" ca="1" si="71"/>
        <v>201.37299210710424</v>
      </c>
      <c r="J168" s="306">
        <f t="shared" ca="1" si="72"/>
        <v>153.88521729894802</v>
      </c>
      <c r="K168" s="307">
        <f t="shared" ca="1" si="73"/>
        <v>1233.4705501800372</v>
      </c>
      <c r="L168" s="304">
        <f t="shared" ca="1" si="58"/>
        <v>1243.0326859196375</v>
      </c>
      <c r="M168" s="306">
        <f t="shared" ca="1" si="74"/>
        <v>1.4284565005453103</v>
      </c>
      <c r="N168" s="304">
        <f t="shared" ca="1" si="75"/>
        <v>81.844528699273255</v>
      </c>
      <c r="P168" s="310">
        <f t="shared" ca="1" si="76"/>
        <v>13</v>
      </c>
      <c r="Q168" s="304">
        <f t="shared" ca="1" si="77"/>
        <v>0</v>
      </c>
      <c r="R168" s="306">
        <f t="shared" ca="1" si="78"/>
        <v>0</v>
      </c>
      <c r="S168" s="307">
        <f t="shared" ca="1" si="79"/>
        <v>2.0842999999999985</v>
      </c>
      <c r="T168" s="304">
        <f t="shared" ca="1" si="59"/>
        <v>20.446982999999985</v>
      </c>
      <c r="U168" s="311">
        <f t="shared" ca="1" si="60"/>
        <v>0</v>
      </c>
      <c r="V168" s="306">
        <f t="shared" ca="1" si="61"/>
        <v>1.0826773947151345</v>
      </c>
      <c r="W168" s="304">
        <f t="shared" ca="1" si="62"/>
        <v>48.480604498105173</v>
      </c>
      <c r="Y168" s="314" t="str">
        <f t="shared" ca="1" si="80"/>
        <v/>
      </c>
      <c r="Z168" s="315" t="str">
        <f t="shared" ca="1" si="81"/>
        <v/>
      </c>
      <c r="AA168" s="316" t="str">
        <f t="shared" ca="1" si="82"/>
        <v/>
      </c>
      <c r="AC168" s="310" t="e">
        <f t="shared" ca="1" si="83"/>
        <v>#N/A</v>
      </c>
      <c r="AD168" s="323" t="e">
        <f t="shared" ca="1" si="84"/>
        <v>#N/A</v>
      </c>
      <c r="AE168" s="324">
        <f t="shared" ca="1" si="63"/>
        <v>1233.4705501800372</v>
      </c>
      <c r="AG168" s="306">
        <f t="shared" ca="1" si="85"/>
        <v>-33.051873509706084</v>
      </c>
      <c r="AH168" s="304">
        <f t="shared" ca="1" si="86"/>
        <v>-23.340988101374666</v>
      </c>
    </row>
    <row r="169" spans="1:34" x14ac:dyDescent="0.25">
      <c r="A169" s="347">
        <f t="shared" ca="1" si="64"/>
        <v>0.01</v>
      </c>
      <c r="B169" s="304">
        <f t="shared" ca="1" si="65"/>
        <v>7.349999999999965</v>
      </c>
      <c r="D169" s="306">
        <f t="shared" ca="1" si="66"/>
        <v>-3.2996412517674254</v>
      </c>
      <c r="E169" s="307">
        <f t="shared" ca="1" si="67"/>
        <v>-32.834665088102163</v>
      </c>
      <c r="F169" s="304">
        <f t="shared" ca="1" si="68"/>
        <v>33.000043391459357</v>
      </c>
      <c r="G169" s="306">
        <f t="shared" ca="1" si="69"/>
        <v>28.53370857168678</v>
      </c>
      <c r="H169" s="307">
        <f t="shared" ca="1" si="70"/>
        <v>199.00811593565453</v>
      </c>
      <c r="I169" s="304">
        <f t="shared" ca="1" si="71"/>
        <v>201.04328572004803</v>
      </c>
      <c r="J169" s="306">
        <f t="shared" ca="1" si="72"/>
        <v>154.17071936672747</v>
      </c>
      <c r="K169" s="307">
        <f t="shared" ca="1" si="73"/>
        <v>1235.4622730726483</v>
      </c>
      <c r="L169" s="304">
        <f t="shared" ca="1" si="58"/>
        <v>1245.0444324986515</v>
      </c>
      <c r="M169" s="306">
        <f t="shared" ca="1" si="74"/>
        <v>1.4283872794669119</v>
      </c>
      <c r="N169" s="304">
        <f t="shared" ca="1" si="75"/>
        <v>81.84056262362769</v>
      </c>
      <c r="P169" s="310">
        <f t="shared" ca="1" si="76"/>
        <v>13</v>
      </c>
      <c r="Q169" s="304">
        <f t="shared" ca="1" si="77"/>
        <v>0</v>
      </c>
      <c r="R169" s="306">
        <f t="shared" ca="1" si="78"/>
        <v>0</v>
      </c>
      <c r="S169" s="307">
        <f t="shared" ca="1" si="79"/>
        <v>2.0842999999999985</v>
      </c>
      <c r="T169" s="304">
        <f t="shared" ca="1" si="59"/>
        <v>20.446982999999985</v>
      </c>
      <c r="U169" s="311">
        <f t="shared" ca="1" si="60"/>
        <v>0</v>
      </c>
      <c r="V169" s="306">
        <f t="shared" ca="1" si="61"/>
        <v>1.082460952339795</v>
      </c>
      <c r="W169" s="304">
        <f t="shared" ca="1" si="62"/>
        <v>48.312320409672765</v>
      </c>
      <c r="Y169" s="314" t="str">
        <f t="shared" ca="1" si="80"/>
        <v/>
      </c>
      <c r="Z169" s="315" t="str">
        <f t="shared" ca="1" si="81"/>
        <v/>
      </c>
      <c r="AA169" s="316" t="str">
        <f t="shared" ca="1" si="82"/>
        <v/>
      </c>
      <c r="AC169" s="310" t="e">
        <f t="shared" ca="1" si="83"/>
        <v>#N/A</v>
      </c>
      <c r="AD169" s="323" t="e">
        <f t="shared" ca="1" si="84"/>
        <v>#N/A</v>
      </c>
      <c r="AE169" s="324">
        <f t="shared" ca="1" si="63"/>
        <v>1235.4622730726483</v>
      </c>
      <c r="AG169" s="306">
        <f t="shared" ca="1" si="85"/>
        <v>-32.970686871144835</v>
      </c>
      <c r="AH169" s="304">
        <f t="shared" ca="1" si="86"/>
        <v>-23.259897566619589</v>
      </c>
    </row>
    <row r="170" spans="1:34" x14ac:dyDescent="0.25">
      <c r="A170" s="347">
        <f t="shared" ca="1" si="64"/>
        <v>0.01</v>
      </c>
      <c r="B170" s="304">
        <f t="shared" ca="1" si="65"/>
        <v>7.3599999999999648</v>
      </c>
      <c r="D170" s="306">
        <f t="shared" ca="1" si="66"/>
        <v>-3.2897759105601612</v>
      </c>
      <c r="E170" s="307">
        <f t="shared" ca="1" si="67"/>
        <v>-32.754515051952033</v>
      </c>
      <c r="F170" s="304">
        <f t="shared" ca="1" si="68"/>
        <v>32.919308647513461</v>
      </c>
      <c r="G170" s="306">
        <f t="shared" ca="1" si="69"/>
        <v>28.500810812581179</v>
      </c>
      <c r="H170" s="307">
        <f t="shared" ca="1" si="70"/>
        <v>198.68057078513502</v>
      </c>
      <c r="I170" s="304">
        <f t="shared" ca="1" si="71"/>
        <v>200.71438768678641</v>
      </c>
      <c r="J170" s="306">
        <f t="shared" ca="1" si="72"/>
        <v>154.45589196364881</v>
      </c>
      <c r="K170" s="307">
        <f t="shared" ca="1" si="73"/>
        <v>1237.4507165062523</v>
      </c>
      <c r="L170" s="304">
        <f t="shared" ca="1" si="58"/>
        <v>1247.052885143258</v>
      </c>
      <c r="M170" s="306">
        <f t="shared" ca="1" si="74"/>
        <v>1.4283179114705138</v>
      </c>
      <c r="N170" s="304">
        <f t="shared" ca="1" si="75"/>
        <v>81.836588130200795</v>
      </c>
      <c r="P170" s="310">
        <f t="shared" ca="1" si="76"/>
        <v>13</v>
      </c>
      <c r="Q170" s="304">
        <f t="shared" ca="1" si="77"/>
        <v>0</v>
      </c>
      <c r="R170" s="306">
        <f t="shared" ca="1" si="78"/>
        <v>0</v>
      </c>
      <c r="S170" s="307">
        <f t="shared" ca="1" si="79"/>
        <v>2.0842999999999985</v>
      </c>
      <c r="T170" s="304">
        <f t="shared" ca="1" si="59"/>
        <v>20.446982999999985</v>
      </c>
      <c r="U170" s="311">
        <f t="shared" ca="1" si="60"/>
        <v>0</v>
      </c>
      <c r="V170" s="306">
        <f t="shared" ca="1" si="61"/>
        <v>1.0822449068435522</v>
      </c>
      <c r="W170" s="304">
        <f t="shared" ca="1" si="62"/>
        <v>48.144765015417789</v>
      </c>
      <c r="Y170" s="314" t="str">
        <f t="shared" ca="1" si="80"/>
        <v/>
      </c>
      <c r="Z170" s="315" t="str">
        <f t="shared" ca="1" si="81"/>
        <v/>
      </c>
      <c r="AA170" s="316" t="str">
        <f t="shared" ca="1" si="82"/>
        <v/>
      </c>
      <c r="AC170" s="310" t="e">
        <f t="shared" ca="1" si="83"/>
        <v>#N/A</v>
      </c>
      <c r="AD170" s="323" t="e">
        <f t="shared" ca="1" si="84"/>
        <v>#N/A</v>
      </c>
      <c r="AE170" s="324">
        <f t="shared" ca="1" si="63"/>
        <v>1237.4507165062523</v>
      </c>
      <c r="AG170" s="306">
        <f t="shared" ca="1" si="85"/>
        <v>-32.88985161723167</v>
      </c>
      <c r="AH170" s="304">
        <f t="shared" ca="1" si="86"/>
        <v>-23.179158667021447</v>
      </c>
    </row>
    <row r="171" spans="1:34" x14ac:dyDescent="0.25">
      <c r="A171" s="347">
        <f t="shared" ca="1" si="64"/>
        <v>0.01</v>
      </c>
      <c r="B171" s="304">
        <f t="shared" ca="1" si="65"/>
        <v>7.3699999999999646</v>
      </c>
      <c r="D171" s="306">
        <f t="shared" ca="1" si="66"/>
        <v>-3.2799524919200285</v>
      </c>
      <c r="E171" s="307">
        <f t="shared" ca="1" si="67"/>
        <v>-32.674712078827312</v>
      </c>
      <c r="F171" s="304">
        <f t="shared" ca="1" si="68"/>
        <v>32.838923517428455</v>
      </c>
      <c r="G171" s="306">
        <f t="shared" ca="1" si="69"/>
        <v>28.46801128766198</v>
      </c>
      <c r="H171" s="307">
        <f t="shared" ca="1" si="70"/>
        <v>198.35382366434675</v>
      </c>
      <c r="I171" s="304">
        <f t="shared" ca="1" si="71"/>
        <v>200.38629451372469</v>
      </c>
      <c r="J171" s="306">
        <f t="shared" ca="1" si="72"/>
        <v>154.74073607415002</v>
      </c>
      <c r="K171" s="307">
        <f t="shared" ca="1" si="73"/>
        <v>1239.4358884784997</v>
      </c>
      <c r="L171" s="304">
        <f t="shared" ca="1" si="58"/>
        <v>1249.0580519132238</v>
      </c>
      <c r="M171" s="306">
        <f t="shared" ca="1" si="74"/>
        <v>1.4282483962821844</v>
      </c>
      <c r="N171" s="304">
        <f t="shared" ca="1" si="75"/>
        <v>81.832605203297462</v>
      </c>
      <c r="P171" s="310">
        <f t="shared" ca="1" si="76"/>
        <v>13</v>
      </c>
      <c r="Q171" s="304">
        <f t="shared" ca="1" si="77"/>
        <v>0</v>
      </c>
      <c r="R171" s="306">
        <f t="shared" ca="1" si="78"/>
        <v>0</v>
      </c>
      <c r="S171" s="307">
        <f t="shared" ca="1" si="79"/>
        <v>2.0842999999999985</v>
      </c>
      <c r="T171" s="304">
        <f t="shared" ca="1" si="59"/>
        <v>20.446982999999985</v>
      </c>
      <c r="U171" s="311">
        <f t="shared" ca="1" si="60"/>
        <v>0</v>
      </c>
      <c r="V171" s="306">
        <f t="shared" ca="1" si="61"/>
        <v>1.0820292571461581</v>
      </c>
      <c r="W171" s="304">
        <f t="shared" ca="1" si="62"/>
        <v>47.977934126958473</v>
      </c>
      <c r="Y171" s="314" t="str">
        <f t="shared" ca="1" si="80"/>
        <v/>
      </c>
      <c r="Z171" s="315" t="str">
        <f t="shared" ca="1" si="81"/>
        <v/>
      </c>
      <c r="AA171" s="316" t="str">
        <f t="shared" ca="1" si="82"/>
        <v/>
      </c>
      <c r="AC171" s="310" t="e">
        <f t="shared" ca="1" si="83"/>
        <v>#N/A</v>
      </c>
      <c r="AD171" s="323" t="e">
        <f t="shared" ca="1" si="84"/>
        <v>#N/A</v>
      </c>
      <c r="AE171" s="324">
        <f t="shared" ca="1" si="63"/>
        <v>1239.4358884784997</v>
      </c>
      <c r="AG171" s="306">
        <f t="shared" ca="1" si="85"/>
        <v>-32.809365723119775</v>
      </c>
      <c r="AH171" s="304">
        <f t="shared" ca="1" si="86"/>
        <v>-23.098769378408974</v>
      </c>
    </row>
    <row r="172" spans="1:34" x14ac:dyDescent="0.25">
      <c r="A172" s="347">
        <f t="shared" ca="1" si="64"/>
        <v>0.01</v>
      </c>
      <c r="B172" s="304">
        <f t="shared" ca="1" si="65"/>
        <v>7.3799999999999644</v>
      </c>
      <c r="D172" s="306">
        <f t="shared" ca="1" si="66"/>
        <v>-3.2701707536111773</v>
      </c>
      <c r="E172" s="307">
        <f t="shared" ca="1" si="67"/>
        <v>-32.595254173874125</v>
      </c>
      <c r="F172" s="304">
        <f t="shared" ca="1" si="68"/>
        <v>32.758885991700517</v>
      </c>
      <c r="G172" s="306">
        <f t="shared" ca="1" si="69"/>
        <v>28.435309580125868</v>
      </c>
      <c r="H172" s="307">
        <f t="shared" ca="1" si="70"/>
        <v>198.02787112260802</v>
      </c>
      <c r="I172" s="304">
        <f t="shared" ca="1" si="71"/>
        <v>200.05900272737003</v>
      </c>
      <c r="J172" s="306">
        <f t="shared" ca="1" si="72"/>
        <v>155.02525267848895</v>
      </c>
      <c r="K172" s="307">
        <f t="shared" ca="1" si="73"/>
        <v>1241.4177969524344</v>
      </c>
      <c r="L172" s="304">
        <f t="shared" ca="1" si="58"/>
        <v>1251.0599408334779</v>
      </c>
      <c r="M172" s="306">
        <f t="shared" ca="1" si="74"/>
        <v>1.4281787336270799</v>
      </c>
      <c r="N172" s="304">
        <f t="shared" ca="1" si="75"/>
        <v>81.828613827170301</v>
      </c>
      <c r="P172" s="310">
        <f t="shared" ca="1" si="76"/>
        <v>13</v>
      </c>
      <c r="Q172" s="304">
        <f t="shared" ca="1" si="77"/>
        <v>0</v>
      </c>
      <c r="R172" s="306">
        <f t="shared" ca="1" si="78"/>
        <v>0</v>
      </c>
      <c r="S172" s="307">
        <f t="shared" ca="1" si="79"/>
        <v>2.0842999999999985</v>
      </c>
      <c r="T172" s="304">
        <f t="shared" ca="1" si="59"/>
        <v>20.446982999999985</v>
      </c>
      <c r="U172" s="311">
        <f t="shared" ca="1" si="60"/>
        <v>0</v>
      </c>
      <c r="V172" s="306">
        <f t="shared" ca="1" si="61"/>
        <v>1.0818140021722169</v>
      </c>
      <c r="W172" s="304">
        <f t="shared" ca="1" si="62"/>
        <v>47.8118235862446</v>
      </c>
      <c r="Y172" s="314" t="str">
        <f t="shared" ca="1" si="80"/>
        <v/>
      </c>
      <c r="Z172" s="315" t="str">
        <f t="shared" ca="1" si="81"/>
        <v/>
      </c>
      <c r="AA172" s="316" t="str">
        <f t="shared" ca="1" si="82"/>
        <v/>
      </c>
      <c r="AC172" s="310" t="e">
        <f t="shared" ca="1" si="83"/>
        <v>#N/A</v>
      </c>
      <c r="AD172" s="323" t="e">
        <f t="shared" ca="1" si="84"/>
        <v>#N/A</v>
      </c>
      <c r="AE172" s="324">
        <f t="shared" ca="1" si="63"/>
        <v>1241.4177969524344</v>
      </c>
      <c r="AG172" s="306">
        <f t="shared" ca="1" si="85"/>
        <v>-32.729227178640087</v>
      </c>
      <c r="AH172" s="304">
        <f t="shared" ca="1" si="86"/>
        <v>-23.018727691291325</v>
      </c>
    </row>
    <row r="173" spans="1:34" x14ac:dyDescent="0.25">
      <c r="A173" s="347">
        <f t="shared" ca="1" si="64"/>
        <v>0.01</v>
      </c>
      <c r="B173" s="304">
        <f t="shared" ca="1" si="65"/>
        <v>7.3899999999999642</v>
      </c>
      <c r="D173" s="306">
        <f t="shared" ca="1" si="66"/>
        <v>-3.2604304551507406</v>
      </c>
      <c r="E173" s="307">
        <f t="shared" ca="1" si="67"/>
        <v>-32.51613935668496</v>
      </c>
      <c r="F173" s="304">
        <f t="shared" ca="1" si="68"/>
        <v>32.679194075378163</v>
      </c>
      <c r="G173" s="306">
        <f t="shared" ca="1" si="69"/>
        <v>28.402705275574359</v>
      </c>
      <c r="H173" s="307">
        <f t="shared" ca="1" si="70"/>
        <v>197.70270972904117</v>
      </c>
      <c r="I173" s="304">
        <f t="shared" ca="1" si="71"/>
        <v>199.73250887418567</v>
      </c>
      <c r="J173" s="306">
        <f t="shared" ca="1" si="72"/>
        <v>155.30944275276747</v>
      </c>
      <c r="K173" s="307">
        <f t="shared" ca="1" si="73"/>
        <v>1243.3964498566927</v>
      </c>
      <c r="L173" s="304">
        <f t="shared" ca="1" si="58"/>
        <v>1253.0585598943101</v>
      </c>
      <c r="M173" s="306">
        <f t="shared" ca="1" si="74"/>
        <v>1.4281089232294433</v>
      </c>
      <c r="N173" s="304">
        <f t="shared" ca="1" si="75"/>
        <v>81.824613986019585</v>
      </c>
      <c r="P173" s="310">
        <f t="shared" ca="1" si="76"/>
        <v>13</v>
      </c>
      <c r="Q173" s="304">
        <f t="shared" ca="1" si="77"/>
        <v>0</v>
      </c>
      <c r="R173" s="306">
        <f t="shared" ca="1" si="78"/>
        <v>0</v>
      </c>
      <c r="S173" s="307">
        <f t="shared" ca="1" si="79"/>
        <v>2.0842999999999985</v>
      </c>
      <c r="T173" s="304">
        <f t="shared" ca="1" si="59"/>
        <v>20.446982999999985</v>
      </c>
      <c r="U173" s="311">
        <f t="shared" ca="1" si="60"/>
        <v>0</v>
      </c>
      <c r="V173" s="306">
        <f t="shared" ca="1" si="61"/>
        <v>1.0815991408511587</v>
      </c>
      <c r="W173" s="304">
        <f t="shared" ca="1" si="62"/>
        <v>47.646429265293492</v>
      </c>
      <c r="Y173" s="314" t="str">
        <f t="shared" ca="1" si="80"/>
        <v/>
      </c>
      <c r="Z173" s="315" t="str">
        <f t="shared" ca="1" si="81"/>
        <v/>
      </c>
      <c r="AA173" s="316" t="str">
        <f t="shared" ca="1" si="82"/>
        <v/>
      </c>
      <c r="AC173" s="310" t="e">
        <f t="shared" ca="1" si="83"/>
        <v>#N/A</v>
      </c>
      <c r="AD173" s="323" t="e">
        <f t="shared" ca="1" si="84"/>
        <v>#N/A</v>
      </c>
      <c r="AE173" s="324">
        <f t="shared" ca="1" si="63"/>
        <v>1243.3964498566927</v>
      </c>
      <c r="AG173" s="306">
        <f t="shared" ca="1" si="85"/>
        <v>-32.649433988173321</v>
      </c>
      <c r="AH173" s="304">
        <f t="shared" ca="1" si="86"/>
        <v>-22.939031610730044</v>
      </c>
    </row>
    <row r="174" spans="1:34" x14ac:dyDescent="0.25">
      <c r="A174" s="347">
        <f t="shared" ca="1" si="64"/>
        <v>0.01</v>
      </c>
      <c r="B174" s="304">
        <f t="shared" ca="1" si="65"/>
        <v>7.3999999999999639</v>
      </c>
      <c r="D174" s="306">
        <f t="shared" ca="1" si="66"/>
        <v>-3.2507313577935357</v>
      </c>
      <c r="E174" s="307">
        <f t="shared" ca="1" si="67"/>
        <v>-32.437365661172976</v>
      </c>
      <c r="F174" s="304">
        <f t="shared" ca="1" si="68"/>
        <v>32.599845787935649</v>
      </c>
      <c r="G174" s="306">
        <f t="shared" ca="1" si="69"/>
        <v>28.370197961996425</v>
      </c>
      <c r="H174" s="307">
        <f t="shared" ca="1" si="70"/>
        <v>197.37833607242945</v>
      </c>
      <c r="I174" s="304">
        <f t="shared" ca="1" si="71"/>
        <v>199.40680952044684</v>
      </c>
      <c r="J174" s="306">
        <f t="shared" ca="1" si="72"/>
        <v>155.59330726895533</v>
      </c>
      <c r="K174" s="307">
        <f t="shared" ca="1" si="73"/>
        <v>1245.3718550857</v>
      </c>
      <c r="L174" s="304">
        <f t="shared" ca="1" si="58"/>
        <v>1255.0539170515699</v>
      </c>
      <c r="M174" s="306">
        <f t="shared" ca="1" si="74"/>
        <v>1.4280389648125986</v>
      </c>
      <c r="N174" s="304">
        <f t="shared" ca="1" si="75"/>
        <v>81.820605663992978</v>
      </c>
      <c r="P174" s="310">
        <f t="shared" ca="1" si="76"/>
        <v>13</v>
      </c>
      <c r="Q174" s="304">
        <f t="shared" ca="1" si="77"/>
        <v>0</v>
      </c>
      <c r="R174" s="306">
        <f t="shared" ca="1" si="78"/>
        <v>0</v>
      </c>
      <c r="S174" s="307">
        <f t="shared" ca="1" si="79"/>
        <v>2.0842999999999985</v>
      </c>
      <c r="T174" s="304">
        <f t="shared" ca="1" si="59"/>
        <v>20.446982999999985</v>
      </c>
      <c r="U174" s="311">
        <f t="shared" ca="1" si="60"/>
        <v>0</v>
      </c>
      <c r="V174" s="306">
        <f t="shared" ca="1" si="61"/>
        <v>1.0813846721172085</v>
      </c>
      <c r="W174" s="304">
        <f t="shared" ca="1" si="62"/>
        <v>47.481747065928374</v>
      </c>
      <c r="Y174" s="314" t="str">
        <f t="shared" ca="1" si="80"/>
        <v/>
      </c>
      <c r="Z174" s="315" t="str">
        <f t="shared" ca="1" si="81"/>
        <v/>
      </c>
      <c r="AA174" s="316" t="str">
        <f t="shared" ca="1" si="82"/>
        <v/>
      </c>
      <c r="AC174" s="310" t="e">
        <f t="shared" ca="1" si="83"/>
        <v>#N/A</v>
      </c>
      <c r="AD174" s="323" t="e">
        <f t="shared" ca="1" si="84"/>
        <v>#N/A</v>
      </c>
      <c r="AE174" s="324">
        <f t="shared" ca="1" si="63"/>
        <v>1245.3718550857</v>
      </c>
      <c r="AG174" s="306">
        <f t="shared" ca="1" si="85"/>
        <v>-32.569984170523277</v>
      </c>
      <c r="AH174" s="304">
        <f t="shared" ca="1" si="86"/>
        <v>-22.859679156212412</v>
      </c>
    </row>
    <row r="175" spans="1:34" x14ac:dyDescent="0.25">
      <c r="A175" s="347">
        <f t="shared" ca="1" si="64"/>
        <v>0.01</v>
      </c>
      <c r="B175" s="304">
        <f t="shared" ca="1" si="65"/>
        <v>7.4099999999999637</v>
      </c>
      <c r="D175" s="306">
        <f t="shared" ca="1" si="66"/>
        <v>-3.2410732245169793</v>
      </c>
      <c r="E175" s="307">
        <f t="shared" ca="1" si="67"/>
        <v>-32.358931135447321</v>
      </c>
      <c r="F175" s="304">
        <f t="shared" ca="1" si="68"/>
        <v>32.520839163147421</v>
      </c>
      <c r="G175" s="306">
        <f t="shared" ca="1" si="69"/>
        <v>28.337787229751257</v>
      </c>
      <c r="H175" s="307">
        <f t="shared" ca="1" si="70"/>
        <v>197.05474676107497</v>
      </c>
      <c r="I175" s="304">
        <f t="shared" ca="1" si="71"/>
        <v>199.08190125209785</v>
      </c>
      <c r="J175" s="306">
        <f t="shared" ca="1" si="72"/>
        <v>155.87684719491406</v>
      </c>
      <c r="K175" s="307">
        <f t="shared" ca="1" si="73"/>
        <v>1247.3440204998674</v>
      </c>
      <c r="L175" s="304">
        <f t="shared" ca="1" si="58"/>
        <v>1257.046020226865</v>
      </c>
      <c r="M175" s="306">
        <f t="shared" ca="1" si="74"/>
        <v>1.42796885809895</v>
      </c>
      <c r="N175" s="304">
        <f t="shared" ca="1" si="75"/>
        <v>81.816588845185379</v>
      </c>
      <c r="P175" s="310">
        <f t="shared" ca="1" si="76"/>
        <v>13</v>
      </c>
      <c r="Q175" s="304">
        <f t="shared" ca="1" si="77"/>
        <v>0</v>
      </c>
      <c r="R175" s="306">
        <f t="shared" ca="1" si="78"/>
        <v>0</v>
      </c>
      <c r="S175" s="307">
        <f t="shared" ca="1" si="79"/>
        <v>2.0842999999999985</v>
      </c>
      <c r="T175" s="304">
        <f t="shared" ca="1" si="59"/>
        <v>20.446982999999985</v>
      </c>
      <c r="U175" s="311">
        <f t="shared" ca="1" si="60"/>
        <v>0</v>
      </c>
      <c r="V175" s="306">
        <f t="shared" ca="1" si="61"/>
        <v>1.0811705949093597</v>
      </c>
      <c r="W175" s="304">
        <f t="shared" ca="1" si="62"/>
        <v>47.317772919519861</v>
      </c>
      <c r="Y175" s="314" t="str">
        <f t="shared" ca="1" si="80"/>
        <v/>
      </c>
      <c r="Z175" s="315" t="str">
        <f t="shared" ca="1" si="81"/>
        <v/>
      </c>
      <c r="AA175" s="316" t="str">
        <f t="shared" ca="1" si="82"/>
        <v/>
      </c>
      <c r="AC175" s="310" t="e">
        <f t="shared" ca="1" si="83"/>
        <v>#N/A</v>
      </c>
      <c r="AD175" s="323" t="e">
        <f t="shared" ca="1" si="84"/>
        <v>#N/A</v>
      </c>
      <c r="AE175" s="324">
        <f t="shared" ca="1" si="63"/>
        <v>1247.3440204998674</v>
      </c>
      <c r="AG175" s="306">
        <f t="shared" ca="1" si="85"/>
        <v>-32.490875758791276</v>
      </c>
      <c r="AH175" s="304">
        <f t="shared" ca="1" si="86"/>
        <v>-22.780668361525887</v>
      </c>
    </row>
    <row r="176" spans="1:34" x14ac:dyDescent="0.25">
      <c r="A176" s="347">
        <f t="shared" ca="1" si="64"/>
        <v>0.01</v>
      </c>
      <c r="B176" s="304">
        <f t="shared" ca="1" si="65"/>
        <v>7.4199999999999635</v>
      </c>
      <c r="D176" s="306">
        <f t="shared" ca="1" si="66"/>
        <v>-3.231455820006119</v>
      </c>
      <c r="E176" s="307">
        <f t="shared" ca="1" si="67"/>
        <v>-32.280833841690068</v>
      </c>
      <c r="F176" s="304">
        <f t="shared" ca="1" si="68"/>
        <v>32.44217224896407</v>
      </c>
      <c r="G176" s="306">
        <f t="shared" ca="1" si="69"/>
        <v>28.305472671551197</v>
      </c>
      <c r="H176" s="307">
        <f t="shared" ca="1" si="70"/>
        <v>196.73193842265806</v>
      </c>
      <c r="I176" s="304">
        <f t="shared" ca="1" si="71"/>
        <v>198.75778067461019</v>
      </c>
      <c r="J176" s="306">
        <f t="shared" ca="1" si="72"/>
        <v>156.16006349442057</v>
      </c>
      <c r="K176" s="307">
        <f t="shared" ca="1" si="73"/>
        <v>1249.3129539257861</v>
      </c>
      <c r="L176" s="304">
        <f t="shared" ca="1" si="58"/>
        <v>1259.0348773077556</v>
      </c>
      <c r="M176" s="306">
        <f t="shared" ca="1" si="74"/>
        <v>1.4278986028099783</v>
      </c>
      <c r="N176" s="304">
        <f t="shared" ca="1" si="75"/>
        <v>81.812563513638821</v>
      </c>
      <c r="P176" s="310">
        <f t="shared" ca="1" si="76"/>
        <v>13</v>
      </c>
      <c r="Q176" s="304">
        <f t="shared" ca="1" si="77"/>
        <v>0</v>
      </c>
      <c r="R176" s="306">
        <f t="shared" ca="1" si="78"/>
        <v>0</v>
      </c>
      <c r="S176" s="307">
        <f t="shared" ca="1" si="79"/>
        <v>2.0842999999999985</v>
      </c>
      <c r="T176" s="304">
        <f t="shared" ca="1" si="59"/>
        <v>20.446982999999985</v>
      </c>
      <c r="U176" s="311">
        <f t="shared" ca="1" si="60"/>
        <v>0</v>
      </c>
      <c r="V176" s="306">
        <f t="shared" ca="1" si="61"/>
        <v>1.0809569081713444</v>
      </c>
      <c r="W176" s="304">
        <f t="shared" ca="1" si="62"/>
        <v>47.154502786729559</v>
      </c>
      <c r="Y176" s="314" t="str">
        <f t="shared" ca="1" si="80"/>
        <v/>
      </c>
      <c r="Z176" s="315" t="str">
        <f t="shared" ca="1" si="81"/>
        <v/>
      </c>
      <c r="AA176" s="316" t="str">
        <f t="shared" ca="1" si="82"/>
        <v/>
      </c>
      <c r="AC176" s="310" t="e">
        <f t="shared" ca="1" si="83"/>
        <v>#N/A</v>
      </c>
      <c r="AD176" s="323" t="e">
        <f t="shared" ca="1" si="84"/>
        <v>#N/A</v>
      </c>
      <c r="AE176" s="324">
        <f t="shared" ca="1" si="63"/>
        <v>1249.3129539257861</v>
      </c>
      <c r="AG176" s="306">
        <f t="shared" ca="1" si="85"/>
        <v>-32.412106800252161</v>
      </c>
      <c r="AH176" s="304">
        <f t="shared" ca="1" si="86"/>
        <v>-22.70199727463412</v>
      </c>
    </row>
    <row r="177" spans="1:34" x14ac:dyDescent="0.25">
      <c r="A177" s="347">
        <f t="shared" ca="1" si="64"/>
        <v>0.01</v>
      </c>
      <c r="B177" s="304">
        <f t="shared" ca="1" si="65"/>
        <v>7.4299999999999633</v>
      </c>
      <c r="D177" s="306">
        <f t="shared" ca="1" si="66"/>
        <v>-3.2218789106388042</v>
      </c>
      <c r="E177" s="307">
        <f t="shared" ca="1" si="67"/>
        <v>-32.20307185603405</v>
      </c>
      <c r="F177" s="304">
        <f t="shared" ca="1" si="68"/>
        <v>32.363843107389322</v>
      </c>
      <c r="G177" s="306">
        <f t="shared" ca="1" si="69"/>
        <v>28.273253882444809</v>
      </c>
      <c r="H177" s="307">
        <f t="shared" ca="1" si="70"/>
        <v>196.40990770409772</v>
      </c>
      <c r="I177" s="304">
        <f t="shared" ca="1" si="71"/>
        <v>198.43444441284223</v>
      </c>
      <c r="J177" s="306">
        <f t="shared" ca="1" si="72"/>
        <v>156.44295712719054</v>
      </c>
      <c r="K177" s="307">
        <f t="shared" ca="1" si="73"/>
        <v>1251.27866315642</v>
      </c>
      <c r="L177" s="304">
        <f t="shared" ca="1" si="58"/>
        <v>1261.0204961479481</v>
      </c>
      <c r="M177" s="306">
        <f t="shared" ca="1" si="74"/>
        <v>1.4278281986662362</v>
      </c>
      <c r="N177" s="304">
        <f t="shared" ca="1" si="75"/>
        <v>81.808529653342177</v>
      </c>
      <c r="P177" s="310">
        <f t="shared" ca="1" si="76"/>
        <v>13</v>
      </c>
      <c r="Q177" s="304">
        <f t="shared" ca="1" si="77"/>
        <v>0</v>
      </c>
      <c r="R177" s="306">
        <f t="shared" ca="1" si="78"/>
        <v>0</v>
      </c>
      <c r="S177" s="307">
        <f t="shared" ca="1" si="79"/>
        <v>2.0842999999999985</v>
      </c>
      <c r="T177" s="304">
        <f t="shared" ca="1" si="59"/>
        <v>20.446982999999985</v>
      </c>
      <c r="U177" s="311">
        <f t="shared" ca="1" si="60"/>
        <v>0</v>
      </c>
      <c r="V177" s="306">
        <f t="shared" ca="1" si="61"/>
        <v>1.0807436108516073</v>
      </c>
      <c r="W177" s="304">
        <f t="shared" ca="1" si="62"/>
        <v>46.991932657256747</v>
      </c>
      <c r="Y177" s="314" t="str">
        <f t="shared" ca="1" si="80"/>
        <v/>
      </c>
      <c r="Z177" s="315" t="str">
        <f t="shared" ca="1" si="81"/>
        <v/>
      </c>
      <c r="AA177" s="316" t="str">
        <f t="shared" ca="1" si="82"/>
        <v/>
      </c>
      <c r="AC177" s="310" t="e">
        <f t="shared" ca="1" si="83"/>
        <v>#N/A</v>
      </c>
      <c r="AD177" s="323" t="e">
        <f t="shared" ca="1" si="84"/>
        <v>#N/A</v>
      </c>
      <c r="AE177" s="324">
        <f t="shared" ca="1" si="63"/>
        <v>1251.27866315642</v>
      </c>
      <c r="AG177" s="306">
        <f t="shared" ca="1" si="85"/>
        <v>-32.33367535623124</v>
      </c>
      <c r="AH177" s="304">
        <f t="shared" ca="1" si="86"/>
        <v>-22.623663957553898</v>
      </c>
    </row>
    <row r="178" spans="1:34" x14ac:dyDescent="0.25">
      <c r="A178" s="347">
        <f t="shared" ca="1" si="64"/>
        <v>0.01</v>
      </c>
      <c r="B178" s="304">
        <f t="shared" ca="1" si="65"/>
        <v>7.4399999999999631</v>
      </c>
      <c r="D178" s="306">
        <f t="shared" ca="1" si="66"/>
        <v>-3.212342264471086</v>
      </c>
      <c r="E178" s="307">
        <f t="shared" ca="1" si="67"/>
        <v>-32.125643268442246</v>
      </c>
      <c r="F178" s="304">
        <f t="shared" ca="1" si="68"/>
        <v>32.285849814358549</v>
      </c>
      <c r="G178" s="306">
        <f t="shared" ca="1" si="69"/>
        <v>28.241130459800097</v>
      </c>
      <c r="H178" s="307">
        <f t="shared" ca="1" si="70"/>
        <v>196.08865127141328</v>
      </c>
      <c r="I178" s="304">
        <f t="shared" ca="1" si="71"/>
        <v>198.1118891108996</v>
      </c>
      <c r="J178" s="306">
        <f t="shared" ca="1" si="72"/>
        <v>156.72552904890176</v>
      </c>
      <c r="K178" s="307">
        <f t="shared" ca="1" si="73"/>
        <v>1253.2411559512975</v>
      </c>
      <c r="L178" s="304">
        <f t="shared" ca="1" si="58"/>
        <v>1263.0028845674908</v>
      </c>
      <c r="M178" s="306">
        <f t="shared" ca="1" si="74"/>
        <v>1.4277576453873475</v>
      </c>
      <c r="N178" s="304">
        <f t="shared" ca="1" si="75"/>
        <v>81.804487248231041</v>
      </c>
      <c r="P178" s="310">
        <f t="shared" ca="1" si="76"/>
        <v>13</v>
      </c>
      <c r="Q178" s="304">
        <f t="shared" ca="1" si="77"/>
        <v>0</v>
      </c>
      <c r="R178" s="306">
        <f t="shared" ca="1" si="78"/>
        <v>0</v>
      </c>
      <c r="S178" s="307">
        <f t="shared" ca="1" si="79"/>
        <v>2.0842999999999985</v>
      </c>
      <c r="T178" s="304">
        <f t="shared" ca="1" si="59"/>
        <v>20.446982999999985</v>
      </c>
      <c r="U178" s="311">
        <f t="shared" ca="1" si="60"/>
        <v>0</v>
      </c>
      <c r="V178" s="306">
        <f t="shared" ca="1" si="61"/>
        <v>1.0805307019032766</v>
      </c>
      <c r="W178" s="304">
        <f t="shared" ca="1" si="62"/>
        <v>46.830058549587143</v>
      </c>
      <c r="Y178" s="314" t="str">
        <f t="shared" ca="1" si="80"/>
        <v/>
      </c>
      <c r="Z178" s="315" t="str">
        <f t="shared" ca="1" si="81"/>
        <v/>
      </c>
      <c r="AA178" s="316" t="str">
        <f t="shared" ca="1" si="82"/>
        <v/>
      </c>
      <c r="AC178" s="310" t="e">
        <f t="shared" ca="1" si="83"/>
        <v>#N/A</v>
      </c>
      <c r="AD178" s="323" t="e">
        <f t="shared" ca="1" si="84"/>
        <v>#N/A</v>
      </c>
      <c r="AE178" s="324">
        <f t="shared" ca="1" si="63"/>
        <v>1253.2411559512975</v>
      </c>
      <c r="AG178" s="306">
        <f t="shared" ca="1" si="85"/>
        <v>-32.255579501982744</v>
      </c>
      <c r="AH178" s="304">
        <f t="shared" ca="1" si="86"/>
        <v>-22.545666486233642</v>
      </c>
    </row>
    <row r="179" spans="1:34" x14ac:dyDescent="0.25">
      <c r="A179" s="347">
        <f t="shared" ca="1" si="64"/>
        <v>0.01</v>
      </c>
      <c r="B179" s="304">
        <f t="shared" ca="1" si="65"/>
        <v>7.4499999999999629</v>
      </c>
      <c r="D179" s="306">
        <f t="shared" ca="1" si="66"/>
        <v>-3.2028456512226455</v>
      </c>
      <c r="E179" s="307">
        <f t="shared" ca="1" si="67"/>
        <v>-32.04854618258809</v>
      </c>
      <c r="F179" s="304">
        <f t="shared" ca="1" si="68"/>
        <v>32.208190459618152</v>
      </c>
      <c r="G179" s="306">
        <f t="shared" ca="1" si="69"/>
        <v>28.209102003287871</v>
      </c>
      <c r="H179" s="307">
        <f t="shared" ca="1" si="70"/>
        <v>195.7681658095874</v>
      </c>
      <c r="I179" s="304">
        <f t="shared" ca="1" si="71"/>
        <v>197.79011143199756</v>
      </c>
      <c r="J179" s="306">
        <f t="shared" ca="1" si="72"/>
        <v>157.00778021121721</v>
      </c>
      <c r="K179" s="307">
        <f t="shared" ca="1" si="73"/>
        <v>1255.2004400367025</v>
      </c>
      <c r="L179" s="304">
        <f t="shared" ca="1" si="58"/>
        <v>1264.9820503529627</v>
      </c>
      <c r="M179" s="306">
        <f t="shared" ca="1" si="74"/>
        <v>1.4276869426920022</v>
      </c>
      <c r="N179" s="304">
        <f t="shared" ca="1" si="75"/>
        <v>81.800436282187562</v>
      </c>
      <c r="P179" s="310">
        <f t="shared" ca="1" si="76"/>
        <v>13</v>
      </c>
      <c r="Q179" s="304">
        <f t="shared" ca="1" si="77"/>
        <v>0</v>
      </c>
      <c r="R179" s="306">
        <f t="shared" ca="1" si="78"/>
        <v>0</v>
      </c>
      <c r="S179" s="307">
        <f t="shared" ca="1" si="79"/>
        <v>2.0842999999999985</v>
      </c>
      <c r="T179" s="304">
        <f t="shared" ca="1" si="59"/>
        <v>20.446982999999985</v>
      </c>
      <c r="U179" s="311">
        <f t="shared" ca="1" si="60"/>
        <v>0</v>
      </c>
      <c r="V179" s="306">
        <f t="shared" ca="1" si="61"/>
        <v>1.0803181802841368</v>
      </c>
      <c r="W179" s="304">
        <f t="shared" ca="1" si="62"/>
        <v>46.668876510744667</v>
      </c>
      <c r="Y179" s="314" t="str">
        <f t="shared" ca="1" si="80"/>
        <v/>
      </c>
      <c r="Z179" s="315" t="str">
        <f t="shared" ca="1" si="81"/>
        <v/>
      </c>
      <c r="AA179" s="316" t="str">
        <f t="shared" ca="1" si="82"/>
        <v/>
      </c>
      <c r="AC179" s="310" t="e">
        <f t="shared" ca="1" si="83"/>
        <v>#N/A</v>
      </c>
      <c r="AD179" s="323" t="e">
        <f t="shared" ca="1" si="84"/>
        <v>#N/A</v>
      </c>
      <c r="AE179" s="324">
        <f t="shared" ca="1" si="63"/>
        <v>1255.2004400367025</v>
      </c>
      <c r="AG179" s="306">
        <f t="shared" ca="1" si="85"/>
        <v>-32.177817326569297</v>
      </c>
      <c r="AH179" s="304">
        <f t="shared" ca="1" si="86"/>
        <v>-22.468002950432844</v>
      </c>
    </row>
    <row r="180" spans="1:34" x14ac:dyDescent="0.25">
      <c r="A180" s="347">
        <f t="shared" ca="1" si="64"/>
        <v>0.01</v>
      </c>
      <c r="B180" s="304">
        <f t="shared" ca="1" si="65"/>
        <v>7.4599999999999627</v>
      </c>
      <c r="D180" s="306">
        <f t="shared" ca="1" si="66"/>
        <v>-3.1933888422624768</v>
      </c>
      <c r="E180" s="307">
        <f t="shared" ca="1" si="67"/>
        <v>-31.971778715737265</v>
      </c>
      <c r="F180" s="304">
        <f t="shared" ca="1" si="68"/>
        <v>32.130863146606522</v>
      </c>
      <c r="G180" s="306">
        <f t="shared" ca="1" si="69"/>
        <v>28.177168114865246</v>
      </c>
      <c r="H180" s="307">
        <f t="shared" ca="1" si="70"/>
        <v>195.44844802243003</v>
      </c>
      <c r="I180" s="304">
        <f t="shared" ca="1" si="71"/>
        <v>197.46910805832366</v>
      </c>
      <c r="J180" s="306">
        <f t="shared" ca="1" si="72"/>
        <v>157.28971156180796</v>
      </c>
      <c r="K180" s="307">
        <f t="shared" ca="1" si="73"/>
        <v>1257.1565231058626</v>
      </c>
      <c r="L180" s="304">
        <f t="shared" ca="1" si="58"/>
        <v>1266.958001257665</v>
      </c>
      <c r="M180" s="306">
        <f t="shared" ca="1" si="74"/>
        <v>1.4276160902979544</v>
      </c>
      <c r="N180" s="304">
        <f t="shared" ca="1" si="75"/>
        <v>81.796376739040227</v>
      </c>
      <c r="P180" s="310">
        <f t="shared" ca="1" si="76"/>
        <v>13</v>
      </c>
      <c r="Q180" s="304">
        <f t="shared" ca="1" si="77"/>
        <v>0</v>
      </c>
      <c r="R180" s="306">
        <f t="shared" ca="1" si="78"/>
        <v>0</v>
      </c>
      <c r="S180" s="307">
        <f t="shared" ca="1" si="79"/>
        <v>2.0842999999999985</v>
      </c>
      <c r="T180" s="304">
        <f t="shared" ca="1" si="59"/>
        <v>20.446982999999985</v>
      </c>
      <c r="U180" s="311">
        <f t="shared" ca="1" si="60"/>
        <v>0</v>
      </c>
      <c r="V180" s="306">
        <f t="shared" ca="1" si="61"/>
        <v>1.0801060449566027</v>
      </c>
      <c r="W180" s="304">
        <f t="shared" ca="1" si="62"/>
        <v>46.508382616045367</v>
      </c>
      <c r="Y180" s="314" t="str">
        <f t="shared" ca="1" si="80"/>
        <v/>
      </c>
      <c r="Z180" s="315" t="str">
        <f t="shared" ca="1" si="81"/>
        <v/>
      </c>
      <c r="AA180" s="316" t="str">
        <f t="shared" ca="1" si="82"/>
        <v/>
      </c>
      <c r="AC180" s="310" t="e">
        <f t="shared" ca="1" si="83"/>
        <v>#N/A</v>
      </c>
      <c r="AD180" s="323" t="e">
        <f t="shared" ca="1" si="84"/>
        <v>#N/A</v>
      </c>
      <c r="AE180" s="324">
        <f t="shared" ca="1" si="63"/>
        <v>1257.1565231058626</v>
      </c>
      <c r="AG180" s="306">
        <f t="shared" ca="1" si="85"/>
        <v>-32.100386932742779</v>
      </c>
      <c r="AH180" s="304">
        <f t="shared" ca="1" si="86"/>
        <v>-22.390671453602984</v>
      </c>
    </row>
    <row r="181" spans="1:34" x14ac:dyDescent="0.25">
      <c r="A181" s="347">
        <f t="shared" ca="1" si="64"/>
        <v>0.01</v>
      </c>
      <c r="B181" s="304">
        <f t="shared" ca="1" si="65"/>
        <v>7.4699999999999624</v>
      </c>
      <c r="D181" s="306">
        <f t="shared" ca="1" si="66"/>
        <v>-3.1839716105946474</v>
      </c>
      <c r="E181" s="307">
        <f t="shared" ca="1" si="67"/>
        <v>-31.895338998630486</v>
      </c>
      <c r="F181" s="304">
        <f t="shared" ca="1" si="68"/>
        <v>32.05386599233595</v>
      </c>
      <c r="G181" s="306">
        <f t="shared" ca="1" si="69"/>
        <v>28.1453283987593</v>
      </c>
      <c r="H181" s="307">
        <f t="shared" ca="1" si="70"/>
        <v>195.12949463244374</v>
      </c>
      <c r="I181" s="304">
        <f t="shared" ca="1" si="71"/>
        <v>197.14887569090243</v>
      </c>
      <c r="J181" s="306">
        <f t="shared" ca="1" si="72"/>
        <v>157.5713240443761</v>
      </c>
      <c r="K181" s="307">
        <f t="shared" ca="1" si="73"/>
        <v>1259.1094128191369</v>
      </c>
      <c r="L181" s="304">
        <f t="shared" ca="1" si="58"/>
        <v>1268.9307450018102</v>
      </c>
      <c r="M181" s="306">
        <f t="shared" ca="1" si="74"/>
        <v>1.427545087922018</v>
      </c>
      <c r="N181" s="304">
        <f t="shared" ca="1" si="75"/>
        <v>81.792308602563665</v>
      </c>
      <c r="P181" s="310">
        <f t="shared" ca="1" si="76"/>
        <v>13</v>
      </c>
      <c r="Q181" s="304">
        <f t="shared" ca="1" si="77"/>
        <v>0</v>
      </c>
      <c r="R181" s="306">
        <f t="shared" ca="1" si="78"/>
        <v>0</v>
      </c>
      <c r="S181" s="307">
        <f t="shared" ca="1" si="79"/>
        <v>2.0842999999999985</v>
      </c>
      <c r="T181" s="304">
        <f t="shared" ca="1" si="59"/>
        <v>20.446982999999985</v>
      </c>
      <c r="U181" s="311">
        <f t="shared" ca="1" si="60"/>
        <v>0</v>
      </c>
      <c r="V181" s="306">
        <f t="shared" ca="1" si="61"/>
        <v>1.0798942948876893</v>
      </c>
      <c r="W181" s="304">
        <f t="shared" ca="1" si="62"/>
        <v>46.348572968853993</v>
      </c>
      <c r="Y181" s="314" t="str">
        <f t="shared" ca="1" si="80"/>
        <v/>
      </c>
      <c r="Z181" s="315" t="str">
        <f t="shared" ca="1" si="81"/>
        <v/>
      </c>
      <c r="AA181" s="316" t="str">
        <f t="shared" ca="1" si="82"/>
        <v/>
      </c>
      <c r="AC181" s="310" t="e">
        <f t="shared" ca="1" si="83"/>
        <v>#N/A</v>
      </c>
      <c r="AD181" s="323" t="e">
        <f t="shared" ca="1" si="84"/>
        <v>#N/A</v>
      </c>
      <c r="AE181" s="324">
        <f t="shared" ca="1" si="63"/>
        <v>1259.1094128191369</v>
      </c>
      <c r="AG181" s="306">
        <f t="shared" ca="1" si="85"/>
        <v>-32.023286436826282</v>
      </c>
      <c r="AH181" s="304">
        <f t="shared" ca="1" si="86"/>
        <v>-22.313670112769469</v>
      </c>
    </row>
    <row r="182" spans="1:34" x14ac:dyDescent="0.25">
      <c r="A182" s="347">
        <f t="shared" ca="1" si="64"/>
        <v>0.01</v>
      </c>
      <c r="B182" s="304">
        <f t="shared" ca="1" si="65"/>
        <v>7.4799999999999622</v>
      </c>
      <c r="D182" s="306">
        <f t="shared" ca="1" si="66"/>
        <v>-3.1745937308442436</v>
      </c>
      <c r="E182" s="307">
        <f t="shared" ca="1" si="67"/>
        <v>-31.819225175367585</v>
      </c>
      <c r="F182" s="304">
        <f t="shared" ca="1" si="68"/>
        <v>31.977197127275897</v>
      </c>
      <c r="G182" s="306">
        <f t="shared" ca="1" si="69"/>
        <v>28.113582461450857</v>
      </c>
      <c r="H182" s="307">
        <f t="shared" ca="1" si="70"/>
        <v>194.81130238069005</v>
      </c>
      <c r="I182" s="304">
        <f t="shared" ca="1" si="71"/>
        <v>196.82941104946042</v>
      </c>
      <c r="J182" s="306">
        <f t="shared" ca="1" si="72"/>
        <v>157.85261859867714</v>
      </c>
      <c r="K182" s="307">
        <f t="shared" ca="1" si="73"/>
        <v>1261.0591168042026</v>
      </c>
      <c r="L182" s="304">
        <f t="shared" ca="1" si="58"/>
        <v>1270.900289272709</v>
      </c>
      <c r="M182" s="306">
        <f t="shared" ca="1" si="74"/>
        <v>1.4274739352800645</v>
      </c>
      <c r="N182" s="304">
        <f t="shared" ca="1" si="75"/>
        <v>81.788231856478518</v>
      </c>
      <c r="P182" s="310">
        <f t="shared" ca="1" si="76"/>
        <v>13</v>
      </c>
      <c r="Q182" s="304">
        <f t="shared" ca="1" si="77"/>
        <v>0</v>
      </c>
      <c r="R182" s="306">
        <f t="shared" ca="1" si="78"/>
        <v>0</v>
      </c>
      <c r="S182" s="307">
        <f t="shared" ca="1" si="79"/>
        <v>2.0842999999999985</v>
      </c>
      <c r="T182" s="304">
        <f t="shared" ca="1" si="59"/>
        <v>20.446982999999985</v>
      </c>
      <c r="U182" s="311">
        <f t="shared" ca="1" si="60"/>
        <v>0</v>
      </c>
      <c r="V182" s="306">
        <f t="shared" ca="1" si="61"/>
        <v>1.0796829290489882</v>
      </c>
      <c r="W182" s="304">
        <f t="shared" ca="1" si="62"/>
        <v>46.189443700342913</v>
      </c>
      <c r="Y182" s="314" t="str">
        <f t="shared" ca="1" si="80"/>
        <v/>
      </c>
      <c r="Z182" s="315" t="str">
        <f t="shared" ca="1" si="81"/>
        <v/>
      </c>
      <c r="AA182" s="316" t="str">
        <f t="shared" ca="1" si="82"/>
        <v/>
      </c>
      <c r="AC182" s="310" t="e">
        <f t="shared" ca="1" si="83"/>
        <v>#N/A</v>
      </c>
      <c r="AD182" s="323" t="e">
        <f t="shared" ca="1" si="84"/>
        <v>#N/A</v>
      </c>
      <c r="AE182" s="324">
        <f t="shared" ca="1" si="63"/>
        <v>1261.0591168042026</v>
      </c>
      <c r="AG182" s="306">
        <f t="shared" ca="1" si="85"/>
        <v>-31.946513968597269</v>
      </c>
      <c r="AH182" s="304">
        <f t="shared" ca="1" si="86"/>
        <v>-22.236997058414829</v>
      </c>
    </row>
    <row r="183" spans="1:34" x14ac:dyDescent="0.25">
      <c r="A183" s="347">
        <f t="shared" ca="1" si="64"/>
        <v>0.01</v>
      </c>
      <c r="B183" s="304">
        <f t="shared" ca="1" si="65"/>
        <v>7.489999999999962</v>
      </c>
      <c r="D183" s="306">
        <f t="shared" ca="1" si="66"/>
        <v>-3.165254979243413</v>
      </c>
      <c r="E183" s="307">
        <f t="shared" ca="1" si="67"/>
        <v>-31.743435403292636</v>
      </c>
      <c r="F183" s="304">
        <f t="shared" ca="1" si="68"/>
        <v>31.900854695237204</v>
      </c>
      <c r="G183" s="306">
        <f t="shared" ca="1" si="69"/>
        <v>28.081929911658424</v>
      </c>
      <c r="H183" s="307">
        <f t="shared" ca="1" si="70"/>
        <v>194.49386802665711</v>
      </c>
      <c r="I183" s="304">
        <f t="shared" ca="1" si="71"/>
        <v>196.5107108722932</v>
      </c>
      <c r="J183" s="306">
        <f t="shared" ca="1" si="72"/>
        <v>158.13359616054268</v>
      </c>
      <c r="K183" s="307">
        <f t="shared" ca="1" si="73"/>
        <v>1263.0056426562394</v>
      </c>
      <c r="L183" s="304">
        <f t="shared" ca="1" si="58"/>
        <v>1272.8666417249553</v>
      </c>
      <c r="M183" s="306">
        <f t="shared" ca="1" si="74"/>
        <v>1.4274026320870197</v>
      </c>
      <c r="N183" s="304">
        <f t="shared" ca="1" si="75"/>
        <v>81.784146484451242</v>
      </c>
      <c r="P183" s="310">
        <f t="shared" ca="1" si="76"/>
        <v>13</v>
      </c>
      <c r="Q183" s="304">
        <f t="shared" ca="1" si="77"/>
        <v>0</v>
      </c>
      <c r="R183" s="306">
        <f t="shared" ca="1" si="78"/>
        <v>0</v>
      </c>
      <c r="S183" s="307">
        <f t="shared" ca="1" si="79"/>
        <v>2.0842999999999985</v>
      </c>
      <c r="T183" s="304">
        <f t="shared" ca="1" si="59"/>
        <v>20.446982999999985</v>
      </c>
      <c r="U183" s="311">
        <f t="shared" ca="1" si="60"/>
        <v>0</v>
      </c>
      <c r="V183" s="306">
        <f t="shared" ca="1" si="61"/>
        <v>1.0794719464166387</v>
      </c>
      <c r="W183" s="304">
        <f t="shared" ca="1" si="62"/>
        <v>46.030990969253594</v>
      </c>
      <c r="Y183" s="314" t="str">
        <f t="shared" ca="1" si="80"/>
        <v/>
      </c>
      <c r="Z183" s="315" t="str">
        <f t="shared" ca="1" si="81"/>
        <v/>
      </c>
      <c r="AA183" s="316" t="str">
        <f t="shared" ca="1" si="82"/>
        <v/>
      </c>
      <c r="AC183" s="310" t="e">
        <f t="shared" ca="1" si="83"/>
        <v>#N/A</v>
      </c>
      <c r="AD183" s="323" t="e">
        <f t="shared" ca="1" si="84"/>
        <v>#N/A</v>
      </c>
      <c r="AE183" s="324">
        <f t="shared" ca="1" si="63"/>
        <v>1263.0056426562394</v>
      </c>
      <c r="AG183" s="306">
        <f t="shared" ca="1" si="85"/>
        <v>-31.870067671171942</v>
      </c>
      <c r="AH183" s="304">
        <f t="shared" ca="1" si="86"/>
        <v>-22.16065043436307</v>
      </c>
    </row>
    <row r="184" spans="1:34" x14ac:dyDescent="0.25">
      <c r="A184" s="347">
        <f t="shared" ca="1" si="64"/>
        <v>0.01</v>
      </c>
      <c r="B184" s="304">
        <f t="shared" ca="1" si="65"/>
        <v>7.4999999999999618</v>
      </c>
      <c r="D184" s="306">
        <f t="shared" ca="1" si="66"/>
        <v>-3.1559551336175926</v>
      </c>
      <c r="E184" s="307">
        <f t="shared" ca="1" si="67"/>
        <v>-31.667967852880423</v>
      </c>
      <c r="F184" s="304">
        <f t="shared" ca="1" si="68"/>
        <v>31.824836853257789</v>
      </c>
      <c r="G184" s="306">
        <f t="shared" ca="1" si="69"/>
        <v>28.050370360322248</v>
      </c>
      <c r="H184" s="307">
        <f t="shared" ca="1" si="70"/>
        <v>194.17718834812831</v>
      </c>
      <c r="I184" s="304">
        <f t="shared" ca="1" si="71"/>
        <v>196.1927719161329</v>
      </c>
      <c r="J184" s="306">
        <f t="shared" ca="1" si="72"/>
        <v>158.41425766190258</v>
      </c>
      <c r="K184" s="307">
        <f t="shared" ca="1" si="73"/>
        <v>1264.9489979381133</v>
      </c>
      <c r="L184" s="304">
        <f t="shared" ca="1" si="58"/>
        <v>1274.8298099806141</v>
      </c>
      <c r="M184" s="306">
        <f t="shared" ca="1" si="74"/>
        <v>1.4273311780568598</v>
      </c>
      <c r="N184" s="304">
        <f t="shared" ca="1" si="75"/>
        <v>81.780052470093892</v>
      </c>
      <c r="P184" s="310">
        <f t="shared" ca="1" si="76"/>
        <v>13</v>
      </c>
      <c r="Q184" s="304">
        <f t="shared" ca="1" si="77"/>
        <v>0</v>
      </c>
      <c r="R184" s="306">
        <f t="shared" ca="1" si="78"/>
        <v>0</v>
      </c>
      <c r="S184" s="307">
        <f t="shared" ca="1" si="79"/>
        <v>2.0842999999999985</v>
      </c>
      <c r="T184" s="304">
        <f t="shared" ca="1" si="59"/>
        <v>20.446982999999985</v>
      </c>
      <c r="U184" s="311">
        <f t="shared" ca="1" si="60"/>
        <v>0</v>
      </c>
      <c r="V184" s="306">
        <f t="shared" ca="1" si="61"/>
        <v>1.0792613459713034</v>
      </c>
      <c r="W184" s="304">
        <f t="shared" ca="1" si="62"/>
        <v>45.873210961660376</v>
      </c>
      <c r="Y184" s="314" t="str">
        <f t="shared" ca="1" si="80"/>
        <v/>
      </c>
      <c r="Z184" s="315" t="str">
        <f t="shared" ca="1" si="81"/>
        <v/>
      </c>
      <c r="AA184" s="316" t="str">
        <f t="shared" ca="1" si="82"/>
        <v/>
      </c>
      <c r="AC184" s="310" t="e">
        <f t="shared" ca="1" si="83"/>
        <v>#N/A</v>
      </c>
      <c r="AD184" s="323" t="e">
        <f t="shared" ca="1" si="84"/>
        <v>#N/A</v>
      </c>
      <c r="AE184" s="324">
        <f t="shared" ca="1" si="63"/>
        <v>1264.9489979381133</v>
      </c>
      <c r="AG184" s="306">
        <f t="shared" ca="1" si="85"/>
        <v>-31.79394570089076</v>
      </c>
      <c r="AH184" s="304">
        <f t="shared" ca="1" si="86"/>
        <v>-22.084628397665224</v>
      </c>
    </row>
    <row r="185" spans="1:34" x14ac:dyDescent="0.25">
      <c r="A185" s="347">
        <f t="shared" ca="1" si="64"/>
        <v>0.01</v>
      </c>
      <c r="B185" s="304">
        <f t="shared" ca="1" si="65"/>
        <v>7.5099999999999616</v>
      </c>
      <c r="D185" s="306">
        <f t="shared" ca="1" si="66"/>
        <v>-3.1466939733718502</v>
      </c>
      <c r="E185" s="307">
        <f t="shared" ca="1" si="67"/>
        <v>-31.592820707623865</v>
      </c>
      <c r="F185" s="304">
        <f t="shared" ca="1" si="68"/>
        <v>31.749141771489224</v>
      </c>
      <c r="G185" s="306">
        <f t="shared" ca="1" si="69"/>
        <v>28.018903420588529</v>
      </c>
      <c r="H185" s="307">
        <f t="shared" ca="1" si="70"/>
        <v>193.86126014105207</v>
      </c>
      <c r="I185" s="304">
        <f t="shared" ca="1" si="71"/>
        <v>195.87559095601711</v>
      </c>
      <c r="J185" s="306">
        <f t="shared" ca="1" si="72"/>
        <v>158.69460403080714</v>
      </c>
      <c r="K185" s="307">
        <f t="shared" ca="1" si="73"/>
        <v>1266.8891901805591</v>
      </c>
      <c r="L185" s="304">
        <f t="shared" ca="1" si="58"/>
        <v>1276.7898016294018</v>
      </c>
      <c r="M185" s="306">
        <f t="shared" ca="1" si="74"/>
        <v>1.4272595729026087</v>
      </c>
      <c r="N185" s="304">
        <f t="shared" ca="1" si="75"/>
        <v>81.775949796963914</v>
      </c>
      <c r="P185" s="310">
        <f t="shared" ca="1" si="76"/>
        <v>13</v>
      </c>
      <c r="Q185" s="304">
        <f t="shared" ca="1" si="77"/>
        <v>0</v>
      </c>
      <c r="R185" s="306">
        <f t="shared" ca="1" si="78"/>
        <v>0</v>
      </c>
      <c r="S185" s="307">
        <f t="shared" ca="1" si="79"/>
        <v>2.0842999999999985</v>
      </c>
      <c r="T185" s="304">
        <f t="shared" ca="1" si="59"/>
        <v>20.446982999999985</v>
      </c>
      <c r="U185" s="311">
        <f t="shared" ca="1" si="60"/>
        <v>0</v>
      </c>
      <c r="V185" s="306">
        <f t="shared" ca="1" si="61"/>
        <v>1.0790511266981397</v>
      </c>
      <c r="W185" s="304">
        <f t="shared" ca="1" si="62"/>
        <v>45.716099890736579</v>
      </c>
      <c r="Y185" s="314" t="str">
        <f t="shared" ca="1" si="80"/>
        <v/>
      </c>
      <c r="Z185" s="315" t="str">
        <f t="shared" ca="1" si="81"/>
        <v/>
      </c>
      <c r="AA185" s="316" t="str">
        <f t="shared" ca="1" si="82"/>
        <v/>
      </c>
      <c r="AC185" s="310" t="e">
        <f t="shared" ca="1" si="83"/>
        <v>#N/A</v>
      </c>
      <c r="AD185" s="323" t="e">
        <f t="shared" ca="1" si="84"/>
        <v>#N/A</v>
      </c>
      <c r="AE185" s="324">
        <f t="shared" ca="1" si="63"/>
        <v>1266.8891901805591</v>
      </c>
      <c r="AG185" s="306">
        <f t="shared" ca="1" si="85"/>
        <v>-31.718146227205104</v>
      </c>
      <c r="AH185" s="304">
        <f t="shared" ca="1" si="86"/>
        <v>-22.008929118486019</v>
      </c>
    </row>
    <row r="186" spans="1:34" x14ac:dyDescent="0.25">
      <c r="A186" s="347">
        <f t="shared" ca="1" si="64"/>
        <v>0.01</v>
      </c>
      <c r="B186" s="304">
        <f t="shared" ca="1" si="65"/>
        <v>7.5199999999999614</v>
      </c>
      <c r="D186" s="306">
        <f t="shared" ca="1" si="66"/>
        <v>-3.1374712794773667</v>
      </c>
      <c r="E186" s="307">
        <f t="shared" ca="1" si="67"/>
        <v>-31.517992163922656</v>
      </c>
      <c r="F186" s="304">
        <f t="shared" ca="1" si="68"/>
        <v>31.673767633084562</v>
      </c>
      <c r="G186" s="306">
        <f t="shared" ca="1" si="69"/>
        <v>27.987528707793757</v>
      </c>
      <c r="H186" s="307">
        <f t="shared" ca="1" si="70"/>
        <v>193.54608021941286</v>
      </c>
      <c r="I186" s="304">
        <f t="shared" ca="1" si="71"/>
        <v>195.559164785159</v>
      </c>
      <c r="J186" s="306">
        <f t="shared" ca="1" si="72"/>
        <v>158.97463619144906</v>
      </c>
      <c r="K186" s="307">
        <f t="shared" ca="1" si="73"/>
        <v>1268.8262268823614</v>
      </c>
      <c r="L186" s="304">
        <f t="shared" ca="1" si="58"/>
        <v>1278.746624228871</v>
      </c>
      <c r="M186" s="306">
        <f t="shared" ca="1" si="74"/>
        <v>1.4271878163363347</v>
      </c>
      <c r="N186" s="304">
        <f t="shared" ca="1" si="75"/>
        <v>81.771838448564068</v>
      </c>
      <c r="P186" s="310">
        <f t="shared" ca="1" si="76"/>
        <v>13</v>
      </c>
      <c r="Q186" s="304">
        <f t="shared" ca="1" si="77"/>
        <v>0</v>
      </c>
      <c r="R186" s="306">
        <f t="shared" ca="1" si="78"/>
        <v>0</v>
      </c>
      <c r="S186" s="307">
        <f t="shared" ca="1" si="79"/>
        <v>2.0842999999999985</v>
      </c>
      <c r="T186" s="304">
        <f t="shared" ca="1" si="59"/>
        <v>20.446982999999985</v>
      </c>
      <c r="U186" s="311">
        <f t="shared" ca="1" si="60"/>
        <v>0</v>
      </c>
      <c r="V186" s="306">
        <f t="shared" ca="1" si="61"/>
        <v>1.0788412875867739</v>
      </c>
      <c r="W186" s="304">
        <f t="shared" ca="1" si="62"/>
        <v>45.559653996522968</v>
      </c>
      <c r="Y186" s="314" t="str">
        <f t="shared" ca="1" si="80"/>
        <v/>
      </c>
      <c r="Z186" s="315" t="str">
        <f t="shared" ca="1" si="81"/>
        <v/>
      </c>
      <c r="AA186" s="316" t="str">
        <f t="shared" ca="1" si="82"/>
        <v/>
      </c>
      <c r="AC186" s="310" t="e">
        <f t="shared" ca="1" si="83"/>
        <v>#N/A</v>
      </c>
      <c r="AD186" s="323" t="e">
        <f t="shared" ca="1" si="84"/>
        <v>#N/A</v>
      </c>
      <c r="AE186" s="324">
        <f t="shared" ca="1" si="63"/>
        <v>1268.8262268823614</v>
      </c>
      <c r="AG186" s="306">
        <f t="shared" ca="1" si="85"/>
        <v>-31.642667432565055</v>
      </c>
      <c r="AH186" s="304">
        <f t="shared" ca="1" si="86"/>
        <v>-21.933550779991659</v>
      </c>
    </row>
    <row r="187" spans="1:34" x14ac:dyDescent="0.25">
      <c r="A187" s="347">
        <f t="shared" ca="1" si="64"/>
        <v>0.01</v>
      </c>
      <c r="B187" s="304">
        <f t="shared" ca="1" si="65"/>
        <v>7.5299999999999612</v>
      </c>
      <c r="D187" s="306">
        <f t="shared" ca="1" si="66"/>
        <v>-3.128286834458045</v>
      </c>
      <c r="E187" s="307">
        <f t="shared" ca="1" si="67"/>
        <v>-31.443480430972969</v>
      </c>
      <c r="F187" s="304">
        <f t="shared" ca="1" si="68"/>
        <v>31.598712634087224</v>
      </c>
      <c r="G187" s="306">
        <f t="shared" ca="1" si="69"/>
        <v>27.956245839449178</v>
      </c>
      <c r="H187" s="307">
        <f t="shared" ca="1" si="70"/>
        <v>193.23164541510312</v>
      </c>
      <c r="I187" s="304">
        <f t="shared" ca="1" si="71"/>
        <v>195.24349021481834</v>
      </c>
      <c r="J187" s="306">
        <f t="shared" ca="1" si="72"/>
        <v>159.25435506418529</v>
      </c>
      <c r="K187" s="307">
        <f t="shared" ca="1" si="73"/>
        <v>1270.760115510534</v>
      </c>
      <c r="L187" s="304">
        <f t="shared" ca="1" si="58"/>
        <v>1280.7002853045888</v>
      </c>
      <c r="M187" s="306">
        <f t="shared" ca="1" si="74"/>
        <v>1.4271159080691467</v>
      </c>
      <c r="N187" s="304">
        <f t="shared" ca="1" si="75"/>
        <v>81.767718408342091</v>
      </c>
      <c r="P187" s="310">
        <f t="shared" ca="1" si="76"/>
        <v>13</v>
      </c>
      <c r="Q187" s="304">
        <f t="shared" ca="1" si="77"/>
        <v>0</v>
      </c>
      <c r="R187" s="306">
        <f t="shared" ca="1" si="78"/>
        <v>0</v>
      </c>
      <c r="S187" s="307">
        <f t="shared" ca="1" si="79"/>
        <v>2.0842999999999985</v>
      </c>
      <c r="T187" s="304">
        <f t="shared" ca="1" si="59"/>
        <v>20.446982999999985</v>
      </c>
      <c r="U187" s="311">
        <f t="shared" ca="1" si="60"/>
        <v>0</v>
      </c>
      <c r="V187" s="306">
        <f t="shared" ca="1" si="61"/>
        <v>1.078631827631277</v>
      </c>
      <c r="W187" s="304">
        <f t="shared" ca="1" si="62"/>
        <v>45.403869545698662</v>
      </c>
      <c r="Y187" s="314" t="str">
        <f t="shared" ca="1" si="80"/>
        <v/>
      </c>
      <c r="Z187" s="315" t="str">
        <f t="shared" ca="1" si="81"/>
        <v/>
      </c>
      <c r="AA187" s="316" t="str">
        <f t="shared" ca="1" si="82"/>
        <v/>
      </c>
      <c r="AC187" s="310" t="e">
        <f t="shared" ca="1" si="83"/>
        <v>#N/A</v>
      </c>
      <c r="AD187" s="323" t="e">
        <f t="shared" ca="1" si="84"/>
        <v>#N/A</v>
      </c>
      <c r="AE187" s="324">
        <f t="shared" ca="1" si="63"/>
        <v>1270.760115510534</v>
      </c>
      <c r="AG187" s="306">
        <f t="shared" ca="1" si="85"/>
        <v>-31.567507512308282</v>
      </c>
      <c r="AH187" s="304">
        <f t="shared" ca="1" si="86"/>
        <v>-21.858491578238738</v>
      </c>
    </row>
    <row r="188" spans="1:34" x14ac:dyDescent="0.25">
      <c r="A188" s="347">
        <f t="shared" ca="1" si="64"/>
        <v>0.01</v>
      </c>
      <c r="B188" s="304">
        <f t="shared" ca="1" si="65"/>
        <v>7.539999999999961</v>
      </c>
      <c r="D188" s="306">
        <f t="shared" ca="1" si="66"/>
        <v>-3.1191404223772841</v>
      </c>
      <c r="E188" s="307">
        <f t="shared" ca="1" si="67"/>
        <v>-31.36928373065836</v>
      </c>
      <c r="F188" s="304">
        <f t="shared" ca="1" si="68"/>
        <v>31.523974983321111</v>
      </c>
      <c r="G188" s="306">
        <f t="shared" ca="1" si="69"/>
        <v>27.925054435225405</v>
      </c>
      <c r="H188" s="307">
        <f t="shared" ca="1" si="70"/>
        <v>192.91795257779654</v>
      </c>
      <c r="I188" s="304">
        <f t="shared" ca="1" si="71"/>
        <v>194.92856407417375</v>
      </c>
      <c r="J188" s="306">
        <f t="shared" ca="1" si="72"/>
        <v>159.53376156555868</v>
      </c>
      <c r="K188" s="307">
        <f t="shared" ca="1" si="73"/>
        <v>1272.6908635004984</v>
      </c>
      <c r="L188" s="304">
        <f t="shared" ca="1" si="58"/>
        <v>1282.6507923503189</v>
      </c>
      <c r="M188" s="306">
        <f t="shared" ca="1" si="74"/>
        <v>1.427043847811192</v>
      </c>
      <c r="N188" s="304">
        <f t="shared" ca="1" si="75"/>
        <v>81.763589659690666</v>
      </c>
      <c r="P188" s="310">
        <f t="shared" ca="1" si="76"/>
        <v>13</v>
      </c>
      <c r="Q188" s="304">
        <f t="shared" ca="1" si="77"/>
        <v>0</v>
      </c>
      <c r="R188" s="306">
        <f t="shared" ca="1" si="78"/>
        <v>0</v>
      </c>
      <c r="S188" s="307">
        <f t="shared" ca="1" si="79"/>
        <v>2.0842999999999985</v>
      </c>
      <c r="T188" s="304">
        <f t="shared" ca="1" si="59"/>
        <v>20.446982999999985</v>
      </c>
      <c r="U188" s="311">
        <f t="shared" ca="1" si="60"/>
        <v>0</v>
      </c>
      <c r="V188" s="306">
        <f t="shared" ca="1" si="61"/>
        <v>1.0784227458301376</v>
      </c>
      <c r="W188" s="304">
        <f t="shared" ca="1" si="62"/>
        <v>45.248742831354129</v>
      </c>
      <c r="Y188" s="314" t="str">
        <f t="shared" ca="1" si="80"/>
        <v/>
      </c>
      <c r="Z188" s="315" t="str">
        <f t="shared" ca="1" si="81"/>
        <v/>
      </c>
      <c r="AA188" s="316" t="str">
        <f t="shared" ca="1" si="82"/>
        <v/>
      </c>
      <c r="AC188" s="310" t="e">
        <f t="shared" ca="1" si="83"/>
        <v>#N/A</v>
      </c>
      <c r="AD188" s="323" t="e">
        <f t="shared" ca="1" si="84"/>
        <v>#N/A</v>
      </c>
      <c r="AE188" s="324">
        <f t="shared" ca="1" si="63"/>
        <v>1272.6908635004984</v>
      </c>
      <c r="AG188" s="306">
        <f t="shared" ca="1" si="85"/>
        <v>-31.49266467455012</v>
      </c>
      <c r="AH188" s="304">
        <f t="shared" ca="1" si="86"/>
        <v>-21.783749722064336</v>
      </c>
    </row>
    <row r="189" spans="1:34" x14ac:dyDescent="0.25">
      <c r="A189" s="347">
        <f t="shared" ca="1" si="64"/>
        <v>0.01</v>
      </c>
      <c r="B189" s="304">
        <f t="shared" ca="1" si="65"/>
        <v>7.5499999999999607</v>
      </c>
      <c r="D189" s="306">
        <f t="shared" ca="1" si="66"/>
        <v>-3.1100318288248272</v>
      </c>
      <c r="E189" s="307">
        <f t="shared" ca="1" si="67"/>
        <v>-31.295400297441631</v>
      </c>
      <c r="F189" s="304">
        <f t="shared" ca="1" si="68"/>
        <v>31.449552902281667</v>
      </c>
      <c r="G189" s="306">
        <f t="shared" ca="1" si="69"/>
        <v>27.893954116937156</v>
      </c>
      <c r="H189" s="307">
        <f t="shared" ca="1" si="70"/>
        <v>192.60499857482213</v>
      </c>
      <c r="I189" s="304">
        <f t="shared" ca="1" si="71"/>
        <v>194.61438321019602</v>
      </c>
      <c r="J189" s="306">
        <f t="shared" ca="1" si="72"/>
        <v>159.81285660831949</v>
      </c>
      <c r="K189" s="307">
        <f t="shared" ca="1" si="73"/>
        <v>1274.6184782562614</v>
      </c>
      <c r="L189" s="304">
        <f t="shared" ca="1" si="58"/>
        <v>1284.5981528281982</v>
      </c>
      <c r="M189" s="306">
        <f t="shared" ca="1" si="74"/>
        <v>1.4269716352716517</v>
      </c>
      <c r="N189" s="304">
        <f t="shared" ca="1" si="75"/>
        <v>81.759452185947083</v>
      </c>
      <c r="P189" s="310">
        <f t="shared" ca="1" si="76"/>
        <v>13</v>
      </c>
      <c r="Q189" s="304">
        <f t="shared" ca="1" si="77"/>
        <v>0</v>
      </c>
      <c r="R189" s="306">
        <f t="shared" ca="1" si="78"/>
        <v>0</v>
      </c>
      <c r="S189" s="307">
        <f t="shared" ca="1" si="79"/>
        <v>2.0842999999999985</v>
      </c>
      <c r="T189" s="304">
        <f t="shared" ca="1" si="59"/>
        <v>20.446982999999985</v>
      </c>
      <c r="U189" s="311">
        <f t="shared" ca="1" si="60"/>
        <v>0</v>
      </c>
      <c r="V189" s="306">
        <f t="shared" ca="1" si="61"/>
        <v>1.0782140411862371</v>
      </c>
      <c r="W189" s="304">
        <f t="shared" ca="1" si="62"/>
        <v>45.094270172766592</v>
      </c>
      <c r="Y189" s="314" t="str">
        <f t="shared" ca="1" si="80"/>
        <v/>
      </c>
      <c r="Z189" s="315" t="str">
        <f t="shared" ca="1" si="81"/>
        <v/>
      </c>
      <c r="AA189" s="316" t="str">
        <f t="shared" ca="1" si="82"/>
        <v/>
      </c>
      <c r="AC189" s="310" t="e">
        <f t="shared" ca="1" si="83"/>
        <v>#N/A</v>
      </c>
      <c r="AD189" s="323" t="e">
        <f t="shared" ca="1" si="84"/>
        <v>#N/A</v>
      </c>
      <c r="AE189" s="324">
        <f t="shared" ca="1" si="63"/>
        <v>1274.6184782562614</v>
      </c>
      <c r="AG189" s="306">
        <f t="shared" ca="1" si="85"/>
        <v>-31.418137140074663</v>
      </c>
      <c r="AH189" s="304">
        <f t="shared" ca="1" si="86"/>
        <v>-21.709323432977097</v>
      </c>
    </row>
    <row r="190" spans="1:34" x14ac:dyDescent="0.25">
      <c r="A190" s="347">
        <f t="shared" ca="1" si="64"/>
        <v>0.01</v>
      </c>
      <c r="B190" s="304">
        <f t="shared" ca="1" si="65"/>
        <v>7.5599999999999605</v>
      </c>
      <c r="D190" s="306">
        <f t="shared" ca="1" si="66"/>
        <v>-3.1009608409038152</v>
      </c>
      <c r="E190" s="307">
        <f t="shared" ca="1" si="67"/>
        <v>-31.221828378257889</v>
      </c>
      <c r="F190" s="304">
        <f t="shared" ca="1" si="68"/>
        <v>31.375444625028162</v>
      </c>
      <c r="G190" s="306">
        <f t="shared" ca="1" si="69"/>
        <v>27.862944508528116</v>
      </c>
      <c r="H190" s="307">
        <f t="shared" ca="1" si="70"/>
        <v>192.29278029103955</v>
      </c>
      <c r="I190" s="304">
        <f t="shared" ca="1" si="71"/>
        <v>194.30094448752257</v>
      </c>
      <c r="J190" s="306">
        <f t="shared" ca="1" si="72"/>
        <v>160.09164110144681</v>
      </c>
      <c r="K190" s="307">
        <f t="shared" ca="1" si="73"/>
        <v>1276.5429671505906</v>
      </c>
      <c r="L190" s="304">
        <f t="shared" ca="1" si="58"/>
        <v>1286.5423741689149</v>
      </c>
      <c r="M190" s="306">
        <f t="shared" ca="1" si="74"/>
        <v>1.4268992701587384</v>
      </c>
      <c r="N190" s="304">
        <f t="shared" ca="1" si="75"/>
        <v>81.755305970393167</v>
      </c>
      <c r="P190" s="310">
        <f t="shared" ca="1" si="76"/>
        <v>13</v>
      </c>
      <c r="Q190" s="304">
        <f t="shared" ca="1" si="77"/>
        <v>0</v>
      </c>
      <c r="R190" s="306">
        <f t="shared" ca="1" si="78"/>
        <v>0</v>
      </c>
      <c r="S190" s="307">
        <f t="shared" ca="1" si="79"/>
        <v>2.0842999999999985</v>
      </c>
      <c r="T190" s="304">
        <f t="shared" ca="1" si="59"/>
        <v>20.446982999999985</v>
      </c>
      <c r="U190" s="311">
        <f t="shared" ca="1" si="60"/>
        <v>0</v>
      </c>
      <c r="V190" s="306">
        <f t="shared" ca="1" si="61"/>
        <v>1.0780057127068234</v>
      </c>
      <c r="W190" s="304">
        <f t="shared" ca="1" si="62"/>
        <v>44.940447915177565</v>
      </c>
      <c r="Y190" s="314" t="str">
        <f t="shared" ca="1" si="80"/>
        <v/>
      </c>
      <c r="Z190" s="315" t="str">
        <f t="shared" ca="1" si="81"/>
        <v/>
      </c>
      <c r="AA190" s="316" t="str">
        <f t="shared" ca="1" si="82"/>
        <v/>
      </c>
      <c r="AC190" s="310" t="e">
        <f t="shared" ca="1" si="83"/>
        <v>#N/A</v>
      </c>
      <c r="AD190" s="323" t="e">
        <f t="shared" ca="1" si="84"/>
        <v>#N/A</v>
      </c>
      <c r="AE190" s="324">
        <f t="shared" ca="1" si="63"/>
        <v>1276.5429671505906</v>
      </c>
      <c r="AG190" s="306">
        <f t="shared" ca="1" si="85"/>
        <v>-31.34392314222697</v>
      </c>
      <c r="AH190" s="304">
        <f t="shared" ca="1" si="86"/>
        <v>-21.635210945049476</v>
      </c>
    </row>
    <row r="191" spans="1:34" x14ac:dyDescent="0.25">
      <c r="A191" s="347">
        <f t="shared" ca="1" si="64"/>
        <v>0.01</v>
      </c>
      <c r="B191" s="304">
        <f t="shared" ca="1" si="65"/>
        <v>7.5699999999999603</v>
      </c>
      <c r="D191" s="306">
        <f t="shared" ca="1" si="66"/>
        <v>-3.0919272472179036</v>
      </c>
      <c r="E191" s="307">
        <f t="shared" ca="1" si="67"/>
        <v>-31.148566232408548</v>
      </c>
      <c r="F191" s="304">
        <f t="shared" ca="1" si="68"/>
        <v>31.301648398076907</v>
      </c>
      <c r="G191" s="306">
        <f t="shared" ca="1" si="69"/>
        <v>27.832025236055937</v>
      </c>
      <c r="H191" s="307">
        <f t="shared" ca="1" si="70"/>
        <v>191.98129462871546</v>
      </c>
      <c r="I191" s="304">
        <f t="shared" ca="1" si="71"/>
        <v>193.98824478833274</v>
      </c>
      <c r="J191" s="306">
        <f t="shared" ca="1" si="72"/>
        <v>160.37011595016972</v>
      </c>
      <c r="K191" s="307">
        <f t="shared" ca="1" si="73"/>
        <v>1278.4643375251894</v>
      </c>
      <c r="L191" s="304">
        <f t="shared" ca="1" si="58"/>
        <v>1288.4834637718841</v>
      </c>
      <c r="M191" s="306">
        <f t="shared" ca="1" si="74"/>
        <v>1.426826752179692</v>
      </c>
      <c r="N191" s="304">
        <f t="shared" ca="1" si="75"/>
        <v>81.751150996254992</v>
      </c>
      <c r="P191" s="310">
        <f t="shared" ca="1" si="76"/>
        <v>13</v>
      </c>
      <c r="Q191" s="304">
        <f t="shared" ca="1" si="77"/>
        <v>0</v>
      </c>
      <c r="R191" s="306">
        <f t="shared" ca="1" si="78"/>
        <v>0</v>
      </c>
      <c r="S191" s="307">
        <f t="shared" ca="1" si="79"/>
        <v>2.0842999999999985</v>
      </c>
      <c r="T191" s="304">
        <f t="shared" ca="1" si="59"/>
        <v>20.446982999999985</v>
      </c>
      <c r="U191" s="311">
        <f t="shared" ca="1" si="60"/>
        <v>0</v>
      </c>
      <c r="V191" s="306">
        <f t="shared" ca="1" si="61"/>
        <v>1.0777977594034864</v>
      </c>
      <c r="W191" s="304">
        <f t="shared" ca="1" si="62"/>
        <v>44.787272429572617</v>
      </c>
      <c r="Y191" s="314" t="str">
        <f t="shared" ca="1" si="80"/>
        <v/>
      </c>
      <c r="Z191" s="315" t="str">
        <f t="shared" ca="1" si="81"/>
        <v/>
      </c>
      <c r="AA191" s="316" t="str">
        <f t="shared" ca="1" si="82"/>
        <v/>
      </c>
      <c r="AC191" s="310" t="e">
        <f t="shared" ca="1" si="83"/>
        <v>#N/A</v>
      </c>
      <c r="AD191" s="323" t="e">
        <f t="shared" ca="1" si="84"/>
        <v>#N/A</v>
      </c>
      <c r="AE191" s="324">
        <f t="shared" ca="1" si="63"/>
        <v>1278.4643375251894</v>
      </c>
      <c r="AG191" s="306">
        <f t="shared" ca="1" si="85"/>
        <v>-31.270020926806346</v>
      </c>
      <c r="AH191" s="304">
        <f t="shared" ca="1" si="86"/>
        <v>-21.561410504811015</v>
      </c>
    </row>
    <row r="192" spans="1:34" x14ac:dyDescent="0.25">
      <c r="A192" s="347">
        <f t="shared" ca="1" si="64"/>
        <v>0.01</v>
      </c>
      <c r="B192" s="304">
        <f t="shared" ca="1" si="65"/>
        <v>7.5799999999999601</v>
      </c>
      <c r="D192" s="306">
        <f t="shared" ca="1" si="66"/>
        <v>-3.082930837858544</v>
      </c>
      <c r="E192" s="307">
        <f t="shared" ca="1" si="67"/>
        <v>-31.075612131456467</v>
      </c>
      <c r="F192" s="304">
        <f t="shared" ca="1" si="68"/>
        <v>31.228162480295627</v>
      </c>
      <c r="G192" s="306">
        <f t="shared" ca="1" si="69"/>
        <v>27.801195927677352</v>
      </c>
      <c r="H192" s="307">
        <f t="shared" ca="1" si="70"/>
        <v>191.67053850740089</v>
      </c>
      <c r="I192" s="304">
        <f t="shared" ca="1" si="71"/>
        <v>193.67628101222451</v>
      </c>
      <c r="J192" s="306">
        <f t="shared" ca="1" si="72"/>
        <v>160.64828205598837</v>
      </c>
      <c r="K192" s="307">
        <f t="shared" ca="1" si="73"/>
        <v>1280.3825966908701</v>
      </c>
      <c r="L192" s="304">
        <f t="shared" ca="1" si="58"/>
        <v>1290.4214290054222</v>
      </c>
      <c r="M192" s="306">
        <f t="shared" ca="1" si="74"/>
        <v>1.4267540810407773</v>
      </c>
      <c r="N192" s="304">
        <f t="shared" ca="1" si="75"/>
        <v>81.746987246702759</v>
      </c>
      <c r="P192" s="310">
        <f t="shared" ca="1" si="76"/>
        <v>13</v>
      </c>
      <c r="Q192" s="304">
        <f t="shared" ca="1" si="77"/>
        <v>0</v>
      </c>
      <c r="R192" s="306">
        <f t="shared" ca="1" si="78"/>
        <v>0</v>
      </c>
      <c r="S192" s="307">
        <f t="shared" ca="1" si="79"/>
        <v>2.0842999999999985</v>
      </c>
      <c r="T192" s="304">
        <f t="shared" ca="1" si="59"/>
        <v>20.446982999999985</v>
      </c>
      <c r="U192" s="311">
        <f t="shared" ca="1" si="60"/>
        <v>0</v>
      </c>
      <c r="V192" s="306">
        <f t="shared" ca="1" si="61"/>
        <v>1.077590180292133</v>
      </c>
      <c r="W192" s="304">
        <f t="shared" ca="1" si="62"/>
        <v>44.634740112463462</v>
      </c>
      <c r="Y192" s="314" t="str">
        <f t="shared" ca="1" si="80"/>
        <v/>
      </c>
      <c r="Z192" s="315" t="str">
        <f t="shared" ca="1" si="81"/>
        <v/>
      </c>
      <c r="AA192" s="316" t="str">
        <f t="shared" ca="1" si="82"/>
        <v/>
      </c>
      <c r="AC192" s="310" t="e">
        <f t="shared" ca="1" si="83"/>
        <v>#N/A</v>
      </c>
      <c r="AD192" s="323" t="e">
        <f t="shared" ca="1" si="84"/>
        <v>#N/A</v>
      </c>
      <c r="AE192" s="324">
        <f t="shared" ca="1" si="63"/>
        <v>1280.3825966908701</v>
      </c>
      <c r="AG192" s="306">
        <f t="shared" ca="1" si="85"/>
        <v>-31.196428751960646</v>
      </c>
      <c r="AH192" s="304">
        <f t="shared" ca="1" si="86"/>
        <v>-21.487920371142661</v>
      </c>
    </row>
    <row r="193" spans="1:34" x14ac:dyDescent="0.25">
      <c r="A193" s="347">
        <f t="shared" ca="1" si="64"/>
        <v>0.01</v>
      </c>
      <c r="B193" s="304">
        <f t="shared" ca="1" si="65"/>
        <v>7.5899999999999599</v>
      </c>
      <c r="D193" s="306">
        <f t="shared" ca="1" si="66"/>
        <v>-3.0739714043923776</v>
      </c>
      <c r="E193" s="307">
        <f t="shared" ca="1" si="67"/>
        <v>-31.002964359122167</v>
      </c>
      <c r="F193" s="304">
        <f t="shared" ca="1" si="68"/>
        <v>31.154985142798918</v>
      </c>
      <c r="G193" s="306">
        <f t="shared" ca="1" si="69"/>
        <v>27.770456213633427</v>
      </c>
      <c r="H193" s="307">
        <f t="shared" ca="1" si="70"/>
        <v>191.36050886380966</v>
      </c>
      <c r="I193" s="304">
        <f t="shared" ca="1" si="71"/>
        <v>193.36505007609182</v>
      </c>
      <c r="J193" s="306">
        <f t="shared" ca="1" si="72"/>
        <v>160.92614031669493</v>
      </c>
      <c r="K193" s="307">
        <f t="shared" ca="1" si="73"/>
        <v>1282.297751927726</v>
      </c>
      <c r="L193" s="304">
        <f t="shared" ca="1" si="58"/>
        <v>1292.3562772069197</v>
      </c>
      <c r="M193" s="306">
        <f t="shared" ca="1" si="74"/>
        <v>1.4266812564472797</v>
      </c>
      <c r="N193" s="304">
        <f t="shared" ca="1" si="75"/>
        <v>81.742814704850602</v>
      </c>
      <c r="P193" s="310">
        <f t="shared" ca="1" si="76"/>
        <v>13</v>
      </c>
      <c r="Q193" s="304">
        <f t="shared" ca="1" si="77"/>
        <v>0</v>
      </c>
      <c r="R193" s="306">
        <f t="shared" ca="1" si="78"/>
        <v>0</v>
      </c>
      <c r="S193" s="307">
        <f t="shared" ca="1" si="79"/>
        <v>2.0842999999999985</v>
      </c>
      <c r="T193" s="304">
        <f t="shared" ca="1" si="59"/>
        <v>20.446982999999985</v>
      </c>
      <c r="U193" s="311">
        <f t="shared" ca="1" si="60"/>
        <v>0</v>
      </c>
      <c r="V193" s="306">
        <f t="shared" ca="1" si="61"/>
        <v>1.0773829743929617</v>
      </c>
      <c r="W193" s="304">
        <f t="shared" ca="1" si="62"/>
        <v>44.48284738567186</v>
      </c>
      <c r="Y193" s="314" t="str">
        <f t="shared" ca="1" si="80"/>
        <v/>
      </c>
      <c r="Z193" s="315" t="str">
        <f t="shared" ca="1" si="81"/>
        <v/>
      </c>
      <c r="AA193" s="316" t="str">
        <f t="shared" ca="1" si="82"/>
        <v/>
      </c>
      <c r="AC193" s="310" t="e">
        <f t="shared" ca="1" si="83"/>
        <v>#N/A</v>
      </c>
      <c r="AD193" s="323" t="e">
        <f t="shared" ca="1" si="84"/>
        <v>#N/A</v>
      </c>
      <c r="AE193" s="324">
        <f t="shared" ca="1" si="63"/>
        <v>1282.297751927726</v>
      </c>
      <c r="AG193" s="306">
        <f t="shared" ca="1" si="85"/>
        <v>-31.123144888081718</v>
      </c>
      <c r="AH193" s="304">
        <f t="shared" ca="1" si="86"/>
        <v>-21.414738815172239</v>
      </c>
    </row>
    <row r="194" spans="1:34" x14ac:dyDescent="0.25">
      <c r="A194" s="347">
        <f t="shared" ca="1" si="64"/>
        <v>0.01</v>
      </c>
      <c r="B194" s="304">
        <f t="shared" ca="1" si="65"/>
        <v>7.5999999999999597</v>
      </c>
      <c r="D194" s="306">
        <f t="shared" ca="1" si="66"/>
        <v>-3.0650487398487511</v>
      </c>
      <c r="E194" s="307">
        <f t="shared" ca="1" si="67"/>
        <v>-30.93062121118087</v>
      </c>
      <c r="F194" s="304">
        <f t="shared" ca="1" si="68"/>
        <v>31.082114668844529</v>
      </c>
      <c r="G194" s="306">
        <f t="shared" ca="1" si="69"/>
        <v>27.739805726234938</v>
      </c>
      <c r="H194" s="307">
        <f t="shared" ca="1" si="70"/>
        <v>191.05120265169785</v>
      </c>
      <c r="I194" s="304">
        <f t="shared" ca="1" si="71"/>
        <v>193.0545489140035</v>
      </c>
      <c r="J194" s="306">
        <f t="shared" ca="1" si="72"/>
        <v>161.20369162639426</v>
      </c>
      <c r="K194" s="307">
        <f t="shared" ca="1" si="73"/>
        <v>1284.2098104853035</v>
      </c>
      <c r="L194" s="304">
        <f t="shared" ca="1" si="58"/>
        <v>1294.2880156830151</v>
      </c>
      <c r="M194" s="306">
        <f t="shared" ca="1" si="74"/>
        <v>1.4266082781035025</v>
      </c>
      <c r="N194" s="304">
        <f t="shared" ca="1" si="75"/>
        <v>81.738633353756313</v>
      </c>
      <c r="P194" s="310">
        <f t="shared" ca="1" si="76"/>
        <v>13</v>
      </c>
      <c r="Q194" s="304">
        <f t="shared" ca="1" si="77"/>
        <v>0</v>
      </c>
      <c r="R194" s="306">
        <f t="shared" ca="1" si="78"/>
        <v>0</v>
      </c>
      <c r="S194" s="307">
        <f t="shared" ca="1" si="79"/>
        <v>2.0842999999999985</v>
      </c>
      <c r="T194" s="304">
        <f t="shared" ca="1" si="59"/>
        <v>20.446982999999985</v>
      </c>
      <c r="U194" s="311">
        <f t="shared" ca="1" si="60"/>
        <v>0</v>
      </c>
      <c r="V194" s="306">
        <f t="shared" ca="1" si="61"/>
        <v>1.0771761407304388</v>
      </c>
      <c r="W194" s="304">
        <f t="shared" ca="1" si="62"/>
        <v>44.331590696116159</v>
      </c>
      <c r="Y194" s="314" t="str">
        <f t="shared" ca="1" si="80"/>
        <v/>
      </c>
      <c r="Z194" s="315" t="str">
        <f t="shared" ca="1" si="81"/>
        <v/>
      </c>
      <c r="AA194" s="316" t="str">
        <f t="shared" ca="1" si="82"/>
        <v/>
      </c>
      <c r="AC194" s="310" t="e">
        <f t="shared" ca="1" si="83"/>
        <v>#N/A</v>
      </c>
      <c r="AD194" s="323" t="e">
        <f t="shared" ca="1" si="84"/>
        <v>#N/A</v>
      </c>
      <c r="AE194" s="324">
        <f t="shared" ca="1" si="63"/>
        <v>1284.2098104853035</v>
      </c>
      <c r="AG194" s="306">
        <f t="shared" ca="1" si="85"/>
        <v>-31.050167617701717</v>
      </c>
      <c r="AH194" s="304">
        <f t="shared" ca="1" si="86"/>
        <v>-21.341864120170751</v>
      </c>
    </row>
    <row r="195" spans="1:34" x14ac:dyDescent="0.25">
      <c r="A195" s="347">
        <f t="shared" ca="1" si="64"/>
        <v>0.01</v>
      </c>
      <c r="B195" s="304">
        <f t="shared" ca="1" si="65"/>
        <v>7.6099999999999595</v>
      </c>
      <c r="D195" s="306">
        <f t="shared" ca="1" si="66"/>
        <v>-3.0561626387073781</v>
      </c>
      <c r="E195" s="307">
        <f t="shared" ca="1" si="67"/>
        <v>-30.858580995360867</v>
      </c>
      <c r="F195" s="304">
        <f t="shared" ca="1" si="68"/>
        <v>31.009549353730986</v>
      </c>
      <c r="G195" s="306">
        <f t="shared" ca="1" si="69"/>
        <v>27.709244099847865</v>
      </c>
      <c r="H195" s="307">
        <f t="shared" ca="1" si="70"/>
        <v>190.74261684174425</v>
      </c>
      <c r="I195" s="304">
        <f t="shared" ca="1" si="71"/>
        <v>192.74477447708256</v>
      </c>
      <c r="J195" s="306">
        <f t="shared" ca="1" si="72"/>
        <v>161.48093687552466</v>
      </c>
      <c r="K195" s="307">
        <f t="shared" ca="1" si="73"/>
        <v>1286.1187795827707</v>
      </c>
      <c r="L195" s="304">
        <f t="shared" ca="1" si="58"/>
        <v>1296.2166517097644</v>
      </c>
      <c r="M195" s="306">
        <f t="shared" ca="1" si="74"/>
        <v>1.4265351457127631</v>
      </c>
      <c r="N195" s="304">
        <f t="shared" ca="1" si="75"/>
        <v>81.734443176421237</v>
      </c>
      <c r="P195" s="310">
        <f t="shared" ca="1" si="76"/>
        <v>13</v>
      </c>
      <c r="Q195" s="304">
        <f t="shared" ca="1" si="77"/>
        <v>0</v>
      </c>
      <c r="R195" s="306">
        <f t="shared" ca="1" si="78"/>
        <v>0</v>
      </c>
      <c r="S195" s="307">
        <f t="shared" ca="1" si="79"/>
        <v>2.0842999999999985</v>
      </c>
      <c r="T195" s="304">
        <f t="shared" ca="1" si="59"/>
        <v>20.446982999999985</v>
      </c>
      <c r="U195" s="311">
        <f t="shared" ca="1" si="60"/>
        <v>0</v>
      </c>
      <c r="V195" s="306">
        <f t="shared" ca="1" si="61"/>
        <v>1.0769696783332734</v>
      </c>
      <c r="W195" s="304">
        <f t="shared" ca="1" si="62"/>
        <v>44.180966515599458</v>
      </c>
      <c r="Y195" s="314" t="str">
        <f t="shared" ca="1" si="80"/>
        <v/>
      </c>
      <c r="Z195" s="315" t="str">
        <f t="shared" ca="1" si="81"/>
        <v/>
      </c>
      <c r="AA195" s="316" t="str">
        <f t="shared" ca="1" si="82"/>
        <v/>
      </c>
      <c r="AC195" s="310" t="e">
        <f t="shared" ca="1" si="83"/>
        <v>#N/A</v>
      </c>
      <c r="AD195" s="323" t="e">
        <f t="shared" ca="1" si="84"/>
        <v>#N/A</v>
      </c>
      <c r="AE195" s="324">
        <f t="shared" ca="1" si="63"/>
        <v>1286.1187795827707</v>
      </c>
      <c r="AG195" s="306">
        <f t="shared" ca="1" si="85"/>
        <v>-30.977495235390681</v>
      </c>
      <c r="AH195" s="304">
        <f t="shared" ca="1" si="86"/>
        <v>-21.26929458144998</v>
      </c>
    </row>
    <row r="196" spans="1:34" x14ac:dyDescent="0.25">
      <c r="A196" s="347">
        <f t="shared" ca="1" si="64"/>
        <v>0.01</v>
      </c>
      <c r="B196" s="304">
        <f t="shared" ca="1" si="65"/>
        <v>7.6199999999999593</v>
      </c>
      <c r="D196" s="306">
        <f t="shared" ca="1" si="66"/>
        <v>-3.0473128968860945</v>
      </c>
      <c r="E196" s="307">
        <f t="shared" ca="1" si="67"/>
        <v>-30.786842031242614</v>
      </c>
      <c r="F196" s="304">
        <f t="shared" ca="1" si="68"/>
        <v>30.937287504695934</v>
      </c>
      <c r="G196" s="306">
        <f t="shared" ca="1" si="69"/>
        <v>27.678770970879004</v>
      </c>
      <c r="H196" s="307">
        <f t="shared" ca="1" si="70"/>
        <v>190.43474842143183</v>
      </c>
      <c r="I196" s="304">
        <f t="shared" ca="1" si="71"/>
        <v>192.43572373338691</v>
      </c>
      <c r="J196" s="306">
        <f t="shared" ca="1" si="72"/>
        <v>161.75787695087828</v>
      </c>
      <c r="K196" s="307">
        <f t="shared" ca="1" si="73"/>
        <v>1288.0246664090866</v>
      </c>
      <c r="L196" s="304">
        <f t="shared" ref="L196:L259" ca="1" si="87">SQRT(pos_x^2+pos_z^2)</f>
        <v>1298.1421925328111</v>
      </c>
      <c r="M196" s="306">
        <f t="shared" ca="1" si="74"/>
        <v>1.4264618589773896</v>
      </c>
      <c r="N196" s="304">
        <f t="shared" ca="1" si="75"/>
        <v>81.730244155790047</v>
      </c>
      <c r="P196" s="310">
        <f t="shared" ca="1" si="76"/>
        <v>13</v>
      </c>
      <c r="Q196" s="304">
        <f t="shared" ca="1" si="77"/>
        <v>0</v>
      </c>
      <c r="R196" s="306">
        <f t="shared" ca="1" si="78"/>
        <v>0</v>
      </c>
      <c r="S196" s="307">
        <f t="shared" ca="1" si="79"/>
        <v>2.0842999999999985</v>
      </c>
      <c r="T196" s="304">
        <f t="shared" ref="T196:T259" ca="1" si="88">m*g</f>
        <v>20.446982999999985</v>
      </c>
      <c r="U196" s="311">
        <f t="shared" ref="U196:U259" ca="1" si="89">IF(pos_xz&lt;L_rampe,Poids*COS(Beta),0)</f>
        <v>0</v>
      </c>
      <c r="V196" s="306">
        <f t="shared" ref="V196:V259" ca="1" si="90">Rho_moyen*(20000-Alt_rampe-pos_z)/(20000+Alt_rampe+pos_z)</f>
        <v>1.0767635862343929</v>
      </c>
      <c r="W196" s="304">
        <f t="shared" ref="W196:W259" ca="1" si="91">1/2*Rho*Sref*Cx*vit_xz^2</f>
        <v>44.030971340600026</v>
      </c>
      <c r="Y196" s="314" t="str">
        <f t="shared" ca="1" si="80"/>
        <v/>
      </c>
      <c r="Z196" s="315" t="str">
        <f t="shared" ca="1" si="81"/>
        <v/>
      </c>
      <c r="AA196" s="316" t="str">
        <f t="shared" ca="1" si="82"/>
        <v/>
      </c>
      <c r="AC196" s="310" t="e">
        <f t="shared" ca="1" si="83"/>
        <v>#N/A</v>
      </c>
      <c r="AD196" s="323" t="e">
        <f t="shared" ca="1" si="84"/>
        <v>#N/A</v>
      </c>
      <c r="AE196" s="324">
        <f t="shared" ref="AE196:AE259" ca="1" si="92">IF(t&lt;T_para, pos_z, NA())</f>
        <v>1288.0246664090866</v>
      </c>
      <c r="AG196" s="306">
        <f t="shared" ca="1" si="85"/>
        <v>-30.905126047654875</v>
      </c>
      <c r="AH196" s="304">
        <f t="shared" ca="1" si="86"/>
        <v>-21.19702850626085</v>
      </c>
    </row>
    <row r="197" spans="1:34" x14ac:dyDescent="0.25">
      <c r="A197" s="347">
        <f t="shared" ref="A197:A260" ca="1" si="93">IF(B196+0.01&lt;=T_ini+ROUNDUP(Temps_fin_propu,0), 0.01, IF(K196&gt;0, 0.1, 0.0001))</f>
        <v>0.01</v>
      </c>
      <c r="B197" s="304">
        <f t="shared" ref="B197:B260" ca="1" si="94">B196+pas</f>
        <v>7.629999999999959</v>
      </c>
      <c r="D197" s="306">
        <f t="shared" ref="D197:D260" ca="1" si="95">IF(AND(L196&lt;L_rampe,Poussee&lt;Poids*SIN(M196)),0,(-W196+Poussee)/m*COS(M196)-U196/m*SIN(M196))</f>
        <v>-3.0384993117287364</v>
      </c>
      <c r="E197" s="307">
        <f t="shared" ref="E197:E260" ca="1" si="96">IF(AND(L196&lt;L_rampe,Poussee&lt;Poids*SIN(M196)),0,(-W196+Poussee)/m*SIN(M196)+U196/m*COS(M196)-Poids/m)</f>
        <v>-30.715402650158914</v>
      </c>
      <c r="F197" s="304">
        <f t="shared" ref="F197:F260" ca="1" si="97">SQRT(acc_x^2+acc_z^2)</f>
        <v>30.865327440815612</v>
      </c>
      <c r="G197" s="306">
        <f t="shared" ref="G197:G260" ca="1" si="98">G196+acc_x*pas</f>
        <v>27.648385977761716</v>
      </c>
      <c r="H197" s="307">
        <f t="shared" ref="H197:H260" ca="1" si="99">H196+acc_z*pas</f>
        <v>190.12759439493024</v>
      </c>
      <c r="I197" s="304">
        <f t="shared" ref="I197:I260" ca="1" si="100">SQRT(vit_x^2+vit_z^2)</f>
        <v>192.12739366779118</v>
      </c>
      <c r="J197" s="306">
        <f t="shared" ref="J197:J260" ca="1" si="101">J196+0.5*(vit_x+G196)*pas*(K196&gt;=0)</f>
        <v>162.03451273562149</v>
      </c>
      <c r="K197" s="307">
        <f t="shared" ref="K197:K260" ca="1" si="102">K196+0.5*(vit_z+H196)*pas</f>
        <v>1289.9274781231684</v>
      </c>
      <c r="L197" s="304">
        <f t="shared" ca="1" si="87"/>
        <v>1300.0646453675554</v>
      </c>
      <c r="M197" s="306">
        <f t="shared" ref="M197:M260" ca="1" si="103">IF(AND(L196&gt;L_rampe,G197&gt;0),ATAN2(G197,H197),$M$4)</f>
        <v>1.426388417598718</v>
      </c>
      <c r="N197" s="304">
        <f t="shared" ref="N197:N260" ca="1" si="104">DEGREES(Beta)</f>
        <v>81.726036274750541</v>
      </c>
      <c r="P197" s="310">
        <f t="shared" ref="P197:P260" ca="1" si="105">MATCH(t-pas/2-T_ini,CdP_t)</f>
        <v>13</v>
      </c>
      <c r="Q197" s="304">
        <f t="shared" ref="Q197:Q260" ca="1" si="106">(INDEX(CdP,2,i_P+1)-INDEX(CdP,2,i_P+0))/(INDEX(CdP,1,i_P+1)-INDEX(CdP,1,i_P+0))*(t-pas/2-T_ini-INDEX(CdP,1,i_P+0))+INDEX(CdP,2,i_P+0)</f>
        <v>0</v>
      </c>
      <c r="R197" s="306">
        <f t="shared" ref="R197:R260" ca="1" si="107">Poussee/(g*ISP)</f>
        <v>0</v>
      </c>
      <c r="S197" s="307">
        <f t="shared" ref="S197:S260" ca="1" si="108">S196-Débit*pas</f>
        <v>2.0842999999999985</v>
      </c>
      <c r="T197" s="304">
        <f t="shared" ca="1" si="88"/>
        <v>20.446982999999985</v>
      </c>
      <c r="U197" s="311">
        <f t="shared" ca="1" si="89"/>
        <v>0</v>
      </c>
      <c r="V197" s="306">
        <f t="shared" ca="1" si="90"/>
        <v>1.0765578634709203</v>
      </c>
      <c r="W197" s="304">
        <f t="shared" ca="1" si="91"/>
        <v>43.881601692064088</v>
      </c>
      <c r="Y197" s="314" t="str">
        <f t="shared" ref="Y197:Y260" ca="1" si="109">IF(AND(pos_z&lt;=0,K196&gt;0),"Impact balistique","") &amp; IF(AND(H198&lt;0,vit_z&gt;=0),"Apogée","") &amp; IF(AND(Poussee=0,Q196&gt;0),"Fin de propulsion","") &amp; IF(AND(L198&gt;L_rampe,pos_xz&lt;=L_rampe),"Sortie de rampe","")</f>
        <v/>
      </c>
      <c r="Z197" s="315" t="str">
        <f t="shared" ref="Z197:Z260" ca="1" si="110">IF(ABS(t-T_para)&lt;pas/2,"Para","")</f>
        <v/>
      </c>
      <c r="AA197" s="316" t="str">
        <f t="shared" ref="AA197:AA260" ca="1" si="111">IF(ABS(t-T_satellite)&lt;pas/2,"Satellite","")</f>
        <v/>
      </c>
      <c r="AC197" s="310" t="e">
        <f t="shared" ref="AC197:AC260" ca="1" si="112">IF(ABS(t-ROUND(t,0))&lt;0.001,t,NA())</f>
        <v>#N/A</v>
      </c>
      <c r="AD197" s="323" t="e">
        <f t="shared" ref="AD197:AD260" ca="1" si="113">IF(ABS(t-ROUND(t,0))&lt;0.001,pos_x,NA())</f>
        <v>#N/A</v>
      </c>
      <c r="AE197" s="324">
        <f t="shared" ca="1" si="92"/>
        <v>1289.9274781231684</v>
      </c>
      <c r="AG197" s="306">
        <f t="shared" ref="AG197:AG260" ca="1" si="114">IF(AND(L196&lt;L_rampe,Poussee&lt;Poids*SIN(M196)),0,(-W196+Poussee)/m-Poids*SIN(M196)/m)</f>
        <v>-30.833058372836238</v>
      </c>
      <c r="AH197" s="304">
        <f t="shared" ref="AH197:AH260" ca="1" si="115">IF(AND(L196&lt;L_rampe,Poussee&lt;Poids*SIN(M196)), g*SIN(M196), (-W196+Poussee)/m)</f>
        <v>-21.125064213692873</v>
      </c>
    </row>
    <row r="198" spans="1:34" x14ac:dyDescent="0.25">
      <c r="A198" s="347">
        <f t="shared" ca="1" si="93"/>
        <v>0.01</v>
      </c>
      <c r="B198" s="304">
        <f t="shared" ca="1" si="94"/>
        <v>7.6399999999999588</v>
      </c>
      <c r="D198" s="306">
        <f t="shared" ca="1" si="95"/>
        <v>-3.0297216819931685</v>
      </c>
      <c r="E198" s="307">
        <f t="shared" ca="1" si="96"/>
        <v>-30.644261195096213</v>
      </c>
      <c r="F198" s="304">
        <f t="shared" ca="1" si="97"/>
        <v>30.793667492905406</v>
      </c>
      <c r="G198" s="306">
        <f t="shared" ca="1" si="98"/>
        <v>27.618088760941784</v>
      </c>
      <c r="H198" s="307">
        <f t="shared" ca="1" si="99"/>
        <v>189.82115178297929</v>
      </c>
      <c r="I198" s="304">
        <f t="shared" ca="1" si="100"/>
        <v>191.81978128186915</v>
      </c>
      <c r="J198" s="306">
        <f t="shared" ca="1" si="101"/>
        <v>162.31084510931501</v>
      </c>
      <c r="K198" s="307">
        <f t="shared" ca="1" si="102"/>
        <v>1291.8272218540578</v>
      </c>
      <c r="L198" s="304">
        <f t="shared" ca="1" si="87"/>
        <v>1301.9840173993202</v>
      </c>
      <c r="M198" s="306">
        <f t="shared" ca="1" si="103"/>
        <v>1.4263148212770873</v>
      </c>
      <c r="N198" s="304">
        <f t="shared" ca="1" si="104"/>
        <v>81.721819516133408</v>
      </c>
      <c r="P198" s="310">
        <f t="shared" ca="1" si="105"/>
        <v>13</v>
      </c>
      <c r="Q198" s="304">
        <f t="shared" ca="1" si="106"/>
        <v>0</v>
      </c>
      <c r="R198" s="306">
        <f t="shared" ca="1" si="107"/>
        <v>0</v>
      </c>
      <c r="S198" s="307">
        <f t="shared" ca="1" si="108"/>
        <v>2.0842999999999985</v>
      </c>
      <c r="T198" s="304">
        <f t="shared" ca="1" si="88"/>
        <v>20.446982999999985</v>
      </c>
      <c r="U198" s="311">
        <f t="shared" ca="1" si="89"/>
        <v>0</v>
      </c>
      <c r="V198" s="306">
        <f t="shared" ca="1" si="90"/>
        <v>1.0763525090841479</v>
      </c>
      <c r="W198" s="304">
        <f t="shared" ca="1" si="91"/>
        <v>43.732854115200034</v>
      </c>
      <c r="Y198" s="314" t="str">
        <f t="shared" ca="1" si="109"/>
        <v/>
      </c>
      <c r="Z198" s="315" t="str">
        <f t="shared" ca="1" si="110"/>
        <v/>
      </c>
      <c r="AA198" s="316" t="str">
        <f t="shared" ca="1" si="111"/>
        <v/>
      </c>
      <c r="AC198" s="310" t="e">
        <f t="shared" ca="1" si="112"/>
        <v>#N/A</v>
      </c>
      <c r="AD198" s="323" t="e">
        <f t="shared" ca="1" si="113"/>
        <v>#N/A</v>
      </c>
      <c r="AE198" s="324">
        <f t="shared" ca="1" si="92"/>
        <v>1291.8272218540578</v>
      </c>
      <c r="AG198" s="306">
        <f t="shared" ca="1" si="114"/>
        <v>-30.76129054101294</v>
      </c>
      <c r="AH198" s="304">
        <f t="shared" ca="1" si="115"/>
        <v>-21.053400034574736</v>
      </c>
    </row>
    <row r="199" spans="1:34" x14ac:dyDescent="0.25">
      <c r="A199" s="347">
        <f t="shared" ca="1" si="93"/>
        <v>0.01</v>
      </c>
      <c r="B199" s="304">
        <f t="shared" ca="1" si="94"/>
        <v>7.6499999999999586</v>
      </c>
      <c r="D199" s="306">
        <f t="shared" ca="1" si="95"/>
        <v>-3.0209798078393986</v>
      </c>
      <c r="E199" s="307">
        <f t="shared" ca="1" si="96"/>
        <v>-30.573416020596603</v>
      </c>
      <c r="F199" s="304">
        <f t="shared" ca="1" si="97"/>
        <v>30.722306003421135</v>
      </c>
      <c r="G199" s="306">
        <f t="shared" ca="1" si="98"/>
        <v>27.587878962863389</v>
      </c>
      <c r="H199" s="307">
        <f t="shared" ca="1" si="99"/>
        <v>189.51541762277333</v>
      </c>
      <c r="I199" s="304">
        <f t="shared" ca="1" si="100"/>
        <v>191.51288359377753</v>
      </c>
      <c r="J199" s="306">
        <f t="shared" ca="1" si="101"/>
        <v>162.58687494793404</v>
      </c>
      <c r="K199" s="307">
        <f t="shared" ca="1" si="102"/>
        <v>1293.7239047010867</v>
      </c>
      <c r="L199" s="304">
        <f t="shared" ca="1" si="87"/>
        <v>1303.9003157835193</v>
      </c>
      <c r="M199" s="306">
        <f t="shared" ca="1" si="103"/>
        <v>1.4262410697118379</v>
      </c>
      <c r="N199" s="304">
        <f t="shared" ca="1" si="104"/>
        <v>81.717593862712135</v>
      </c>
      <c r="P199" s="310">
        <f t="shared" ca="1" si="105"/>
        <v>13</v>
      </c>
      <c r="Q199" s="304">
        <f t="shared" ca="1" si="106"/>
        <v>0</v>
      </c>
      <c r="R199" s="306">
        <f t="shared" ca="1" si="107"/>
        <v>0</v>
      </c>
      <c r="S199" s="307">
        <f t="shared" ca="1" si="108"/>
        <v>2.0842999999999985</v>
      </c>
      <c r="T199" s="304">
        <f t="shared" ca="1" si="88"/>
        <v>20.446982999999985</v>
      </c>
      <c r="U199" s="311">
        <f t="shared" ca="1" si="89"/>
        <v>0</v>
      </c>
      <c r="V199" s="306">
        <f t="shared" ca="1" si="90"/>
        <v>1.0761475221195154</v>
      </c>
      <c r="W199" s="304">
        <f t="shared" ca="1" si="91"/>
        <v>43.584725179275274</v>
      </c>
      <c r="Y199" s="314" t="str">
        <f t="shared" ca="1" si="109"/>
        <v/>
      </c>
      <c r="Z199" s="315" t="str">
        <f t="shared" ca="1" si="110"/>
        <v/>
      </c>
      <c r="AA199" s="316" t="str">
        <f t="shared" ca="1" si="111"/>
        <v/>
      </c>
      <c r="AC199" s="310" t="e">
        <f t="shared" ca="1" si="112"/>
        <v>#N/A</v>
      </c>
      <c r="AD199" s="323" t="e">
        <f t="shared" ca="1" si="113"/>
        <v>#N/A</v>
      </c>
      <c r="AE199" s="324">
        <f t="shared" ca="1" si="92"/>
        <v>1293.7239047010867</v>
      </c>
      <c r="AG199" s="306">
        <f t="shared" ca="1" si="114"/>
        <v>-30.689820893900645</v>
      </c>
      <c r="AH199" s="304">
        <f t="shared" ca="1" si="115"/>
        <v>-20.982034311375553</v>
      </c>
    </row>
    <row r="200" spans="1:34" x14ac:dyDescent="0.25">
      <c r="A200" s="347">
        <f t="shared" ca="1" si="93"/>
        <v>0.01</v>
      </c>
      <c r="B200" s="304">
        <f t="shared" ca="1" si="94"/>
        <v>7.6599999999999584</v>
      </c>
      <c r="D200" s="306">
        <f t="shared" ca="1" si="95"/>
        <v>-3.0122734908178064</v>
      </c>
      <c r="E200" s="307">
        <f t="shared" ca="1" si="96"/>
        <v>-30.502865492661051</v>
      </c>
      <c r="F200" s="304">
        <f t="shared" ca="1" si="97"/>
        <v>30.651241326361582</v>
      </c>
      <c r="G200" s="306">
        <f t="shared" ca="1" si="98"/>
        <v>27.55775622795521</v>
      </c>
      <c r="H200" s="307">
        <f t="shared" ca="1" si="99"/>
        <v>189.21038896784671</v>
      </c>
      <c r="I200" s="304">
        <f t="shared" ca="1" si="100"/>
        <v>191.20669763814041</v>
      </c>
      <c r="J200" s="306">
        <f t="shared" ca="1" si="101"/>
        <v>162.86260312388814</v>
      </c>
      <c r="K200" s="307">
        <f t="shared" ca="1" si="102"/>
        <v>1295.6175337340399</v>
      </c>
      <c r="L200" s="304">
        <f t="shared" ca="1" si="87"/>
        <v>1305.813547645821</v>
      </c>
      <c r="M200" s="306">
        <f t="shared" ca="1" si="103"/>
        <v>1.4261671626013068</v>
      </c>
      <c r="N200" s="304">
        <f t="shared" ca="1" si="104"/>
        <v>81.7133592972027</v>
      </c>
      <c r="P200" s="310">
        <f t="shared" ca="1" si="105"/>
        <v>13</v>
      </c>
      <c r="Q200" s="304">
        <f t="shared" ca="1" si="106"/>
        <v>0</v>
      </c>
      <c r="R200" s="306">
        <f t="shared" ca="1" si="107"/>
        <v>0</v>
      </c>
      <c r="S200" s="307">
        <f t="shared" ca="1" si="108"/>
        <v>2.0842999999999985</v>
      </c>
      <c r="T200" s="304">
        <f t="shared" ca="1" si="88"/>
        <v>20.446982999999985</v>
      </c>
      <c r="U200" s="311">
        <f t="shared" ca="1" si="89"/>
        <v>0</v>
      </c>
      <c r="V200" s="306">
        <f t="shared" ca="1" si="90"/>
        <v>1.075942901626586</v>
      </c>
      <c r="W200" s="304">
        <f t="shared" ca="1" si="91"/>
        <v>43.437211477414635</v>
      </c>
      <c r="Y200" s="314" t="str">
        <f t="shared" ca="1" si="109"/>
        <v/>
      </c>
      <c r="Z200" s="315" t="str">
        <f t="shared" ca="1" si="110"/>
        <v/>
      </c>
      <c r="AA200" s="316" t="str">
        <f t="shared" ca="1" si="111"/>
        <v/>
      </c>
      <c r="AC200" s="310" t="e">
        <f t="shared" ca="1" si="112"/>
        <v>#N/A</v>
      </c>
      <c r="AD200" s="323" t="e">
        <f t="shared" ca="1" si="113"/>
        <v>#N/A</v>
      </c>
      <c r="AE200" s="324">
        <f t="shared" ca="1" si="92"/>
        <v>1295.6175337340399</v>
      </c>
      <c r="AG200" s="306">
        <f t="shared" ca="1" si="114"/>
        <v>-30.618647784755026</v>
      </c>
      <c r="AH200" s="304">
        <f t="shared" ca="1" si="115"/>
        <v>-20.910965398107425</v>
      </c>
    </row>
    <row r="201" spans="1:34" x14ac:dyDescent="0.25">
      <c r="A201" s="347">
        <f t="shared" ca="1" si="93"/>
        <v>0.01</v>
      </c>
      <c r="B201" s="304">
        <f t="shared" ca="1" si="94"/>
        <v>7.6699999999999582</v>
      </c>
      <c r="D201" s="306">
        <f t="shared" ca="1" si="95"/>
        <v>-3.0036025338575207</v>
      </c>
      <c r="E201" s="307">
        <f t="shared" ca="1" si="96"/>
        <v>-30.43260798865338</v>
      </c>
      <c r="F201" s="304">
        <f t="shared" ca="1" si="97"/>
        <v>30.580471827171746</v>
      </c>
      <c r="G201" s="306">
        <f t="shared" ca="1" si="98"/>
        <v>27.527720202616635</v>
      </c>
      <c r="H201" s="307">
        <f t="shared" ca="1" si="99"/>
        <v>188.90606288796019</v>
      </c>
      <c r="I201" s="304">
        <f t="shared" ca="1" si="100"/>
        <v>190.90122046593501</v>
      </c>
      <c r="J201" s="306">
        <f t="shared" ca="1" si="101"/>
        <v>163.13803050604099</v>
      </c>
      <c r="K201" s="307">
        <f t="shared" ca="1" si="102"/>
        <v>1297.5081159933188</v>
      </c>
      <c r="L201" s="304">
        <f t="shared" ca="1" si="87"/>
        <v>1307.7237200823122</v>
      </c>
      <c r="M201" s="306">
        <f t="shared" ca="1" si="103"/>
        <v>1.426093099642824</v>
      </c>
      <c r="N201" s="304">
        <f t="shared" ca="1" si="104"/>
        <v>81.709115802263383</v>
      </c>
      <c r="P201" s="310">
        <f t="shared" ca="1" si="105"/>
        <v>13</v>
      </c>
      <c r="Q201" s="304">
        <f t="shared" ca="1" si="106"/>
        <v>0</v>
      </c>
      <c r="R201" s="306">
        <f t="shared" ca="1" si="107"/>
        <v>0</v>
      </c>
      <c r="S201" s="307">
        <f t="shared" ca="1" si="108"/>
        <v>2.0842999999999985</v>
      </c>
      <c r="T201" s="304">
        <f t="shared" ca="1" si="88"/>
        <v>20.446982999999985</v>
      </c>
      <c r="U201" s="311">
        <f t="shared" ca="1" si="89"/>
        <v>0</v>
      </c>
      <c r="V201" s="306">
        <f t="shared" ca="1" si="90"/>
        <v>1.075738646659022</v>
      </c>
      <c r="W201" s="304">
        <f t="shared" ca="1" si="91"/>
        <v>43.290309626400955</v>
      </c>
      <c r="Y201" s="314" t="str">
        <f t="shared" ca="1" si="109"/>
        <v/>
      </c>
      <c r="Z201" s="315" t="str">
        <f t="shared" ca="1" si="110"/>
        <v/>
      </c>
      <c r="AA201" s="316" t="str">
        <f t="shared" ca="1" si="111"/>
        <v/>
      </c>
      <c r="AC201" s="310" t="e">
        <f t="shared" ca="1" si="112"/>
        <v>#N/A</v>
      </c>
      <c r="AD201" s="323" t="e">
        <f t="shared" ca="1" si="113"/>
        <v>#N/A</v>
      </c>
      <c r="AE201" s="324">
        <f t="shared" ca="1" si="92"/>
        <v>1297.5081159933188</v>
      </c>
      <c r="AG201" s="306">
        <f t="shared" ca="1" si="114"/>
        <v>-30.547769578275041</v>
      </c>
      <c r="AH201" s="304">
        <f t="shared" ca="1" si="115"/>
        <v>-20.840191660228694</v>
      </c>
    </row>
    <row r="202" spans="1:34" x14ac:dyDescent="0.25">
      <c r="A202" s="347">
        <f t="shared" ca="1" si="93"/>
        <v>0.01</v>
      </c>
      <c r="B202" s="304">
        <f t="shared" ca="1" si="94"/>
        <v>7.679999999999958</v>
      </c>
      <c r="D202" s="306">
        <f t="shared" ca="1" si="95"/>
        <v>-2.9949667412548839</v>
      </c>
      <c r="E202" s="307">
        <f t="shared" ca="1" si="96"/>
        <v>-30.362641897205329</v>
      </c>
      <c r="F202" s="304">
        <f t="shared" ca="1" si="97"/>
        <v>30.509995882647235</v>
      </c>
      <c r="G202" s="306">
        <f t="shared" ca="1" si="98"/>
        <v>27.497770535204086</v>
      </c>
      <c r="H202" s="307">
        <f t="shared" ca="1" si="99"/>
        <v>188.60243646898815</v>
      </c>
      <c r="I202" s="304">
        <f t="shared" ca="1" si="100"/>
        <v>190.59644914437794</v>
      </c>
      <c r="J202" s="306">
        <f t="shared" ca="1" si="101"/>
        <v>163.41315795973009</v>
      </c>
      <c r="K202" s="307">
        <f t="shared" ca="1" si="102"/>
        <v>1299.3956584901036</v>
      </c>
      <c r="L202" s="304">
        <f t="shared" ca="1" si="87"/>
        <v>1309.6308401596618</v>
      </c>
      <c r="M202" s="306">
        <f t="shared" ca="1" si="103"/>
        <v>1.4260188805327103</v>
      </c>
      <c r="N202" s="304">
        <f t="shared" ca="1" si="104"/>
        <v>81.704863360494656</v>
      </c>
      <c r="P202" s="310">
        <f t="shared" ca="1" si="105"/>
        <v>13</v>
      </c>
      <c r="Q202" s="304">
        <f t="shared" ca="1" si="106"/>
        <v>0</v>
      </c>
      <c r="R202" s="306">
        <f t="shared" ca="1" si="107"/>
        <v>0</v>
      </c>
      <c r="S202" s="307">
        <f t="shared" ca="1" si="108"/>
        <v>2.0842999999999985</v>
      </c>
      <c r="T202" s="304">
        <f t="shared" ca="1" si="88"/>
        <v>20.446982999999985</v>
      </c>
      <c r="U202" s="311">
        <f t="shared" ca="1" si="89"/>
        <v>0</v>
      </c>
      <c r="V202" s="306">
        <f t="shared" ca="1" si="90"/>
        <v>1.0755347562745623</v>
      </c>
      <c r="W202" s="304">
        <f t="shared" ca="1" si="91"/>
        <v>43.1440162664775</v>
      </c>
      <c r="Y202" s="314" t="str">
        <f t="shared" ca="1" si="109"/>
        <v/>
      </c>
      <c r="Z202" s="315" t="str">
        <f t="shared" ca="1" si="110"/>
        <v/>
      </c>
      <c r="AA202" s="316" t="str">
        <f t="shared" ca="1" si="111"/>
        <v/>
      </c>
      <c r="AC202" s="310" t="e">
        <f t="shared" ca="1" si="112"/>
        <v>#N/A</v>
      </c>
      <c r="AD202" s="323" t="e">
        <f t="shared" ca="1" si="113"/>
        <v>#N/A</v>
      </c>
      <c r="AE202" s="324">
        <f t="shared" ca="1" si="92"/>
        <v>1299.3956584901036</v>
      </c>
      <c r="AG202" s="306">
        <f t="shared" ca="1" si="114"/>
        <v>-30.477184650507233</v>
      </c>
      <c r="AH202" s="304">
        <f t="shared" ca="1" si="115"/>
        <v>-20.769711474548284</v>
      </c>
    </row>
    <row r="203" spans="1:34" x14ac:dyDescent="0.25">
      <c r="A203" s="347">
        <f t="shared" ca="1" si="93"/>
        <v>0.01</v>
      </c>
      <c r="B203" s="304">
        <f t="shared" ca="1" si="94"/>
        <v>7.6899999999999578</v>
      </c>
      <c r="D203" s="306">
        <f t="shared" ca="1" si="95"/>
        <v>-2.9863659186620137</v>
      </c>
      <c r="E203" s="307">
        <f t="shared" ca="1" si="96"/>
        <v>-30.292965618122388</v>
      </c>
      <c r="F203" s="304">
        <f t="shared" ca="1" si="97"/>
        <v>30.439811880839393</v>
      </c>
      <c r="G203" s="306">
        <f t="shared" ca="1" si="98"/>
        <v>27.467906876017466</v>
      </c>
      <c r="H203" s="307">
        <f t="shared" ca="1" si="99"/>
        <v>188.29950681280692</v>
      </c>
      <c r="I203" s="304">
        <f t="shared" ca="1" si="100"/>
        <v>190.29238075681297</v>
      </c>
      <c r="J203" s="306">
        <f t="shared" ca="1" si="101"/>
        <v>163.6879863467862</v>
      </c>
      <c r="K203" s="307">
        <f t="shared" ca="1" si="102"/>
        <v>1301.2801682065126</v>
      </c>
      <c r="L203" s="304">
        <f t="shared" ca="1" si="87"/>
        <v>1311.5349149152817</v>
      </c>
      <c r="M203" s="306">
        <f t="shared" ca="1" si="103"/>
        <v>1.4259445049662722</v>
      </c>
      <c r="N203" s="304">
        <f t="shared" ca="1" si="104"/>
        <v>81.700601954438852</v>
      </c>
      <c r="P203" s="310">
        <f t="shared" ca="1" si="105"/>
        <v>13</v>
      </c>
      <c r="Q203" s="304">
        <f t="shared" ca="1" si="106"/>
        <v>0</v>
      </c>
      <c r="R203" s="306">
        <f t="shared" ca="1" si="107"/>
        <v>0</v>
      </c>
      <c r="S203" s="307">
        <f t="shared" ca="1" si="108"/>
        <v>2.0842999999999985</v>
      </c>
      <c r="T203" s="304">
        <f t="shared" ca="1" si="88"/>
        <v>20.446982999999985</v>
      </c>
      <c r="U203" s="311">
        <f t="shared" ca="1" si="89"/>
        <v>0</v>
      </c>
      <c r="V203" s="306">
        <f t="shared" ca="1" si="90"/>
        <v>1.0753312295350004</v>
      </c>
      <c r="W203" s="304">
        <f t="shared" ca="1" si="91"/>
        <v>42.99832806115252</v>
      </c>
      <c r="Y203" s="314" t="str">
        <f t="shared" ca="1" si="109"/>
        <v/>
      </c>
      <c r="Z203" s="315" t="str">
        <f t="shared" ca="1" si="110"/>
        <v/>
      </c>
      <c r="AA203" s="316" t="str">
        <f t="shared" ca="1" si="111"/>
        <v/>
      </c>
      <c r="AC203" s="310" t="e">
        <f t="shared" ca="1" si="112"/>
        <v>#N/A</v>
      </c>
      <c r="AD203" s="323" t="e">
        <f t="shared" ca="1" si="113"/>
        <v>#N/A</v>
      </c>
      <c r="AE203" s="324">
        <f t="shared" ca="1" si="92"/>
        <v>1301.2801682065126</v>
      </c>
      <c r="AG203" s="306">
        <f t="shared" ca="1" si="114"/>
        <v>-30.406891388750935</v>
      </c>
      <c r="AH203" s="304">
        <f t="shared" ca="1" si="115"/>
        <v>-20.6995232291309</v>
      </c>
    </row>
    <row r="204" spans="1:34" x14ac:dyDescent="0.25">
      <c r="A204" s="347">
        <f t="shared" ca="1" si="93"/>
        <v>0.01</v>
      </c>
      <c r="B204" s="304">
        <f t="shared" ca="1" si="94"/>
        <v>7.6999999999999575</v>
      </c>
      <c r="D204" s="306">
        <f t="shared" ca="1" si="95"/>
        <v>-2.9777998730755311</v>
      </c>
      <c r="E204" s="307">
        <f t="shared" ca="1" si="96"/>
        <v>-30.22357756229075</v>
      </c>
      <c r="F204" s="304">
        <f t="shared" ca="1" si="97"/>
        <v>30.369918220961569</v>
      </c>
      <c r="G204" s="306">
        <f t="shared" ca="1" si="98"/>
        <v>27.438128877286712</v>
      </c>
      <c r="H204" s="307">
        <f t="shared" ca="1" si="99"/>
        <v>187.99727103718402</v>
      </c>
      <c r="I204" s="304">
        <f t="shared" ca="1" si="100"/>
        <v>189.98901240259929</v>
      </c>
      <c r="J204" s="306">
        <f t="shared" ca="1" si="101"/>
        <v>163.96251652555273</v>
      </c>
      <c r="K204" s="307">
        <f t="shared" ca="1" si="102"/>
        <v>1303.1616520957625</v>
      </c>
      <c r="L204" s="304">
        <f t="shared" ca="1" si="87"/>
        <v>1313.435951357488</v>
      </c>
      <c r="M204" s="306">
        <f t="shared" ca="1" si="103"/>
        <v>1.4258699726377992</v>
      </c>
      <c r="N204" s="304">
        <f t="shared" ca="1" si="104"/>
        <v>81.696331566580071</v>
      </c>
      <c r="P204" s="310">
        <f t="shared" ca="1" si="105"/>
        <v>13</v>
      </c>
      <c r="Q204" s="304">
        <f t="shared" ca="1" si="106"/>
        <v>0</v>
      </c>
      <c r="R204" s="306">
        <f t="shared" ca="1" si="107"/>
        <v>0</v>
      </c>
      <c r="S204" s="307">
        <f t="shared" ca="1" si="108"/>
        <v>2.0842999999999985</v>
      </c>
      <c r="T204" s="304">
        <f t="shared" ca="1" si="88"/>
        <v>20.446982999999985</v>
      </c>
      <c r="U204" s="311">
        <f t="shared" ca="1" si="89"/>
        <v>0</v>
      </c>
      <c r="V204" s="306">
        <f t="shared" ca="1" si="90"/>
        <v>1.0751280655061586</v>
      </c>
      <c r="W204" s="304">
        <f t="shared" ca="1" si="91"/>
        <v>42.853241697005416</v>
      </c>
      <c r="Y204" s="314" t="str">
        <f t="shared" ca="1" si="109"/>
        <v/>
      </c>
      <c r="Z204" s="315" t="str">
        <f t="shared" ca="1" si="110"/>
        <v/>
      </c>
      <c r="AA204" s="316" t="str">
        <f t="shared" ca="1" si="111"/>
        <v/>
      </c>
      <c r="AC204" s="310" t="e">
        <f t="shared" ca="1" si="112"/>
        <v>#N/A</v>
      </c>
      <c r="AD204" s="323" t="e">
        <f t="shared" ca="1" si="113"/>
        <v>#N/A</v>
      </c>
      <c r="AE204" s="324">
        <f t="shared" ca="1" si="92"/>
        <v>1303.1616520957625</v>
      </c>
      <c r="AG204" s="306">
        <f t="shared" ca="1" si="114"/>
        <v>-30.336888191464475</v>
      </c>
      <c r="AH204" s="304">
        <f t="shared" ca="1" si="115"/>
        <v>-20.629625323203257</v>
      </c>
    </row>
    <row r="205" spans="1:34" x14ac:dyDescent="0.25">
      <c r="A205" s="347">
        <f t="shared" ca="1" si="93"/>
        <v>0.1</v>
      </c>
      <c r="B205" s="304">
        <f t="shared" ca="1" si="94"/>
        <v>7.7999999999999572</v>
      </c>
      <c r="D205" s="306">
        <f t="shared" ca="1" si="95"/>
        <v>-2.9692684128253468</v>
      </c>
      <c r="E205" s="307">
        <f t="shared" ca="1" si="96"/>
        <v>-30.154476151585015</v>
      </c>
      <c r="F205" s="304">
        <f t="shared" ca="1" si="97"/>
        <v>30.300313313296147</v>
      </c>
      <c r="G205" s="306">
        <f t="shared" ca="1" si="98"/>
        <v>27.141202036004177</v>
      </c>
      <c r="H205" s="307">
        <f t="shared" ca="1" si="99"/>
        <v>184.98182342202551</v>
      </c>
      <c r="I205" s="304">
        <f t="shared" ca="1" si="100"/>
        <v>186.96234873497022</v>
      </c>
      <c r="J205" s="306">
        <f t="shared" ca="1" si="101"/>
        <v>166.69148307121728</v>
      </c>
      <c r="K205" s="307">
        <f t="shared" ca="1" si="102"/>
        <v>1321.810606818723</v>
      </c>
      <c r="L205" s="304">
        <f t="shared" ca="1" si="87"/>
        <v>1332.2797494621625</v>
      </c>
      <c r="M205" s="306">
        <f t="shared" ca="1" si="103"/>
        <v>1.4251121965440046</v>
      </c>
      <c r="N205" s="304">
        <f t="shared" ca="1" si="104"/>
        <v>81.652914194589727</v>
      </c>
      <c r="P205" s="310">
        <f t="shared" ca="1" si="105"/>
        <v>23</v>
      </c>
      <c r="Q205" s="304">
        <f t="shared" ca="1" si="106"/>
        <v>0</v>
      </c>
      <c r="R205" s="306">
        <f t="shared" ca="1" si="107"/>
        <v>0</v>
      </c>
      <c r="S205" s="307">
        <f t="shared" ca="1" si="108"/>
        <v>2.0842999999999985</v>
      </c>
      <c r="T205" s="304">
        <f t="shared" ca="1" si="88"/>
        <v>20.446982999999985</v>
      </c>
      <c r="U205" s="311">
        <f t="shared" ca="1" si="89"/>
        <v>0</v>
      </c>
      <c r="V205" s="306">
        <f t="shared" ca="1" si="90"/>
        <v>1.073116276500917</v>
      </c>
      <c r="W205" s="304">
        <f t="shared" ca="1" si="91"/>
        <v>41.42109766895225</v>
      </c>
      <c r="Y205" s="314" t="str">
        <f t="shared" ca="1" si="109"/>
        <v/>
      </c>
      <c r="Z205" s="315" t="str">
        <f t="shared" ca="1" si="110"/>
        <v/>
      </c>
      <c r="AA205" s="316" t="str">
        <f t="shared" ca="1" si="111"/>
        <v/>
      </c>
      <c r="AC205" s="310" t="e">
        <f t="shared" ca="1" si="112"/>
        <v>#N/A</v>
      </c>
      <c r="AD205" s="323" t="e">
        <f t="shared" ca="1" si="113"/>
        <v>#N/A</v>
      </c>
      <c r="AE205" s="324">
        <f t="shared" ca="1" si="92"/>
        <v>1321.810606818723</v>
      </c>
      <c r="AG205" s="306">
        <f t="shared" ca="1" si="114"/>
        <v>-30.267173468172174</v>
      </c>
      <c r="AH205" s="304">
        <f t="shared" ca="1" si="115"/>
        <v>-20.560016167061097</v>
      </c>
    </row>
    <row r="206" spans="1:34" x14ac:dyDescent="0.25">
      <c r="A206" s="347">
        <f t="shared" ca="1" si="93"/>
        <v>0.1</v>
      </c>
      <c r="B206" s="304">
        <f t="shared" ca="1" si="94"/>
        <v>7.8999999999999568</v>
      </c>
      <c r="D206" s="306">
        <f t="shared" ca="1" si="95"/>
        <v>-2.8849367610236021</v>
      </c>
      <c r="E206" s="307">
        <f t="shared" ca="1" si="96"/>
        <v>-29.4723886371521</v>
      </c>
      <c r="F206" s="304">
        <f t="shared" ca="1" si="97"/>
        <v>29.613249603757396</v>
      </c>
      <c r="G206" s="306">
        <f t="shared" ca="1" si="98"/>
        <v>26.852708359901818</v>
      </c>
      <c r="H206" s="307">
        <f t="shared" ca="1" si="99"/>
        <v>182.03458455831031</v>
      </c>
      <c r="I206" s="304">
        <f t="shared" ca="1" si="100"/>
        <v>184.00450516652731</v>
      </c>
      <c r="J206" s="306">
        <f t="shared" ca="1" si="101"/>
        <v>169.39117859101259</v>
      </c>
      <c r="K206" s="307">
        <f t="shared" ca="1" si="102"/>
        <v>1340.1614272177399</v>
      </c>
      <c r="L206" s="304">
        <f t="shared" ca="1" si="87"/>
        <v>1350.8242011404525</v>
      </c>
      <c r="M206" s="306">
        <f t="shared" ca="1" si="103"/>
        <v>1.4243382418885591</v>
      </c>
      <c r="N206" s="304">
        <f t="shared" ca="1" si="104"/>
        <v>81.6085698592982</v>
      </c>
      <c r="P206" s="310">
        <f t="shared" ca="1" si="105"/>
        <v>23</v>
      </c>
      <c r="Q206" s="304">
        <f t="shared" ca="1" si="106"/>
        <v>0</v>
      </c>
      <c r="R206" s="306">
        <f t="shared" ca="1" si="107"/>
        <v>0</v>
      </c>
      <c r="S206" s="307">
        <f t="shared" ca="1" si="108"/>
        <v>2.0842999999999985</v>
      </c>
      <c r="T206" s="304">
        <f t="shared" ca="1" si="88"/>
        <v>20.446982999999985</v>
      </c>
      <c r="U206" s="311">
        <f t="shared" ca="1" si="89"/>
        <v>0</v>
      </c>
      <c r="V206" s="306">
        <f t="shared" ca="1" si="90"/>
        <v>1.0711400815602201</v>
      </c>
      <c r="W206" s="304">
        <f t="shared" ca="1" si="91"/>
        <v>40.046972953951389</v>
      </c>
      <c r="Y206" s="314" t="str">
        <f t="shared" ca="1" si="109"/>
        <v/>
      </c>
      <c r="Z206" s="315" t="str">
        <f t="shared" ca="1" si="110"/>
        <v/>
      </c>
      <c r="AA206" s="316" t="str">
        <f t="shared" ca="1" si="111"/>
        <v/>
      </c>
      <c r="AC206" s="310" t="e">
        <f t="shared" ca="1" si="112"/>
        <v>#N/A</v>
      </c>
      <c r="AD206" s="323" t="e">
        <f t="shared" ca="1" si="113"/>
        <v>#N/A</v>
      </c>
      <c r="AE206" s="324">
        <f t="shared" ca="1" si="92"/>
        <v>1340.1614272177399</v>
      </c>
      <c r="AG206" s="306">
        <f t="shared" ca="1" si="114"/>
        <v>-29.578986783239067</v>
      </c>
      <c r="AH206" s="304">
        <f t="shared" ca="1" si="115"/>
        <v>-19.872905852781404</v>
      </c>
    </row>
    <row r="207" spans="1:34" x14ac:dyDescent="0.25">
      <c r="A207" s="347">
        <f t="shared" ca="1" si="93"/>
        <v>0.1</v>
      </c>
      <c r="B207" s="304">
        <f t="shared" ca="1" si="94"/>
        <v>7.9999999999999565</v>
      </c>
      <c r="D207" s="306">
        <f t="shared" ca="1" si="95"/>
        <v>-2.8039425082674323</v>
      </c>
      <c r="E207" s="307">
        <f t="shared" ca="1" si="96"/>
        <v>-28.817934051822959</v>
      </c>
      <c r="F207" s="304">
        <f t="shared" ca="1" si="97"/>
        <v>28.954022459839432</v>
      </c>
      <c r="G207" s="306">
        <f t="shared" ca="1" si="98"/>
        <v>26.572314109075077</v>
      </c>
      <c r="H207" s="307">
        <f t="shared" ca="1" si="99"/>
        <v>179.15279115312802</v>
      </c>
      <c r="I207" s="304">
        <f t="shared" ca="1" si="100"/>
        <v>181.11270097667821</v>
      </c>
      <c r="J207" s="306">
        <f t="shared" ca="1" si="101"/>
        <v>172.06242971446144</v>
      </c>
      <c r="K207" s="307">
        <f t="shared" ca="1" si="102"/>
        <v>1358.2207960033118</v>
      </c>
      <c r="L207" s="304">
        <f t="shared" ca="1" si="87"/>
        <v>1369.0760425977492</v>
      </c>
      <c r="M207" s="306">
        <f t="shared" ca="1" si="103"/>
        <v>1.4235477820961737</v>
      </c>
      <c r="N207" s="304">
        <f t="shared" ca="1" si="104"/>
        <v>81.563279849319727</v>
      </c>
      <c r="P207" s="310">
        <f t="shared" ca="1" si="105"/>
        <v>23</v>
      </c>
      <c r="Q207" s="304">
        <f t="shared" ca="1" si="106"/>
        <v>0</v>
      </c>
      <c r="R207" s="306">
        <f t="shared" ca="1" si="107"/>
        <v>0</v>
      </c>
      <c r="S207" s="307">
        <f t="shared" ca="1" si="108"/>
        <v>2.0842999999999985</v>
      </c>
      <c r="T207" s="304">
        <f t="shared" ca="1" si="88"/>
        <v>20.446982999999985</v>
      </c>
      <c r="U207" s="311">
        <f t="shared" ca="1" si="89"/>
        <v>0</v>
      </c>
      <c r="V207" s="306">
        <f t="shared" ca="1" si="90"/>
        <v>1.0691985883566293</v>
      </c>
      <c r="W207" s="304">
        <f t="shared" ca="1" si="91"/>
        <v>38.727788900360032</v>
      </c>
      <c r="Y207" s="314" t="str">
        <f t="shared" ca="1" si="109"/>
        <v/>
      </c>
      <c r="Z207" s="315" t="str">
        <f t="shared" ca="1" si="110"/>
        <v/>
      </c>
      <c r="AA207" s="316" t="str">
        <f t="shared" ca="1" si="111"/>
        <v/>
      </c>
      <c r="AC207" s="310">
        <f t="shared" ca="1" si="112"/>
        <v>7.9999999999999565</v>
      </c>
      <c r="AD207" s="323">
        <f t="shared" ca="1" si="113"/>
        <v>172.06242971446144</v>
      </c>
      <c r="AE207" s="324">
        <f t="shared" ca="1" si="92"/>
        <v>1358.2207960033118</v>
      </c>
      <c r="AG207" s="306">
        <f t="shared" ca="1" si="114"/>
        <v>-28.918607718702734</v>
      </c>
      <c r="AH207" s="304">
        <f t="shared" ca="1" si="115"/>
        <v>-19.213631892698469</v>
      </c>
    </row>
    <row r="208" spans="1:34" x14ac:dyDescent="0.25">
      <c r="A208" s="347">
        <f t="shared" ca="1" si="93"/>
        <v>0.1</v>
      </c>
      <c r="B208" s="304">
        <f t="shared" ca="1" si="94"/>
        <v>8.099999999999957</v>
      </c>
      <c r="D208" s="306">
        <f t="shared" ca="1" si="95"/>
        <v>-2.7261072893442391</v>
      </c>
      <c r="E208" s="307">
        <f t="shared" ca="1" si="96"/>
        <v>-28.189646118292416</v>
      </c>
      <c r="F208" s="304">
        <f t="shared" ca="1" si="97"/>
        <v>28.321154800388605</v>
      </c>
      <c r="G208" s="306">
        <f t="shared" ca="1" si="98"/>
        <v>26.299703380140652</v>
      </c>
      <c r="H208" s="307">
        <f t="shared" ca="1" si="99"/>
        <v>176.33382654129878</v>
      </c>
      <c r="I208" s="304">
        <f t="shared" ca="1" si="100"/>
        <v>178.28430323665688</v>
      </c>
      <c r="J208" s="306">
        <f t="shared" ca="1" si="101"/>
        <v>174.70603058892223</v>
      </c>
      <c r="K208" s="307">
        <f t="shared" ca="1" si="102"/>
        <v>1375.9951268880332</v>
      </c>
      <c r="L208" s="304">
        <f t="shared" ca="1" si="87"/>
        <v>1387.041739221914</v>
      </c>
      <c r="M208" s="306">
        <f t="shared" ca="1" si="103"/>
        <v>1.4227404793744152</v>
      </c>
      <c r="N208" s="304">
        <f t="shared" ca="1" si="104"/>
        <v>81.517024810573545</v>
      </c>
      <c r="P208" s="310">
        <f t="shared" ca="1" si="105"/>
        <v>23</v>
      </c>
      <c r="Q208" s="304">
        <f t="shared" ca="1" si="106"/>
        <v>0</v>
      </c>
      <c r="R208" s="306">
        <f t="shared" ca="1" si="107"/>
        <v>0</v>
      </c>
      <c r="S208" s="307">
        <f t="shared" ca="1" si="108"/>
        <v>2.0842999999999985</v>
      </c>
      <c r="T208" s="304">
        <f t="shared" ca="1" si="88"/>
        <v>20.446982999999985</v>
      </c>
      <c r="U208" s="311">
        <f t="shared" ca="1" si="89"/>
        <v>0</v>
      </c>
      <c r="V208" s="306">
        <f t="shared" ca="1" si="90"/>
        <v>1.0672909417379501</v>
      </c>
      <c r="W208" s="304">
        <f t="shared" ca="1" si="91"/>
        <v>37.460670860572897</v>
      </c>
      <c r="Y208" s="314" t="str">
        <f t="shared" ca="1" si="109"/>
        <v/>
      </c>
      <c r="Z208" s="315" t="str">
        <f t="shared" ca="1" si="110"/>
        <v/>
      </c>
      <c r="AA208" s="316" t="str">
        <f t="shared" ca="1" si="111"/>
        <v/>
      </c>
      <c r="AC208" s="310" t="e">
        <f t="shared" ca="1" si="112"/>
        <v>#N/A</v>
      </c>
      <c r="AD208" s="323" t="e">
        <f t="shared" ca="1" si="113"/>
        <v>#N/A</v>
      </c>
      <c r="AE208" s="324">
        <f t="shared" ca="1" si="92"/>
        <v>1375.9951268880332</v>
      </c>
      <c r="AG208" s="306">
        <f t="shared" ca="1" si="114"/>
        <v>-28.284558373176537</v>
      </c>
      <c r="AH208" s="304">
        <f t="shared" ca="1" si="115"/>
        <v>-18.580717219383036</v>
      </c>
    </row>
    <row r="209" spans="1:34" x14ac:dyDescent="0.25">
      <c r="A209" s="347">
        <f t="shared" ca="1" si="93"/>
        <v>0.1</v>
      </c>
      <c r="B209" s="304">
        <f t="shared" ca="1" si="94"/>
        <v>8.1999999999999567</v>
      </c>
      <c r="D209" s="306">
        <f t="shared" ca="1" si="95"/>
        <v>-2.6512645466664417</v>
      </c>
      <c r="E209" s="307">
        <f t="shared" ca="1" si="96"/>
        <v>-27.58615572044809</v>
      </c>
      <c r="F209" s="304">
        <f t="shared" ca="1" si="97"/>
        <v>27.713267420663723</v>
      </c>
      <c r="G209" s="306">
        <f t="shared" ca="1" si="98"/>
        <v>26.03457692547401</v>
      </c>
      <c r="H209" s="307">
        <f t="shared" ca="1" si="99"/>
        <v>173.57521096925396</v>
      </c>
      <c r="I209" s="304">
        <f t="shared" ca="1" si="100"/>
        <v>175.51681702534788</v>
      </c>
      <c r="J209" s="306">
        <f t="shared" ca="1" si="101"/>
        <v>177.32274460420297</v>
      </c>
      <c r="K209" s="307">
        <f t="shared" ca="1" si="102"/>
        <v>1393.4905787635607</v>
      </c>
      <c r="L209" s="304">
        <f t="shared" ca="1" si="87"/>
        <v>1404.7274998578089</v>
      </c>
      <c r="M209" s="306">
        <f t="shared" ca="1" si="103"/>
        <v>1.4219159843020093</v>
      </c>
      <c r="N209" s="304">
        <f t="shared" ca="1" si="104"/>
        <v>81.469784722695351</v>
      </c>
      <c r="P209" s="310">
        <f t="shared" ca="1" si="105"/>
        <v>23</v>
      </c>
      <c r="Q209" s="304">
        <f t="shared" ca="1" si="106"/>
        <v>0</v>
      </c>
      <c r="R209" s="306">
        <f t="shared" ca="1" si="107"/>
        <v>0</v>
      </c>
      <c r="S209" s="307">
        <f t="shared" ca="1" si="108"/>
        <v>2.0842999999999985</v>
      </c>
      <c r="T209" s="304">
        <f t="shared" ca="1" si="88"/>
        <v>20.446982999999985</v>
      </c>
      <c r="U209" s="311">
        <f t="shared" ca="1" si="89"/>
        <v>0</v>
      </c>
      <c r="V209" s="306">
        <f t="shared" ca="1" si="90"/>
        <v>1.0654163217123758</v>
      </c>
      <c r="W209" s="304">
        <f t="shared" ca="1" si="91"/>
        <v>36.242932108297431</v>
      </c>
      <c r="Y209" s="314" t="str">
        <f t="shared" ca="1" si="109"/>
        <v/>
      </c>
      <c r="Z209" s="315" t="str">
        <f t="shared" ca="1" si="110"/>
        <v/>
      </c>
      <c r="AA209" s="316" t="str">
        <f t="shared" ca="1" si="111"/>
        <v/>
      </c>
      <c r="AC209" s="310" t="e">
        <f t="shared" ca="1" si="112"/>
        <v>#N/A</v>
      </c>
      <c r="AD209" s="323" t="e">
        <f t="shared" ca="1" si="113"/>
        <v>#N/A</v>
      </c>
      <c r="AE209" s="324">
        <f t="shared" ca="1" si="92"/>
        <v>1393.4905787635607</v>
      </c>
      <c r="AG209" s="306">
        <f t="shared" ca="1" si="114"/>
        <v>-27.675458687805914</v>
      </c>
      <c r="AH209" s="304">
        <f t="shared" ca="1" si="115"/>
        <v>-17.972782641929147</v>
      </c>
    </row>
    <row r="210" spans="1:34" x14ac:dyDescent="0.25">
      <c r="A210" s="347">
        <f t="shared" ca="1" si="93"/>
        <v>0.1</v>
      </c>
      <c r="B210" s="304">
        <f t="shared" ca="1" si="94"/>
        <v>8.2999999999999563</v>
      </c>
      <c r="D210" s="306">
        <f t="shared" ca="1" si="95"/>
        <v>-2.5792585990874319</v>
      </c>
      <c r="E210" s="307">
        <f t="shared" ca="1" si="96"/>
        <v>-27.006183243631199</v>
      </c>
      <c r="F210" s="304">
        <f t="shared" ca="1" si="97"/>
        <v>27.129071276207611</v>
      </c>
      <c r="G210" s="306">
        <f t="shared" ca="1" si="98"/>
        <v>25.776651065565268</v>
      </c>
      <c r="H210" s="307">
        <f t="shared" ca="1" si="99"/>
        <v>170.87459264489084</v>
      </c>
      <c r="I210" s="304">
        <f t="shared" ca="1" si="100"/>
        <v>172.80787641688468</v>
      </c>
      <c r="J210" s="306">
        <f t="shared" ca="1" si="101"/>
        <v>179.91330600375494</v>
      </c>
      <c r="K210" s="307">
        <f t="shared" ca="1" si="102"/>
        <v>1410.7130689442679</v>
      </c>
      <c r="L210" s="304">
        <f t="shared" ca="1" si="87"/>
        <v>1422.1392901426202</v>
      </c>
      <c r="M210" s="306">
        <f t="shared" ca="1" si="103"/>
        <v>1.4210739353968318</v>
      </c>
      <c r="N210" s="304">
        <f t="shared" ca="1" si="104"/>
        <v>81.421538874285062</v>
      </c>
      <c r="P210" s="310">
        <f t="shared" ca="1" si="105"/>
        <v>23</v>
      </c>
      <c r="Q210" s="304">
        <f t="shared" ca="1" si="106"/>
        <v>0</v>
      </c>
      <c r="R210" s="306">
        <f t="shared" ca="1" si="107"/>
        <v>0</v>
      </c>
      <c r="S210" s="307">
        <f t="shared" ca="1" si="108"/>
        <v>2.0842999999999985</v>
      </c>
      <c r="T210" s="304">
        <f t="shared" ca="1" si="88"/>
        <v>20.446982999999985</v>
      </c>
      <c r="U210" s="311">
        <f t="shared" ca="1" si="89"/>
        <v>0</v>
      </c>
      <c r="V210" s="306">
        <f t="shared" ca="1" si="90"/>
        <v>1.063573941569155</v>
      </c>
      <c r="W210" s="304">
        <f t="shared" ca="1" si="91"/>
        <v>35.072059222014623</v>
      </c>
      <c r="Y210" s="314" t="str">
        <f t="shared" ca="1" si="109"/>
        <v/>
      </c>
      <c r="Z210" s="315" t="str">
        <f t="shared" ca="1" si="110"/>
        <v/>
      </c>
      <c r="AA210" s="316" t="str">
        <f t="shared" ca="1" si="111"/>
        <v/>
      </c>
      <c r="AC210" s="310" t="e">
        <f t="shared" ca="1" si="112"/>
        <v>#N/A</v>
      </c>
      <c r="AD210" s="323" t="e">
        <f t="shared" ca="1" si="113"/>
        <v>#N/A</v>
      </c>
      <c r="AE210" s="324">
        <f t="shared" ca="1" si="92"/>
        <v>1410.7130689442679</v>
      </c>
      <c r="AG210" s="306">
        <f t="shared" ca="1" si="114"/>
        <v>-27.090018728573305</v>
      </c>
      <c r="AH210" s="304">
        <f t="shared" ca="1" si="115"/>
        <v>-17.38853912982654</v>
      </c>
    </row>
    <row r="211" spans="1:34" x14ac:dyDescent="0.25">
      <c r="A211" s="347">
        <f t="shared" ca="1" si="93"/>
        <v>0.1</v>
      </c>
      <c r="B211" s="304">
        <f t="shared" ca="1" si="94"/>
        <v>8.3999999999999559</v>
      </c>
      <c r="D211" s="306">
        <f t="shared" ca="1" si="95"/>
        <v>-2.5099437956120867</v>
      </c>
      <c r="E211" s="307">
        <f t="shared" ca="1" si="96"/>
        <v>-26.448531613198185</v>
      </c>
      <c r="F211" s="304">
        <f t="shared" ca="1" si="97"/>
        <v>26.567360470161038</v>
      </c>
      <c r="G211" s="306">
        <f t="shared" ca="1" si="98"/>
        <v>25.525656686004059</v>
      </c>
      <c r="H211" s="307">
        <f t="shared" ca="1" si="99"/>
        <v>168.22973948357102</v>
      </c>
      <c r="I211" s="304">
        <f t="shared" ca="1" si="100"/>
        <v>170.1552361696869</v>
      </c>
      <c r="J211" s="306">
        <f t="shared" ca="1" si="101"/>
        <v>182.4784213913334</v>
      </c>
      <c r="K211" s="307">
        <f t="shared" ca="1" si="102"/>
        <v>1427.6682855506911</v>
      </c>
      <c r="L211" s="304">
        <f t="shared" ca="1" si="87"/>
        <v>1439.2828449754838</v>
      </c>
      <c r="M211" s="306">
        <f t="shared" ca="1" si="103"/>
        <v>1.4202139586625222</v>
      </c>
      <c r="N211" s="304">
        <f t="shared" ca="1" si="104"/>
        <v>81.372265836929685</v>
      </c>
      <c r="P211" s="310">
        <f t="shared" ca="1" si="105"/>
        <v>23</v>
      </c>
      <c r="Q211" s="304">
        <f t="shared" ca="1" si="106"/>
        <v>0</v>
      </c>
      <c r="R211" s="306">
        <f t="shared" ca="1" si="107"/>
        <v>0</v>
      </c>
      <c r="S211" s="307">
        <f t="shared" ca="1" si="108"/>
        <v>2.0842999999999985</v>
      </c>
      <c r="T211" s="304">
        <f t="shared" ca="1" si="88"/>
        <v>20.446982999999985</v>
      </c>
      <c r="U211" s="311">
        <f t="shared" ca="1" si="89"/>
        <v>0</v>
      </c>
      <c r="V211" s="306">
        <f t="shared" ca="1" si="90"/>
        <v>1.0617630461239753</v>
      </c>
      <c r="W211" s="304">
        <f t="shared" ca="1" si="91"/>
        <v>33.945698783365856</v>
      </c>
      <c r="Y211" s="314" t="str">
        <f t="shared" ca="1" si="109"/>
        <v/>
      </c>
      <c r="Z211" s="315" t="str">
        <f t="shared" ca="1" si="110"/>
        <v/>
      </c>
      <c r="AA211" s="316" t="str">
        <f t="shared" ca="1" si="111"/>
        <v/>
      </c>
      <c r="AC211" s="310" t="e">
        <f t="shared" ca="1" si="112"/>
        <v>#N/A</v>
      </c>
      <c r="AD211" s="323" t="e">
        <f t="shared" ca="1" si="113"/>
        <v>#N/A</v>
      </c>
      <c r="AE211" s="324">
        <f t="shared" ca="1" si="92"/>
        <v>1427.6682855506911</v>
      </c>
      <c r="AG211" s="306">
        <f t="shared" ca="1" si="114"/>
        <v>-26.527031671957577</v>
      </c>
      <c r="AH211" s="304">
        <f t="shared" ca="1" si="115"/>
        <v>-16.826780800275703</v>
      </c>
    </row>
    <row r="212" spans="1:34" x14ac:dyDescent="0.25">
      <c r="A212" s="347">
        <f t="shared" ca="1" si="93"/>
        <v>0.1</v>
      </c>
      <c r="B212" s="304">
        <f t="shared" ca="1" si="94"/>
        <v>8.4999999999999556</v>
      </c>
      <c r="D212" s="306">
        <f t="shared" ca="1" si="95"/>
        <v>-2.4431837452432585</v>
      </c>
      <c r="E212" s="307">
        <f t="shared" ca="1" si="96"/>
        <v>-25.912079959342741</v>
      </c>
      <c r="F212" s="304">
        <f t="shared" ca="1" si="97"/>
        <v>26.027005871448075</v>
      </c>
      <c r="G212" s="306">
        <f t="shared" ca="1" si="98"/>
        <v>25.281338311479733</v>
      </c>
      <c r="H212" s="307">
        <f t="shared" ca="1" si="99"/>
        <v>165.63853148763675</v>
      </c>
      <c r="I212" s="304">
        <f t="shared" ca="1" si="100"/>
        <v>167.55676405385825</v>
      </c>
      <c r="J212" s="306">
        <f t="shared" ca="1" si="101"/>
        <v>185.01877114120759</v>
      </c>
      <c r="K212" s="307">
        <f t="shared" ca="1" si="102"/>
        <v>1444.3616990992514</v>
      </c>
      <c r="L212" s="304">
        <f t="shared" ca="1" si="87"/>
        <v>1456.1636801882812</v>
      </c>
      <c r="M212" s="306">
        <f t="shared" ca="1" si="103"/>
        <v>1.4193356671125767</v>
      </c>
      <c r="N212" s="304">
        <f t="shared" ca="1" si="104"/>
        <v>81.321943437935801</v>
      </c>
      <c r="P212" s="310">
        <f t="shared" ca="1" si="105"/>
        <v>23</v>
      </c>
      <c r="Q212" s="304">
        <f t="shared" ca="1" si="106"/>
        <v>0</v>
      </c>
      <c r="R212" s="306">
        <f t="shared" ca="1" si="107"/>
        <v>0</v>
      </c>
      <c r="S212" s="307">
        <f t="shared" ca="1" si="108"/>
        <v>2.0842999999999985</v>
      </c>
      <c r="T212" s="304">
        <f t="shared" ca="1" si="88"/>
        <v>20.446982999999985</v>
      </c>
      <c r="U212" s="311">
        <f t="shared" ca="1" si="89"/>
        <v>0</v>
      </c>
      <c r="V212" s="306">
        <f t="shared" ca="1" si="90"/>
        <v>1.0599829100792586</v>
      </c>
      <c r="W212" s="304">
        <f t="shared" ca="1" si="91"/>
        <v>32.861645256582179</v>
      </c>
      <c r="Y212" s="314" t="str">
        <f t="shared" ca="1" si="109"/>
        <v/>
      </c>
      <c r="Z212" s="315" t="str">
        <f t="shared" ca="1" si="110"/>
        <v/>
      </c>
      <c r="AA212" s="316" t="str">
        <f t="shared" ca="1" si="111"/>
        <v/>
      </c>
      <c r="AC212" s="310" t="e">
        <f t="shared" ca="1" si="112"/>
        <v>#N/A</v>
      </c>
      <c r="AD212" s="323" t="e">
        <f t="shared" ca="1" si="113"/>
        <v>#N/A</v>
      </c>
      <c r="AE212" s="324">
        <f t="shared" ca="1" si="92"/>
        <v>1444.3616990992514</v>
      </c>
      <c r="AG212" s="306">
        <f t="shared" ca="1" si="114"/>
        <v>-25.985367421371741</v>
      </c>
      <c r="AH212" s="304">
        <f t="shared" ca="1" si="115"/>
        <v>-16.286378536374745</v>
      </c>
    </row>
    <row r="213" spans="1:34" x14ac:dyDescent="0.25">
      <c r="A213" s="347">
        <f t="shared" ca="1" si="93"/>
        <v>0.1</v>
      </c>
      <c r="B213" s="304">
        <f t="shared" ca="1" si="94"/>
        <v>8.5999999999999552</v>
      </c>
      <c r="D213" s="306">
        <f t="shared" ca="1" si="95"/>
        <v>-2.3788506152120039</v>
      </c>
      <c r="E213" s="307">
        <f t="shared" ca="1" si="96"/>
        <v>-25.395777844413274</v>
      </c>
      <c r="F213" s="304">
        <f t="shared" ca="1" si="97"/>
        <v>25.506949299598467</v>
      </c>
      <c r="G213" s="306">
        <f t="shared" ca="1" si="98"/>
        <v>25.043453249958532</v>
      </c>
      <c r="H213" s="307">
        <f t="shared" ca="1" si="99"/>
        <v>163.09895370319543</v>
      </c>
      <c r="I213" s="304">
        <f t="shared" ca="1" si="100"/>
        <v>165.0104337602927</v>
      </c>
      <c r="J213" s="306">
        <f t="shared" ca="1" si="101"/>
        <v>187.53501071927951</v>
      </c>
      <c r="K213" s="307">
        <f t="shared" ca="1" si="102"/>
        <v>1460.798573358793</v>
      </c>
      <c r="L213" s="304">
        <f t="shared" ca="1" si="87"/>
        <v>1472.7871034784916</v>
      </c>
      <c r="M213" s="306">
        <f t="shared" ca="1" si="103"/>
        <v>1.4184386602707144</v>
      </c>
      <c r="N213" s="304">
        <f t="shared" ca="1" si="104"/>
        <v>81.270548731702732</v>
      </c>
      <c r="P213" s="310">
        <f t="shared" ca="1" si="105"/>
        <v>23</v>
      </c>
      <c r="Q213" s="304">
        <f t="shared" ca="1" si="106"/>
        <v>0</v>
      </c>
      <c r="R213" s="306">
        <f t="shared" ca="1" si="107"/>
        <v>0</v>
      </c>
      <c r="S213" s="307">
        <f t="shared" ca="1" si="108"/>
        <v>2.0842999999999985</v>
      </c>
      <c r="T213" s="304">
        <f t="shared" ca="1" si="88"/>
        <v>20.446982999999985</v>
      </c>
      <c r="U213" s="311">
        <f t="shared" ca="1" si="89"/>
        <v>0</v>
      </c>
      <c r="V213" s="306">
        <f t="shared" ca="1" si="90"/>
        <v>1.0582328364904408</v>
      </c>
      <c r="W213" s="304">
        <f t="shared" ca="1" si="91"/>
        <v>31.81782993025335</v>
      </c>
      <c r="Y213" s="314" t="str">
        <f t="shared" ca="1" si="109"/>
        <v/>
      </c>
      <c r="Z213" s="315" t="str">
        <f t="shared" ca="1" si="110"/>
        <v/>
      </c>
      <c r="AA213" s="316" t="str">
        <f t="shared" ca="1" si="111"/>
        <v/>
      </c>
      <c r="AC213" s="310" t="e">
        <f t="shared" ca="1" si="112"/>
        <v>#N/A</v>
      </c>
      <c r="AD213" s="323" t="e">
        <f t="shared" ca="1" si="113"/>
        <v>#N/A</v>
      </c>
      <c r="AE213" s="324">
        <f t="shared" ca="1" si="92"/>
        <v>1460.798573358793</v>
      </c>
      <c r="AG213" s="306">
        <f t="shared" ca="1" si="114"/>
        <v>-25.463966790138521</v>
      </c>
      <c r="AH213" s="304">
        <f t="shared" ca="1" si="115"/>
        <v>-15.766274171943676</v>
      </c>
    </row>
    <row r="214" spans="1:34" x14ac:dyDescent="0.25">
      <c r="A214" s="347">
        <f t="shared" ca="1" si="93"/>
        <v>0.1</v>
      </c>
      <c r="B214" s="304">
        <f t="shared" ca="1" si="94"/>
        <v>8.6999999999999549</v>
      </c>
      <c r="D214" s="306">
        <f t="shared" ca="1" si="95"/>
        <v>-2.316824490718187</v>
      </c>
      <c r="E214" s="307">
        <f t="shared" ca="1" si="96"/>
        <v>-24.898639996191434</v>
      </c>
      <c r="F214" s="304">
        <f t="shared" ca="1" si="97"/>
        <v>25.00619821925627</v>
      </c>
      <c r="G214" s="306">
        <f t="shared" ca="1" si="98"/>
        <v>24.811770800886713</v>
      </c>
      <c r="H214" s="307">
        <f t="shared" ca="1" si="99"/>
        <v>160.6090897035763</v>
      </c>
      <c r="I214" s="304">
        <f t="shared" ca="1" si="100"/>
        <v>162.51431834053008</v>
      </c>
      <c r="J214" s="306">
        <f t="shared" ca="1" si="101"/>
        <v>190.02777192182177</v>
      </c>
      <c r="K214" s="307">
        <f t="shared" ca="1" si="102"/>
        <v>1476.9839755291316</v>
      </c>
      <c r="L214" s="304">
        <f t="shared" ca="1" si="87"/>
        <v>1489.1582246596265</v>
      </c>
      <c r="M214" s="306">
        <f t="shared" ca="1" si="103"/>
        <v>1.417522523646217</v>
      </c>
      <c r="N214" s="304">
        <f t="shared" ca="1" si="104"/>
        <v>81.218057969661672</v>
      </c>
      <c r="P214" s="310">
        <f t="shared" ca="1" si="105"/>
        <v>23</v>
      </c>
      <c r="Q214" s="304">
        <f t="shared" ca="1" si="106"/>
        <v>0</v>
      </c>
      <c r="R214" s="306">
        <f t="shared" ca="1" si="107"/>
        <v>0</v>
      </c>
      <c r="S214" s="307">
        <f t="shared" ca="1" si="108"/>
        <v>2.0842999999999985</v>
      </c>
      <c r="T214" s="304">
        <f t="shared" ca="1" si="88"/>
        <v>20.446982999999985</v>
      </c>
      <c r="U214" s="311">
        <f t="shared" ca="1" si="89"/>
        <v>0</v>
      </c>
      <c r="V214" s="306">
        <f t="shared" ca="1" si="90"/>
        <v>1.0565121553301238</v>
      </c>
      <c r="W214" s="304">
        <f t="shared" ca="1" si="91"/>
        <v>30.812310816022229</v>
      </c>
      <c r="Y214" s="314" t="str">
        <f t="shared" ca="1" si="109"/>
        <v/>
      </c>
      <c r="Z214" s="315" t="str">
        <f t="shared" ca="1" si="110"/>
        <v/>
      </c>
      <c r="AA214" s="316" t="str">
        <f t="shared" ca="1" si="111"/>
        <v/>
      </c>
      <c r="AC214" s="310" t="e">
        <f t="shared" ca="1" si="112"/>
        <v>#N/A</v>
      </c>
      <c r="AD214" s="323" t="e">
        <f t="shared" ca="1" si="113"/>
        <v>#N/A</v>
      </c>
      <c r="AE214" s="324">
        <f t="shared" ca="1" si="92"/>
        <v>1476.9839755291316</v>
      </c>
      <c r="AG214" s="306">
        <f t="shared" ca="1" si="114"/>
        <v>-24.961836194046683</v>
      </c>
      <c r="AH214" s="304">
        <f t="shared" ca="1" si="115"/>
        <v>-15.265475186035298</v>
      </c>
    </row>
    <row r="215" spans="1:34" x14ac:dyDescent="0.25">
      <c r="A215" s="347">
        <f t="shared" ca="1" si="93"/>
        <v>0.1</v>
      </c>
      <c r="B215" s="304">
        <f t="shared" ca="1" si="94"/>
        <v>8.7999999999999545</v>
      </c>
      <c r="D215" s="306">
        <f t="shared" ca="1" si="95"/>
        <v>-2.2569927900777667</v>
      </c>
      <c r="E215" s="307">
        <f t="shared" ca="1" si="96"/>
        <v>-24.419741496925738</v>
      </c>
      <c r="F215" s="304">
        <f t="shared" ca="1" si="97"/>
        <v>24.523820893799154</v>
      </c>
      <c r="G215" s="306">
        <f t="shared" ca="1" si="98"/>
        <v>24.586071521878935</v>
      </c>
      <c r="H215" s="307">
        <f t="shared" ca="1" si="99"/>
        <v>158.16711555388372</v>
      </c>
      <c r="I215" s="304">
        <f t="shared" ca="1" si="100"/>
        <v>160.06658413146246</v>
      </c>
      <c r="J215" s="306">
        <f t="shared" ca="1" si="101"/>
        <v>192.49766403796005</v>
      </c>
      <c r="K215" s="307">
        <f t="shared" ca="1" si="102"/>
        <v>1492.9227857920046</v>
      </c>
      <c r="L215" s="304">
        <f t="shared" ca="1" si="87"/>
        <v>1505.2819652799374</v>
      </c>
      <c r="M215" s="306">
        <f t="shared" ca="1" si="103"/>
        <v>1.4165868281828695</v>
      </c>
      <c r="N215" s="304">
        <f t="shared" ca="1" si="104"/>
        <v>81.164446568702317</v>
      </c>
      <c r="P215" s="310">
        <f t="shared" ca="1" si="105"/>
        <v>23</v>
      </c>
      <c r="Q215" s="304">
        <f t="shared" ca="1" si="106"/>
        <v>0</v>
      </c>
      <c r="R215" s="306">
        <f t="shared" ca="1" si="107"/>
        <v>0</v>
      </c>
      <c r="S215" s="307">
        <f t="shared" ca="1" si="108"/>
        <v>2.0842999999999985</v>
      </c>
      <c r="T215" s="304">
        <f t="shared" ca="1" si="88"/>
        <v>20.446982999999985</v>
      </c>
      <c r="U215" s="311">
        <f t="shared" ca="1" si="89"/>
        <v>0</v>
      </c>
      <c r="V215" s="306">
        <f t="shared" ca="1" si="90"/>
        <v>1.0548202221426894</v>
      </c>
      <c r="W215" s="304">
        <f t="shared" ca="1" si="91"/>
        <v>29.843263410443004</v>
      </c>
      <c r="Y215" s="314" t="str">
        <f t="shared" ca="1" si="109"/>
        <v/>
      </c>
      <c r="Z215" s="315" t="str">
        <f t="shared" ca="1" si="110"/>
        <v/>
      </c>
      <c r="AA215" s="316" t="str">
        <f t="shared" ca="1" si="111"/>
        <v/>
      </c>
      <c r="AC215" s="310" t="e">
        <f t="shared" ca="1" si="112"/>
        <v>#N/A</v>
      </c>
      <c r="AD215" s="323" t="e">
        <f t="shared" ca="1" si="113"/>
        <v>#N/A</v>
      </c>
      <c r="AE215" s="324">
        <f t="shared" ca="1" si="92"/>
        <v>1492.9227857920046</v>
      </c>
      <c r="AG215" s="306">
        <f t="shared" ca="1" si="114"/>
        <v>-24.478042802905797</v>
      </c>
      <c r="AH215" s="304">
        <f t="shared" ca="1" si="115"/>
        <v>-14.783049856557238</v>
      </c>
    </row>
    <row r="216" spans="1:34" x14ac:dyDescent="0.25">
      <c r="A216" s="347">
        <f t="shared" ca="1" si="93"/>
        <v>0.1</v>
      </c>
      <c r="B216" s="304">
        <f t="shared" ca="1" si="94"/>
        <v>8.8999999999999542</v>
      </c>
      <c r="D216" s="306">
        <f t="shared" ca="1" si="95"/>
        <v>-2.1992497298476712</v>
      </c>
      <c r="E216" s="307">
        <f t="shared" ca="1" si="96"/>
        <v>-23.958213383464546</v>
      </c>
      <c r="F216" s="304">
        <f t="shared" ca="1" si="97"/>
        <v>24.058941953083782</v>
      </c>
      <c r="G216" s="306">
        <f t="shared" ca="1" si="98"/>
        <v>24.366146548894168</v>
      </c>
      <c r="H216" s="307">
        <f t="shared" ca="1" si="99"/>
        <v>155.77129421553727</v>
      </c>
      <c r="I216" s="304">
        <f t="shared" ca="1" si="100"/>
        <v>157.66548512349067</v>
      </c>
      <c r="J216" s="306">
        <f t="shared" ca="1" si="101"/>
        <v>194.9452749414987</v>
      </c>
      <c r="K216" s="307">
        <f t="shared" ca="1" si="102"/>
        <v>1508.6197062804756</v>
      </c>
      <c r="L216" s="304">
        <f t="shared" ca="1" si="87"/>
        <v>1521.1630676557347</v>
      </c>
      <c r="M216" s="306">
        <f t="shared" ca="1" si="103"/>
        <v>1.415631129680031</v>
      </c>
      <c r="N216" s="304">
        <f t="shared" ca="1" si="104"/>
        <v>81.109689078002702</v>
      </c>
      <c r="P216" s="310">
        <f t="shared" ca="1" si="105"/>
        <v>23</v>
      </c>
      <c r="Q216" s="304">
        <f t="shared" ca="1" si="106"/>
        <v>0</v>
      </c>
      <c r="R216" s="306">
        <f t="shared" ca="1" si="107"/>
        <v>0</v>
      </c>
      <c r="S216" s="307">
        <f t="shared" ca="1" si="108"/>
        <v>2.0842999999999985</v>
      </c>
      <c r="T216" s="304">
        <f t="shared" ca="1" si="88"/>
        <v>20.446982999999985</v>
      </c>
      <c r="U216" s="311">
        <f t="shared" ca="1" si="89"/>
        <v>0</v>
      </c>
      <c r="V216" s="306">
        <f t="shared" ca="1" si="90"/>
        <v>1.0531564167826211</v>
      </c>
      <c r="W216" s="304">
        <f t="shared" ca="1" si="91"/>
        <v>28.908972236476917</v>
      </c>
      <c r="Y216" s="314" t="str">
        <f t="shared" ca="1" si="109"/>
        <v/>
      </c>
      <c r="Z216" s="315" t="str">
        <f t="shared" ca="1" si="110"/>
        <v/>
      </c>
      <c r="AA216" s="316" t="str">
        <f t="shared" ca="1" si="111"/>
        <v/>
      </c>
      <c r="AC216" s="310" t="e">
        <f t="shared" ca="1" si="112"/>
        <v>#N/A</v>
      </c>
      <c r="AD216" s="323" t="e">
        <f t="shared" ca="1" si="113"/>
        <v>#N/A</v>
      </c>
      <c r="AE216" s="324">
        <f t="shared" ca="1" si="92"/>
        <v>1508.6197062804756</v>
      </c>
      <c r="AG216" s="306">
        <f t="shared" ca="1" si="114"/>
        <v>-24.011710106107529</v>
      </c>
      <c r="AH216" s="304">
        <f t="shared" ca="1" si="115"/>
        <v>-14.318122828020451</v>
      </c>
    </row>
    <row r="217" spans="1:34" x14ac:dyDescent="0.25">
      <c r="A217" s="347">
        <f t="shared" ca="1" si="93"/>
        <v>0.1</v>
      </c>
      <c r="B217" s="304">
        <f t="shared" ca="1" si="94"/>
        <v>8.9999999999999538</v>
      </c>
      <c r="D217" s="306">
        <f t="shared" ca="1" si="95"/>
        <v>-2.1434958350919358</v>
      </c>
      <c r="E217" s="307">
        <f t="shared" ca="1" si="96"/>
        <v>-23.513238618707163</v>
      </c>
      <c r="F217" s="304">
        <f t="shared" ca="1" si="97"/>
        <v>23.610738335243109</v>
      </c>
      <c r="G217" s="306">
        <f t="shared" ca="1" si="98"/>
        <v>24.151796965384975</v>
      </c>
      <c r="H217" s="307">
        <f t="shared" ca="1" si="99"/>
        <v>153.41997035366654</v>
      </c>
      <c r="I217" s="304">
        <f t="shared" ca="1" si="100"/>
        <v>155.30935773473888</v>
      </c>
      <c r="J217" s="306">
        <f t="shared" ca="1" si="101"/>
        <v>197.37117211721267</v>
      </c>
      <c r="K217" s="307">
        <f t="shared" ca="1" si="102"/>
        <v>1524.0792695089358</v>
      </c>
      <c r="L217" s="304">
        <f t="shared" ca="1" si="87"/>
        <v>1536.8061033617134</v>
      </c>
      <c r="M217" s="306">
        <f t="shared" ca="1" si="103"/>
        <v>1.4146549681842651</v>
      </c>
      <c r="N217" s="304">
        <f t="shared" ca="1" si="104"/>
        <v>81.053759144172133</v>
      </c>
      <c r="P217" s="310">
        <f t="shared" ca="1" si="105"/>
        <v>23</v>
      </c>
      <c r="Q217" s="304">
        <f t="shared" ca="1" si="106"/>
        <v>0</v>
      </c>
      <c r="R217" s="306">
        <f t="shared" ca="1" si="107"/>
        <v>0</v>
      </c>
      <c r="S217" s="307">
        <f t="shared" ca="1" si="108"/>
        <v>2.0842999999999985</v>
      </c>
      <c r="T217" s="304">
        <f t="shared" ca="1" si="88"/>
        <v>20.446982999999985</v>
      </c>
      <c r="U217" s="311">
        <f t="shared" ca="1" si="89"/>
        <v>0</v>
      </c>
      <c r="V217" s="306">
        <f t="shared" ca="1" si="90"/>
        <v>1.0515201422303588</v>
      </c>
      <c r="W217" s="304">
        <f t="shared" ca="1" si="91"/>
        <v>28.007823090106154</v>
      </c>
      <c r="Y217" s="314" t="str">
        <f t="shared" ca="1" si="109"/>
        <v/>
      </c>
      <c r="Z217" s="315" t="str">
        <f t="shared" ca="1" si="110"/>
        <v/>
      </c>
      <c r="AA217" s="316" t="str">
        <f t="shared" ca="1" si="111"/>
        <v/>
      </c>
      <c r="AC217" s="310">
        <f t="shared" ca="1" si="112"/>
        <v>8.9999999999999538</v>
      </c>
      <c r="AD217" s="323">
        <f t="shared" ca="1" si="113"/>
        <v>197.37117211721267</v>
      </c>
      <c r="AE217" s="324">
        <f t="shared" ca="1" si="92"/>
        <v>1524.0792695089358</v>
      </c>
      <c r="AG217" s="306">
        <f t="shared" ca="1" si="114"/>
        <v>-23.562013852111463</v>
      </c>
      <c r="AH217" s="304">
        <f t="shared" ca="1" si="115"/>
        <v>-13.86987105334018</v>
      </c>
    </row>
    <row r="218" spans="1:34" x14ac:dyDescent="0.25">
      <c r="A218" s="347">
        <f t="shared" ca="1" si="93"/>
        <v>0.1</v>
      </c>
      <c r="B218" s="304">
        <f t="shared" ca="1" si="94"/>
        <v>9.0999999999999535</v>
      </c>
      <c r="D218" s="306">
        <f t="shared" ca="1" si="95"/>
        <v>-2.0896374904743502</v>
      </c>
      <c r="E218" s="307">
        <f t="shared" ca="1" si="96"/>
        <v>-23.084048398881734</v>
      </c>
      <c r="F218" s="304">
        <f t="shared" ca="1" si="97"/>
        <v>23.17843556678298</v>
      </c>
      <c r="G218" s="306">
        <f t="shared" ca="1" si="98"/>
        <v>23.94283321633754</v>
      </c>
      <c r="H218" s="307">
        <f t="shared" ca="1" si="99"/>
        <v>151.11156551377837</v>
      </c>
      <c r="I218" s="304">
        <f t="shared" ca="1" si="100"/>
        <v>152.99661595751158</v>
      </c>
      <c r="J218" s="306">
        <f t="shared" ca="1" si="101"/>
        <v>199.7759036262988</v>
      </c>
      <c r="K218" s="307">
        <f t="shared" ca="1" si="102"/>
        <v>1539.3058463023081</v>
      </c>
      <c r="L218" s="304">
        <f t="shared" ca="1" si="87"/>
        <v>1552.2154812171436</v>
      </c>
      <c r="M218" s="306">
        <f t="shared" ca="1" si="103"/>
        <v>1.4136578673498623</v>
      </c>
      <c r="N218" s="304">
        <f t="shared" ca="1" si="104"/>
        <v>80.996629474611893</v>
      </c>
      <c r="P218" s="310">
        <f t="shared" ca="1" si="105"/>
        <v>23</v>
      </c>
      <c r="Q218" s="304">
        <f t="shared" ca="1" si="106"/>
        <v>0</v>
      </c>
      <c r="R218" s="306">
        <f t="shared" ca="1" si="107"/>
        <v>0</v>
      </c>
      <c r="S218" s="307">
        <f t="shared" ca="1" si="108"/>
        <v>2.0842999999999985</v>
      </c>
      <c r="T218" s="304">
        <f t="shared" ca="1" si="88"/>
        <v>20.446982999999985</v>
      </c>
      <c r="U218" s="311">
        <f t="shared" ca="1" si="89"/>
        <v>0</v>
      </c>
      <c r="V218" s="306">
        <f t="shared" ca="1" si="90"/>
        <v>1.0499108234800389</v>
      </c>
      <c r="W218" s="304">
        <f t="shared" ca="1" si="91"/>
        <v>27.138295925484428</v>
      </c>
      <c r="Y218" s="314" t="str">
        <f t="shared" ca="1" si="109"/>
        <v/>
      </c>
      <c r="Z218" s="315" t="str">
        <f t="shared" ca="1" si="110"/>
        <v/>
      </c>
      <c r="AA218" s="316" t="str">
        <f t="shared" ca="1" si="111"/>
        <v/>
      </c>
      <c r="AC218" s="310" t="e">
        <f t="shared" ca="1" si="112"/>
        <v>#N/A</v>
      </c>
      <c r="AD218" s="323" t="e">
        <f t="shared" ca="1" si="113"/>
        <v>#N/A</v>
      </c>
      <c r="AE218" s="324">
        <f t="shared" ca="1" si="92"/>
        <v>1539.3058463023081</v>
      </c>
      <c r="AG218" s="306">
        <f t="shared" ca="1" si="114"/>
        <v>-23.128178326094414</v>
      </c>
      <c r="AH218" s="304">
        <f t="shared" ca="1" si="115"/>
        <v>-13.437520073936657</v>
      </c>
    </row>
    <row r="219" spans="1:34" x14ac:dyDescent="0.25">
      <c r="A219" s="347">
        <f t="shared" ca="1" si="93"/>
        <v>0.1</v>
      </c>
      <c r="B219" s="304">
        <f t="shared" ca="1" si="94"/>
        <v>9.1999999999999531</v>
      </c>
      <c r="D219" s="306">
        <f t="shared" ca="1" si="95"/>
        <v>-2.0375865283224215</v>
      </c>
      <c r="E219" s="307">
        <f t="shared" ca="1" si="96"/>
        <v>-22.669918764939069</v>
      </c>
      <c r="F219" s="304">
        <f t="shared" ca="1" si="97"/>
        <v>22.761304349033637</v>
      </c>
      <c r="G219" s="306">
        <f t="shared" ca="1" si="98"/>
        <v>23.739074563505298</v>
      </c>
      <c r="H219" s="307">
        <f t="shared" ca="1" si="99"/>
        <v>148.84457363728447</v>
      </c>
      <c r="I219" s="304">
        <f t="shared" ca="1" si="100"/>
        <v>150.72574684637215</v>
      </c>
      <c r="J219" s="306">
        <f t="shared" ca="1" si="101"/>
        <v>202.15999901529094</v>
      </c>
      <c r="K219" s="307">
        <f t="shared" ca="1" si="102"/>
        <v>1554.3036532598612</v>
      </c>
      <c r="L219" s="304">
        <f t="shared" ca="1" si="87"/>
        <v>1567.3954548035454</v>
      </c>
      <c r="M219" s="306">
        <f t="shared" ca="1" si="103"/>
        <v>1.4126393337664669</v>
      </c>
      <c r="N219" s="304">
        <f t="shared" ca="1" si="104"/>
        <v>80.938271798990996</v>
      </c>
      <c r="P219" s="310">
        <f t="shared" ca="1" si="105"/>
        <v>23</v>
      </c>
      <c r="Q219" s="304">
        <f t="shared" ca="1" si="106"/>
        <v>0</v>
      </c>
      <c r="R219" s="306">
        <f t="shared" ca="1" si="107"/>
        <v>0</v>
      </c>
      <c r="S219" s="307">
        <f t="shared" ca="1" si="108"/>
        <v>2.0842999999999985</v>
      </c>
      <c r="T219" s="304">
        <f t="shared" ca="1" si="88"/>
        <v>20.446982999999985</v>
      </c>
      <c r="U219" s="311">
        <f t="shared" ca="1" si="89"/>
        <v>0</v>
      </c>
      <c r="V219" s="306">
        <f t="shared" ca="1" si="90"/>
        <v>1.0483279064939439</v>
      </c>
      <c r="W219" s="304">
        <f t="shared" ca="1" si="91"/>
        <v>26.298958319050541</v>
      </c>
      <c r="Y219" s="314" t="str">
        <f t="shared" ca="1" si="109"/>
        <v/>
      </c>
      <c r="Z219" s="315" t="str">
        <f t="shared" ca="1" si="110"/>
        <v/>
      </c>
      <c r="AA219" s="316" t="str">
        <f t="shared" ca="1" si="111"/>
        <v/>
      </c>
      <c r="AC219" s="310" t="e">
        <f t="shared" ca="1" si="112"/>
        <v>#N/A</v>
      </c>
      <c r="AD219" s="323" t="e">
        <f t="shared" ca="1" si="113"/>
        <v>#N/A</v>
      </c>
      <c r="AE219" s="324">
        <f t="shared" ca="1" si="92"/>
        <v>1554.3036532598612</v>
      </c>
      <c r="AG219" s="306">
        <f t="shared" ca="1" si="114"/>
        <v>-22.709472933809813</v>
      </c>
      <c r="AH219" s="304">
        <f t="shared" ca="1" si="115"/>
        <v>-13.020340606191262</v>
      </c>
    </row>
    <row r="220" spans="1:34" x14ac:dyDescent="0.25">
      <c r="A220" s="347">
        <f t="shared" ca="1" si="93"/>
        <v>0.1</v>
      </c>
      <c r="B220" s="304">
        <f t="shared" ca="1" si="94"/>
        <v>9.2999999999999527</v>
      </c>
      <c r="D220" s="306">
        <f t="shared" ca="1" si="95"/>
        <v>-1.9872598502133285</v>
      </c>
      <c r="E220" s="307">
        <f t="shared" ca="1" si="96"/>
        <v>-22.2701674896892</v>
      </c>
      <c r="F220" s="304">
        <f t="shared" ca="1" si="97"/>
        <v>22.358657422373994</v>
      </c>
      <c r="G220" s="306">
        <f t="shared" ca="1" si="98"/>
        <v>23.540348578483965</v>
      </c>
      <c r="H220" s="307">
        <f t="shared" ca="1" si="99"/>
        <v>146.61755688831556</v>
      </c>
      <c r="I220" s="304">
        <f t="shared" ca="1" si="100"/>
        <v>148.49530632008199</v>
      </c>
      <c r="J220" s="306">
        <f t="shared" ca="1" si="101"/>
        <v>204.52397017239039</v>
      </c>
      <c r="K220" s="307">
        <f t="shared" ca="1" si="102"/>
        <v>1569.0767597861413</v>
      </c>
      <c r="L220" s="304">
        <f t="shared" ca="1" si="87"/>
        <v>1582.3501295465719</v>
      </c>
      <c r="M220" s="306">
        <f t="shared" ca="1" si="103"/>
        <v>1.4115988562519011</v>
      </c>
      <c r="N220" s="304">
        <f t="shared" ca="1" si="104"/>
        <v>80.878656828728111</v>
      </c>
      <c r="P220" s="310">
        <f t="shared" ca="1" si="105"/>
        <v>23</v>
      </c>
      <c r="Q220" s="304">
        <f t="shared" ca="1" si="106"/>
        <v>0</v>
      </c>
      <c r="R220" s="306">
        <f t="shared" ca="1" si="107"/>
        <v>0</v>
      </c>
      <c r="S220" s="307">
        <f t="shared" ca="1" si="108"/>
        <v>2.0842999999999985</v>
      </c>
      <c r="T220" s="304">
        <f t="shared" ca="1" si="88"/>
        <v>20.446982999999985</v>
      </c>
      <c r="U220" s="311">
        <f t="shared" ca="1" si="89"/>
        <v>0</v>
      </c>
      <c r="V220" s="306">
        <f t="shared" ca="1" si="90"/>
        <v>1.0467708572189178</v>
      </c>
      <c r="W220" s="304">
        <f t="shared" ca="1" si="91"/>
        <v>25.488459459227098</v>
      </c>
      <c r="Y220" s="314" t="str">
        <f t="shared" ca="1" si="109"/>
        <v/>
      </c>
      <c r="Z220" s="315" t="str">
        <f t="shared" ca="1" si="110"/>
        <v/>
      </c>
      <c r="AA220" s="316" t="str">
        <f t="shared" ca="1" si="111"/>
        <v/>
      </c>
      <c r="AC220" s="310" t="e">
        <f t="shared" ca="1" si="112"/>
        <v>#N/A</v>
      </c>
      <c r="AD220" s="323" t="e">
        <f t="shared" ca="1" si="113"/>
        <v>#N/A</v>
      </c>
      <c r="AE220" s="324">
        <f t="shared" ca="1" si="92"/>
        <v>1569.0767597861413</v>
      </c>
      <c r="AG220" s="306">
        <f t="shared" ca="1" si="114"/>
        <v>-22.305209063065242</v>
      </c>
      <c r="AH220" s="304">
        <f t="shared" ca="1" si="115"/>
        <v>-12.617645405676035</v>
      </c>
    </row>
    <row r="221" spans="1:34" x14ac:dyDescent="0.25">
      <c r="A221" s="347">
        <f t="shared" ca="1" si="93"/>
        <v>0.1</v>
      </c>
      <c r="B221" s="304">
        <f t="shared" ca="1" si="94"/>
        <v>9.3999999999999524</v>
      </c>
      <c r="D221" s="306">
        <f t="shared" ca="1" si="95"/>
        <v>-1.9385790789913027</v>
      </c>
      <c r="E221" s="307">
        <f t="shared" ca="1" si="96"/>
        <v>-21.884151215258278</v>
      </c>
      <c r="F221" s="304">
        <f t="shared" ca="1" si="97"/>
        <v>21.969846682619181</v>
      </c>
      <c r="G221" s="306">
        <f t="shared" ca="1" si="98"/>
        <v>23.346490670584835</v>
      </c>
      <c r="H221" s="307">
        <f t="shared" ca="1" si="99"/>
        <v>144.42914176678974</v>
      </c>
      <c r="I221" s="304">
        <f t="shared" ca="1" si="100"/>
        <v>146.3039152522008</v>
      </c>
      <c r="J221" s="306">
        <f t="shared" ca="1" si="101"/>
        <v>206.86831213484382</v>
      </c>
      <c r="K221" s="307">
        <f t="shared" ca="1" si="102"/>
        <v>1583.6290947188966</v>
      </c>
      <c r="L221" s="304">
        <f t="shared" ca="1" si="87"/>
        <v>1597.083469392164</v>
      </c>
      <c r="M221" s="306">
        <f t="shared" ca="1" si="103"/>
        <v>1.4105359051081547</v>
      </c>
      <c r="N221" s="304">
        <f t="shared" ca="1" si="104"/>
        <v>80.81775421436285</v>
      </c>
      <c r="P221" s="310">
        <f t="shared" ca="1" si="105"/>
        <v>23</v>
      </c>
      <c r="Q221" s="304">
        <f t="shared" ca="1" si="106"/>
        <v>0</v>
      </c>
      <c r="R221" s="306">
        <f t="shared" ca="1" si="107"/>
        <v>0</v>
      </c>
      <c r="S221" s="307">
        <f t="shared" ca="1" si="108"/>
        <v>2.0842999999999985</v>
      </c>
      <c r="T221" s="304">
        <f t="shared" ca="1" si="88"/>
        <v>20.446982999999985</v>
      </c>
      <c r="U221" s="311">
        <f t="shared" ca="1" si="89"/>
        <v>0</v>
      </c>
      <c r="V221" s="306">
        <f t="shared" ca="1" si="90"/>
        <v>1.0452391606603992</v>
      </c>
      <c r="W221" s="304">
        <f t="shared" ca="1" si="91"/>
        <v>24.705524613813555</v>
      </c>
      <c r="Y221" s="314" t="str">
        <f t="shared" ca="1" si="109"/>
        <v/>
      </c>
      <c r="Z221" s="315" t="str">
        <f t="shared" ca="1" si="110"/>
        <v/>
      </c>
      <c r="AA221" s="316" t="str">
        <f t="shared" ca="1" si="111"/>
        <v/>
      </c>
      <c r="AC221" s="310" t="e">
        <f t="shared" ca="1" si="112"/>
        <v>#N/A</v>
      </c>
      <c r="AD221" s="323" t="e">
        <f t="shared" ca="1" si="113"/>
        <v>#N/A</v>
      </c>
      <c r="AE221" s="324">
        <f t="shared" ca="1" si="92"/>
        <v>1583.6290947188966</v>
      </c>
      <c r="AG221" s="306">
        <f t="shared" ca="1" si="114"/>
        <v>-21.914737197198207</v>
      </c>
      <c r="AH221" s="304">
        <f t="shared" ca="1" si="115"/>
        <v>-12.22878638354705</v>
      </c>
    </row>
    <row r="222" spans="1:34" x14ac:dyDescent="0.25">
      <c r="A222" s="347">
        <f t="shared" ca="1" si="93"/>
        <v>0.1</v>
      </c>
      <c r="B222" s="304">
        <f t="shared" ca="1" si="94"/>
        <v>9.499999999999952</v>
      </c>
      <c r="D222" s="306">
        <f t="shared" ca="1" si="95"/>
        <v>-1.8914702384435449</v>
      </c>
      <c r="E222" s="307">
        <f t="shared" ca="1" si="96"/>
        <v>-21.511262818056888</v>
      </c>
      <c r="F222" s="304">
        <f t="shared" ca="1" si="97"/>
        <v>21.594260526594432</v>
      </c>
      <c r="G222" s="306">
        <f t="shared" ca="1" si="98"/>
        <v>23.157343646740479</v>
      </c>
      <c r="H222" s="307">
        <f t="shared" ca="1" si="99"/>
        <v>142.27801548498405</v>
      </c>
      <c r="I222" s="304">
        <f t="shared" ca="1" si="100"/>
        <v>144.15025582744761</v>
      </c>
      <c r="J222" s="306">
        <f t="shared" ca="1" si="101"/>
        <v>209.19350385071007</v>
      </c>
      <c r="K222" s="307">
        <f t="shared" ca="1" si="102"/>
        <v>1597.9644525814851</v>
      </c>
      <c r="L222" s="304">
        <f t="shared" ca="1" si="87"/>
        <v>1611.5993031046467</v>
      </c>
      <c r="M222" s="306">
        <f t="shared" ca="1" si="103"/>
        <v>1.4094499313383628</v>
      </c>
      <c r="N222" s="304">
        <f t="shared" ca="1" si="104"/>
        <v>80.755532500691857</v>
      </c>
      <c r="P222" s="310">
        <f t="shared" ca="1" si="105"/>
        <v>23</v>
      </c>
      <c r="Q222" s="304">
        <f t="shared" ca="1" si="106"/>
        <v>0</v>
      </c>
      <c r="R222" s="306">
        <f t="shared" ca="1" si="107"/>
        <v>0</v>
      </c>
      <c r="S222" s="307">
        <f t="shared" ca="1" si="108"/>
        <v>2.0842999999999985</v>
      </c>
      <c r="T222" s="304">
        <f t="shared" ca="1" si="88"/>
        <v>20.446982999999985</v>
      </c>
      <c r="U222" s="311">
        <f t="shared" ca="1" si="89"/>
        <v>0</v>
      </c>
      <c r="V222" s="306">
        <f t="shared" ca="1" si="90"/>
        <v>1.0437323200100603</v>
      </c>
      <c r="W222" s="304">
        <f t="shared" ca="1" si="91"/>
        <v>23.948950032048206</v>
      </c>
      <c r="Y222" s="314" t="str">
        <f t="shared" ca="1" si="109"/>
        <v/>
      </c>
      <c r="Z222" s="315" t="str">
        <f t="shared" ca="1" si="110"/>
        <v/>
      </c>
      <c r="AA222" s="316" t="str">
        <f t="shared" ca="1" si="111"/>
        <v/>
      </c>
      <c r="AC222" s="310" t="e">
        <f t="shared" ca="1" si="112"/>
        <v>#N/A</v>
      </c>
      <c r="AD222" s="323" t="e">
        <f t="shared" ca="1" si="113"/>
        <v>#N/A</v>
      </c>
      <c r="AE222" s="324">
        <f t="shared" ca="1" si="92"/>
        <v>1597.9644525814851</v>
      </c>
      <c r="AG222" s="306">
        <f t="shared" ca="1" si="114"/>
        <v>-21.537444257561816</v>
      </c>
      <c r="AH222" s="304">
        <f t="shared" ca="1" si="115"/>
        <v>-11.85315195212473</v>
      </c>
    </row>
    <row r="223" spans="1:34" x14ac:dyDescent="0.25">
      <c r="A223" s="347">
        <f t="shared" ca="1" si="93"/>
        <v>0.1</v>
      </c>
      <c r="B223" s="304">
        <f t="shared" ca="1" si="94"/>
        <v>9.5999999999999517</v>
      </c>
      <c r="D223" s="306">
        <f t="shared" ca="1" si="95"/>
        <v>-1.8458634581435942</v>
      </c>
      <c r="E223" s="307">
        <f t="shared" ca="1" si="96"/>
        <v>-21.150928980767898</v>
      </c>
      <c r="F223" s="304">
        <f t="shared" ca="1" si="97"/>
        <v>21.231321406252537</v>
      </c>
      <c r="G223" s="306">
        <f t="shared" ca="1" si="98"/>
        <v>22.972757300926119</v>
      </c>
      <c r="H223" s="307">
        <f t="shared" ca="1" si="99"/>
        <v>140.16292258690726</v>
      </c>
      <c r="I223" s="304">
        <f t="shared" ca="1" si="100"/>
        <v>142.03306814298779</v>
      </c>
      <c r="J223" s="306">
        <f t="shared" ca="1" si="101"/>
        <v>211.5000088980934</v>
      </c>
      <c r="K223" s="307">
        <f t="shared" ca="1" si="102"/>
        <v>1612.0864994850797</v>
      </c>
      <c r="L223" s="304">
        <f t="shared" ca="1" si="87"/>
        <v>1625.9013302122462</v>
      </c>
      <c r="M223" s="306">
        <f t="shared" ca="1" si="103"/>
        <v>1.4083403658224463</v>
      </c>
      <c r="N223" s="304">
        <f t="shared" ca="1" si="104"/>
        <v>80.691959079536574</v>
      </c>
      <c r="P223" s="310">
        <f t="shared" ca="1" si="105"/>
        <v>23</v>
      </c>
      <c r="Q223" s="304">
        <f t="shared" ca="1" si="106"/>
        <v>0</v>
      </c>
      <c r="R223" s="306">
        <f t="shared" ca="1" si="107"/>
        <v>0</v>
      </c>
      <c r="S223" s="307">
        <f t="shared" ca="1" si="108"/>
        <v>2.0842999999999985</v>
      </c>
      <c r="T223" s="304">
        <f t="shared" ca="1" si="88"/>
        <v>20.446982999999985</v>
      </c>
      <c r="U223" s="311">
        <f t="shared" ca="1" si="89"/>
        <v>0</v>
      </c>
      <c r="V223" s="306">
        <f t="shared" ca="1" si="90"/>
        <v>1.0422498558233819</v>
      </c>
      <c r="W223" s="304">
        <f t="shared" ca="1" si="91"/>
        <v>23.217598242636004</v>
      </c>
      <c r="Y223" s="314" t="str">
        <f t="shared" ca="1" si="109"/>
        <v/>
      </c>
      <c r="Z223" s="315" t="str">
        <f t="shared" ca="1" si="110"/>
        <v/>
      </c>
      <c r="AA223" s="316" t="str">
        <f t="shared" ca="1" si="111"/>
        <v/>
      </c>
      <c r="AC223" s="310" t="e">
        <f t="shared" ca="1" si="112"/>
        <v>#N/A</v>
      </c>
      <c r="AD223" s="323" t="e">
        <f t="shared" ca="1" si="113"/>
        <v>#N/A</v>
      </c>
      <c r="AE223" s="324">
        <f t="shared" ca="1" si="92"/>
        <v>1612.0864994850797</v>
      </c>
      <c r="AG223" s="306">
        <f t="shared" ca="1" si="114"/>
        <v>-21.172751154365578</v>
      </c>
      <c r="AH223" s="304">
        <f t="shared" ca="1" si="115"/>
        <v>-11.490164579018483</v>
      </c>
    </row>
    <row r="224" spans="1:34" x14ac:dyDescent="0.25">
      <c r="A224" s="347">
        <f t="shared" ca="1" si="93"/>
        <v>0.1</v>
      </c>
      <c r="B224" s="304">
        <f t="shared" ca="1" si="94"/>
        <v>9.6999999999999513</v>
      </c>
      <c r="D224" s="306">
        <f t="shared" ca="1" si="95"/>
        <v>-1.8016927012213104</v>
      </c>
      <c r="E224" s="307">
        <f t="shared" ca="1" si="96"/>
        <v>-20.802607952920734</v>
      </c>
      <c r="F224" s="304">
        <f t="shared" ca="1" si="97"/>
        <v>20.880483572766103</v>
      </c>
      <c r="G224" s="306">
        <f t="shared" ca="1" si="98"/>
        <v>22.792588030803987</v>
      </c>
      <c r="H224" s="307">
        <f t="shared" ca="1" si="99"/>
        <v>138.08266179161518</v>
      </c>
      <c r="I224" s="304">
        <f t="shared" ca="1" si="100"/>
        <v>139.95114703566932</v>
      </c>
      <c r="J224" s="306">
        <f t="shared" ca="1" si="101"/>
        <v>213.7882761646799</v>
      </c>
      <c r="K224" s="307">
        <f t="shared" ca="1" si="102"/>
        <v>1625.9987787040059</v>
      </c>
      <c r="L224" s="304">
        <f t="shared" ca="1" si="87"/>
        <v>1639.9931266235185</v>
      </c>
      <c r="M224" s="306">
        <f t="shared" ca="1" si="103"/>
        <v>1.4072066184489296</v>
      </c>
      <c r="N224" s="304">
        <f t="shared" ca="1" si="104"/>
        <v>80.627000140000035</v>
      </c>
      <c r="P224" s="310">
        <f t="shared" ca="1" si="105"/>
        <v>23</v>
      </c>
      <c r="Q224" s="304">
        <f t="shared" ca="1" si="106"/>
        <v>0</v>
      </c>
      <c r="R224" s="306">
        <f t="shared" ca="1" si="107"/>
        <v>0</v>
      </c>
      <c r="S224" s="307">
        <f t="shared" ca="1" si="108"/>
        <v>2.0842999999999985</v>
      </c>
      <c r="T224" s="304">
        <f t="shared" ca="1" si="88"/>
        <v>20.446982999999985</v>
      </c>
      <c r="U224" s="311">
        <f t="shared" ca="1" si="89"/>
        <v>0</v>
      </c>
      <c r="V224" s="306">
        <f t="shared" ca="1" si="90"/>
        <v>1.0407913052437738</v>
      </c>
      <c r="W224" s="304">
        <f t="shared" ca="1" si="91"/>
        <v>22.510393712882337</v>
      </c>
      <c r="Y224" s="314" t="str">
        <f t="shared" ca="1" si="109"/>
        <v/>
      </c>
      <c r="Z224" s="315" t="str">
        <f t="shared" ca="1" si="110"/>
        <v/>
      </c>
      <c r="AA224" s="316" t="str">
        <f t="shared" ca="1" si="111"/>
        <v/>
      </c>
      <c r="AC224" s="310" t="e">
        <f t="shared" ca="1" si="112"/>
        <v>#N/A</v>
      </c>
      <c r="AD224" s="323" t="e">
        <f t="shared" ca="1" si="113"/>
        <v>#N/A</v>
      </c>
      <c r="AE224" s="324">
        <f t="shared" ca="1" si="92"/>
        <v>1625.9987787040059</v>
      </c>
      <c r="AG224" s="306">
        <f t="shared" ca="1" si="114"/>
        <v>-20.820110527289295</v>
      </c>
      <c r="AH224" s="304">
        <f t="shared" ca="1" si="115"/>
        <v>-11.1392785312268</v>
      </c>
    </row>
    <row r="225" spans="1:34" x14ac:dyDescent="0.25">
      <c r="A225" s="347">
        <f t="shared" ca="1" si="93"/>
        <v>0.1</v>
      </c>
      <c r="B225" s="304">
        <f t="shared" ca="1" si="94"/>
        <v>9.799999999999951</v>
      </c>
      <c r="D225" s="306">
        <f t="shared" ca="1" si="95"/>
        <v>-1.7588955130411901</v>
      </c>
      <c r="E225" s="307">
        <f t="shared" ca="1" si="96"/>
        <v>-20.465787483449244</v>
      </c>
      <c r="F225" s="304">
        <f t="shared" ca="1" si="97"/>
        <v>20.54123099386948</v>
      </c>
      <c r="G225" s="306">
        <f t="shared" ca="1" si="98"/>
        <v>22.616698479499867</v>
      </c>
      <c r="H225" s="307">
        <f t="shared" ca="1" si="99"/>
        <v>136.03608304327025</v>
      </c>
      <c r="I225" s="304">
        <f t="shared" ca="1" si="100"/>
        <v>137.90333911790583</v>
      </c>
      <c r="J225" s="306">
        <f t="shared" ca="1" si="101"/>
        <v>216.05874049019511</v>
      </c>
      <c r="K225" s="307">
        <f t="shared" ca="1" si="102"/>
        <v>1639.7047159457502</v>
      </c>
      <c r="L225" s="304">
        <f t="shared" ca="1" si="87"/>
        <v>1653.8781499363679</v>
      </c>
      <c r="M225" s="306">
        <f t="shared" ca="1" si="103"/>
        <v>1.4060480772002752</v>
      </c>
      <c r="N225" s="304">
        <f t="shared" ca="1" si="104"/>
        <v>80.560620616060319</v>
      </c>
      <c r="P225" s="310">
        <f t="shared" ca="1" si="105"/>
        <v>23</v>
      </c>
      <c r="Q225" s="304">
        <f t="shared" ca="1" si="106"/>
        <v>0</v>
      </c>
      <c r="R225" s="306">
        <f t="shared" ca="1" si="107"/>
        <v>0</v>
      </c>
      <c r="S225" s="307">
        <f t="shared" ca="1" si="108"/>
        <v>2.0842999999999985</v>
      </c>
      <c r="T225" s="304">
        <f t="shared" ca="1" si="88"/>
        <v>20.446982999999985</v>
      </c>
      <c r="U225" s="311">
        <f t="shared" ca="1" si="89"/>
        <v>0</v>
      </c>
      <c r="V225" s="306">
        <f t="shared" ca="1" si="90"/>
        <v>1.0393562212701146</v>
      </c>
      <c r="W225" s="304">
        <f t="shared" ca="1" si="91"/>
        <v>21.826318837496391</v>
      </c>
      <c r="Y225" s="314" t="str">
        <f t="shared" ca="1" si="109"/>
        <v/>
      </c>
      <c r="Z225" s="315" t="str">
        <f t="shared" ca="1" si="110"/>
        <v/>
      </c>
      <c r="AA225" s="316" t="str">
        <f t="shared" ca="1" si="111"/>
        <v/>
      </c>
      <c r="AC225" s="310" t="e">
        <f t="shared" ca="1" si="112"/>
        <v>#N/A</v>
      </c>
      <c r="AD225" s="323" t="e">
        <f t="shared" ca="1" si="113"/>
        <v>#N/A</v>
      </c>
      <c r="AE225" s="324">
        <f t="shared" ca="1" si="92"/>
        <v>1639.7047159457502</v>
      </c>
      <c r="AG225" s="306">
        <f t="shared" ca="1" si="114"/>
        <v>-20.479004659130794</v>
      </c>
      <c r="AH225" s="304">
        <f t="shared" ca="1" si="115"/>
        <v>-10.799977792487816</v>
      </c>
    </row>
    <row r="226" spans="1:34" x14ac:dyDescent="0.25">
      <c r="A226" s="347">
        <f t="shared" ca="1" si="93"/>
        <v>0.1</v>
      </c>
      <c r="B226" s="304">
        <f t="shared" ca="1" si="94"/>
        <v>9.8999999999999506</v>
      </c>
      <c r="D226" s="306">
        <f t="shared" ca="1" si="95"/>
        <v>-1.717412788968967</v>
      </c>
      <c r="E226" s="307">
        <f t="shared" ca="1" si="96"/>
        <v>-20.139982910260876</v>
      </c>
      <c r="F226" s="304">
        <f t="shared" ca="1" si="97"/>
        <v>20.213075429367851</v>
      </c>
      <c r="G226" s="306">
        <f t="shared" ca="1" si="98"/>
        <v>22.444957200602971</v>
      </c>
      <c r="H226" s="307">
        <f t="shared" ca="1" si="99"/>
        <v>134.02208475224415</v>
      </c>
      <c r="I226" s="304">
        <f t="shared" ca="1" si="100"/>
        <v>135.88854000641339</v>
      </c>
      <c r="J226" s="306">
        <f t="shared" ca="1" si="101"/>
        <v>218.31182327420024</v>
      </c>
      <c r="K226" s="307">
        <f t="shared" ca="1" si="102"/>
        <v>1653.2076243355259</v>
      </c>
      <c r="L226" s="304">
        <f t="shared" ca="1" si="87"/>
        <v>1667.5597444596758</v>
      </c>
      <c r="M226" s="306">
        <f t="shared" ca="1" si="103"/>
        <v>1.4048641071888874</v>
      </c>
      <c r="N226" s="304">
        <f t="shared" ca="1" si="104"/>
        <v>80.492784131337743</v>
      </c>
      <c r="P226" s="310">
        <f t="shared" ca="1" si="105"/>
        <v>23</v>
      </c>
      <c r="Q226" s="304">
        <f t="shared" ca="1" si="106"/>
        <v>0</v>
      </c>
      <c r="R226" s="306">
        <f t="shared" ca="1" si="107"/>
        <v>0</v>
      </c>
      <c r="S226" s="307">
        <f t="shared" ca="1" si="108"/>
        <v>2.0842999999999985</v>
      </c>
      <c r="T226" s="304">
        <f t="shared" ca="1" si="88"/>
        <v>20.446982999999985</v>
      </c>
      <c r="U226" s="311">
        <f t="shared" ca="1" si="89"/>
        <v>0</v>
      </c>
      <c r="V226" s="306">
        <f t="shared" ca="1" si="90"/>
        <v>1.0379441720648384</v>
      </c>
      <c r="W226" s="304">
        <f t="shared" ca="1" si="91"/>
        <v>21.16441022868111</v>
      </c>
      <c r="Y226" s="314" t="str">
        <f t="shared" ca="1" si="109"/>
        <v/>
      </c>
      <c r="Z226" s="315" t="str">
        <f t="shared" ca="1" si="110"/>
        <v/>
      </c>
      <c r="AA226" s="316" t="str">
        <f t="shared" ca="1" si="111"/>
        <v/>
      </c>
      <c r="AC226" s="310" t="e">
        <f t="shared" ca="1" si="112"/>
        <v>#N/A</v>
      </c>
      <c r="AD226" s="323" t="e">
        <f t="shared" ca="1" si="113"/>
        <v>#N/A</v>
      </c>
      <c r="AE226" s="324">
        <f t="shared" ca="1" si="92"/>
        <v>1653.2076243355259</v>
      </c>
      <c r="AG226" s="306">
        <f t="shared" ca="1" si="114"/>
        <v>-20.148943547389834</v>
      </c>
      <c r="AH226" s="304">
        <f t="shared" ca="1" si="115"/>
        <v>-10.471774138797873</v>
      </c>
    </row>
    <row r="227" spans="1:34" x14ac:dyDescent="0.25">
      <c r="A227" s="347">
        <f t="shared" ca="1" si="93"/>
        <v>0.1</v>
      </c>
      <c r="B227" s="304">
        <f t="shared" ca="1" si="94"/>
        <v>9.9999999999999503</v>
      </c>
      <c r="D227" s="306">
        <f t="shared" ca="1" si="95"/>
        <v>-1.6771885595832734</v>
      </c>
      <c r="E227" s="307">
        <f t="shared" ca="1" si="96"/>
        <v>-19.824735393299179</v>
      </c>
      <c r="F227" s="304">
        <f t="shared" ca="1" si="97"/>
        <v>19.895554651195983</v>
      </c>
      <c r="G227" s="306">
        <f t="shared" ca="1" si="98"/>
        <v>22.277238344644644</v>
      </c>
      <c r="H227" s="307">
        <f t="shared" ca="1" si="99"/>
        <v>132.03961121291422</v>
      </c>
      <c r="I227" s="304">
        <f t="shared" ca="1" si="100"/>
        <v>133.90569172937217</v>
      </c>
      <c r="J227" s="306">
        <f t="shared" ca="1" si="101"/>
        <v>220.54793305146262</v>
      </c>
      <c r="K227" s="307">
        <f t="shared" ca="1" si="102"/>
        <v>1666.5107091337838</v>
      </c>
      <c r="L227" s="304">
        <f t="shared" ca="1" si="87"/>
        <v>1681.0411459660527</v>
      </c>
      <c r="M227" s="306">
        <f t="shared" ca="1" si="103"/>
        <v>1.4036540496407341</v>
      </c>
      <c r="N227" s="304">
        <f t="shared" ca="1" si="104"/>
        <v>80.423452940860614</v>
      </c>
      <c r="P227" s="310">
        <f t="shared" ca="1" si="105"/>
        <v>23</v>
      </c>
      <c r="Q227" s="304">
        <f t="shared" ca="1" si="106"/>
        <v>0</v>
      </c>
      <c r="R227" s="306">
        <f t="shared" ca="1" si="107"/>
        <v>0</v>
      </c>
      <c r="S227" s="307">
        <f t="shared" ca="1" si="108"/>
        <v>2.0842999999999985</v>
      </c>
      <c r="T227" s="304">
        <f t="shared" ca="1" si="88"/>
        <v>20.446982999999985</v>
      </c>
      <c r="U227" s="311">
        <f t="shared" ca="1" si="89"/>
        <v>0</v>
      </c>
      <c r="V227" s="306">
        <f t="shared" ca="1" si="90"/>
        <v>1.0365547402998974</v>
      </c>
      <c r="W227" s="304">
        <f t="shared" ca="1" si="91"/>
        <v>20.523755281852818</v>
      </c>
      <c r="Y227" s="314" t="str">
        <f t="shared" ca="1" si="109"/>
        <v/>
      </c>
      <c r="Z227" s="315" t="str">
        <f t="shared" ca="1" si="110"/>
        <v/>
      </c>
      <c r="AA227" s="316" t="str">
        <f t="shared" ca="1" si="111"/>
        <v/>
      </c>
      <c r="AC227" s="310">
        <f t="shared" ca="1" si="112"/>
        <v>9.9999999999999503</v>
      </c>
      <c r="AD227" s="323">
        <f t="shared" ca="1" si="113"/>
        <v>220.54793305146262</v>
      </c>
      <c r="AE227" s="324">
        <f t="shared" ca="1" si="92"/>
        <v>1666.5107091337838</v>
      </c>
      <c r="AG227" s="306">
        <f t="shared" ca="1" si="114"/>
        <v>-19.829463120153989</v>
      </c>
      <c r="AH227" s="304">
        <f t="shared" ca="1" si="115"/>
        <v>-10.154205358480604</v>
      </c>
    </row>
    <row r="228" spans="1:34" x14ac:dyDescent="0.25">
      <c r="A228" s="347">
        <f t="shared" ca="1" si="93"/>
        <v>0.1</v>
      </c>
      <c r="B228" s="304">
        <f t="shared" ca="1" si="94"/>
        <v>10.09999999999995</v>
      </c>
      <c r="D228" s="306">
        <f t="shared" ca="1" si="95"/>
        <v>-1.638169791846992</v>
      </c>
      <c r="E228" s="307">
        <f t="shared" ca="1" si="96"/>
        <v>-19.519610278879831</v>
      </c>
      <c r="F228" s="304">
        <f t="shared" ca="1" si="97"/>
        <v>19.588230795716882</v>
      </c>
      <c r="G228" s="306">
        <f t="shared" ca="1" si="98"/>
        <v>22.113421365459946</v>
      </c>
      <c r="H228" s="307">
        <f t="shared" ca="1" si="99"/>
        <v>130.08765018502623</v>
      </c>
      <c r="I228" s="304">
        <f t="shared" ca="1" si="100"/>
        <v>131.95378029881576</v>
      </c>
      <c r="J228" s="306">
        <f t="shared" ca="1" si="101"/>
        <v>222.76746603696785</v>
      </c>
      <c r="K228" s="307">
        <f t="shared" ca="1" si="102"/>
        <v>1679.6170722036809</v>
      </c>
      <c r="L228" s="304">
        <f t="shared" ca="1" si="87"/>
        <v>1694.3254861928381</v>
      </c>
      <c r="M228" s="306">
        <f t="shared" ca="1" si="103"/>
        <v>1.402417220823321</v>
      </c>
      <c r="N228" s="304">
        <f t="shared" ca="1" si="104"/>
        <v>80.352587869642676</v>
      </c>
      <c r="P228" s="310">
        <f t="shared" ca="1" si="105"/>
        <v>23</v>
      </c>
      <c r="Q228" s="304">
        <f t="shared" ca="1" si="106"/>
        <v>0</v>
      </c>
      <c r="R228" s="306">
        <f t="shared" ca="1" si="107"/>
        <v>0</v>
      </c>
      <c r="S228" s="307">
        <f t="shared" ca="1" si="108"/>
        <v>2.0842999999999985</v>
      </c>
      <c r="T228" s="304">
        <f t="shared" ca="1" si="88"/>
        <v>20.446982999999985</v>
      </c>
      <c r="U228" s="311">
        <f t="shared" ca="1" si="89"/>
        <v>0</v>
      </c>
      <c r="V228" s="306">
        <f t="shared" ca="1" si="90"/>
        <v>1.0351875225381584</v>
      </c>
      <c r="W228" s="304">
        <f t="shared" ca="1" si="91"/>
        <v>19.903488993772168</v>
      </c>
      <c r="Y228" s="314" t="str">
        <f t="shared" ca="1" si="109"/>
        <v/>
      </c>
      <c r="Z228" s="315" t="str">
        <f t="shared" ca="1" si="110"/>
        <v/>
      </c>
      <c r="AA228" s="316" t="str">
        <f t="shared" ca="1" si="111"/>
        <v/>
      </c>
      <c r="AC228" s="310" t="e">
        <f t="shared" ca="1" si="112"/>
        <v>#N/A</v>
      </c>
      <c r="AD228" s="323" t="e">
        <f t="shared" ca="1" si="113"/>
        <v>#N/A</v>
      </c>
      <c r="AE228" s="324">
        <f t="shared" ca="1" si="92"/>
        <v>1679.6170722036809</v>
      </c>
      <c r="AG228" s="306">
        <f t="shared" ca="1" si="114"/>
        <v>-19.520123583959062</v>
      </c>
      <c r="AH228" s="304">
        <f t="shared" ca="1" si="115"/>
        <v>-9.8468336044968741</v>
      </c>
    </row>
    <row r="229" spans="1:34" x14ac:dyDescent="0.25">
      <c r="A229" s="347">
        <f t="shared" ca="1" si="93"/>
        <v>0.1</v>
      </c>
      <c r="B229" s="304">
        <f t="shared" ca="1" si="94"/>
        <v>10.19999999999995</v>
      </c>
      <c r="D229" s="306">
        <f t="shared" ca="1" si="95"/>
        <v>-1.6003062048941434</v>
      </c>
      <c r="E229" s="307">
        <f t="shared" ca="1" si="96"/>
        <v>-19.224195584242025</v>
      </c>
      <c r="F229" s="304">
        <f t="shared" ca="1" si="97"/>
        <v>19.290688837120705</v>
      </c>
      <c r="G229" s="306">
        <f t="shared" ca="1" si="98"/>
        <v>21.95339074497053</v>
      </c>
      <c r="H229" s="307">
        <f t="shared" ca="1" si="99"/>
        <v>128.16523062660204</v>
      </c>
      <c r="I229" s="304">
        <f t="shared" ca="1" si="100"/>
        <v>130.03183343616843</v>
      </c>
      <c r="J229" s="306">
        <f t="shared" ca="1" si="101"/>
        <v>224.97080664248938</v>
      </c>
      <c r="K229" s="307">
        <f t="shared" ca="1" si="102"/>
        <v>1692.5297162442623</v>
      </c>
      <c r="L229" s="304">
        <f t="shared" ca="1" si="87"/>
        <v>1707.4157971072118</v>
      </c>
      <c r="M229" s="306">
        <f t="shared" ca="1" si="103"/>
        <v>1.4011529109145147</v>
      </c>
      <c r="N229" s="304">
        <f t="shared" ca="1" si="104"/>
        <v>80.280148247871509</v>
      </c>
      <c r="P229" s="310">
        <f t="shared" ca="1" si="105"/>
        <v>23</v>
      </c>
      <c r="Q229" s="304">
        <f t="shared" ca="1" si="106"/>
        <v>0</v>
      </c>
      <c r="R229" s="306">
        <f t="shared" ca="1" si="107"/>
        <v>0</v>
      </c>
      <c r="S229" s="307">
        <f t="shared" ca="1" si="108"/>
        <v>2.0842999999999985</v>
      </c>
      <c r="T229" s="304">
        <f t="shared" ca="1" si="88"/>
        <v>20.446982999999985</v>
      </c>
      <c r="U229" s="311">
        <f t="shared" ca="1" si="89"/>
        <v>0</v>
      </c>
      <c r="V229" s="306">
        <f t="shared" ca="1" si="90"/>
        <v>1.0338421286479456</v>
      </c>
      <c r="W229" s="304">
        <f t="shared" ca="1" si="91"/>
        <v>19.302791012050488</v>
      </c>
      <c r="Y229" s="314" t="str">
        <f t="shared" ca="1" si="109"/>
        <v/>
      </c>
      <c r="Z229" s="315" t="str">
        <f t="shared" ca="1" si="110"/>
        <v/>
      </c>
      <c r="AA229" s="316" t="str">
        <f t="shared" ca="1" si="111"/>
        <v/>
      </c>
      <c r="AC229" s="310" t="e">
        <f t="shared" ca="1" si="112"/>
        <v>#N/A</v>
      </c>
      <c r="AD229" s="323" t="e">
        <f t="shared" ca="1" si="113"/>
        <v>#N/A</v>
      </c>
      <c r="AE229" s="324">
        <f t="shared" ca="1" si="92"/>
        <v>1692.5297162442623</v>
      </c>
      <c r="AG229" s="306">
        <f t="shared" ca="1" si="114"/>
        <v>-19.220507892465044</v>
      </c>
      <c r="AH229" s="304">
        <f t="shared" ca="1" si="115"/>
        <v>-9.5492438678559619</v>
      </c>
    </row>
    <row r="230" spans="1:34" x14ac:dyDescent="0.25">
      <c r="A230" s="347">
        <f t="shared" ca="1" si="93"/>
        <v>0.1</v>
      </c>
      <c r="B230" s="304">
        <f t="shared" ca="1" si="94"/>
        <v>10.299999999999949</v>
      </c>
      <c r="D230" s="306">
        <f t="shared" ca="1" si="95"/>
        <v>-1.5635500992145228</v>
      </c>
      <c r="E230" s="307">
        <f t="shared" ca="1" si="96"/>
        <v>-18.938100592296216</v>
      </c>
      <c r="F230" s="304">
        <f t="shared" ca="1" si="97"/>
        <v>19.002535171831259</v>
      </c>
      <c r="G230" s="306">
        <f t="shared" ca="1" si="98"/>
        <v>21.797035735049079</v>
      </c>
      <c r="H230" s="307">
        <f t="shared" ca="1" si="99"/>
        <v>126.27142056737242</v>
      </c>
      <c r="I230" s="304">
        <f t="shared" ca="1" si="100"/>
        <v>128.13891843986059</v>
      </c>
      <c r="J230" s="306">
        <f t="shared" ca="1" si="101"/>
        <v>227.15832796649036</v>
      </c>
      <c r="K230" s="307">
        <f t="shared" ca="1" si="102"/>
        <v>1705.251548803961</v>
      </c>
      <c r="L230" s="304">
        <f t="shared" ca="1" si="87"/>
        <v>1720.3150149501221</v>
      </c>
      <c r="M230" s="306">
        <f t="shared" ca="1" si="103"/>
        <v>1.3998603828084561</v>
      </c>
      <c r="N230" s="304">
        <f t="shared" ca="1" si="104"/>
        <v>80.206091842492313</v>
      </c>
      <c r="P230" s="310">
        <f t="shared" ca="1" si="105"/>
        <v>23</v>
      </c>
      <c r="Q230" s="304">
        <f t="shared" ca="1" si="106"/>
        <v>0</v>
      </c>
      <c r="R230" s="306">
        <f t="shared" ca="1" si="107"/>
        <v>0</v>
      </c>
      <c r="S230" s="307">
        <f t="shared" ca="1" si="108"/>
        <v>2.0842999999999985</v>
      </c>
      <c r="T230" s="304">
        <f t="shared" ca="1" si="88"/>
        <v>20.446982999999985</v>
      </c>
      <c r="U230" s="311">
        <f t="shared" ca="1" si="89"/>
        <v>0</v>
      </c>
      <c r="V230" s="306">
        <f t="shared" ca="1" si="90"/>
        <v>1.0325181812486335</v>
      </c>
      <c r="W230" s="304">
        <f t="shared" ca="1" si="91"/>
        <v>18.720882896952521</v>
      </c>
      <c r="Y230" s="314" t="str">
        <f t="shared" ca="1" si="109"/>
        <v/>
      </c>
      <c r="Z230" s="315" t="str">
        <f t="shared" ca="1" si="110"/>
        <v/>
      </c>
      <c r="AA230" s="316" t="str">
        <f t="shared" ca="1" si="111"/>
        <v/>
      </c>
      <c r="AC230" s="310" t="e">
        <f t="shared" ca="1" si="112"/>
        <v>#N/A</v>
      </c>
      <c r="AD230" s="323" t="e">
        <f t="shared" ca="1" si="113"/>
        <v>#N/A</v>
      </c>
      <c r="AE230" s="324">
        <f t="shared" ca="1" si="92"/>
        <v>1705.251548803961</v>
      </c>
      <c r="AG230" s="306">
        <f t="shared" ca="1" si="114"/>
        <v>-18.930220325834078</v>
      </c>
      <c r="AH230" s="304">
        <f t="shared" ca="1" si="115"/>
        <v>-9.2610425620354562</v>
      </c>
    </row>
    <row r="231" spans="1:34" x14ac:dyDescent="0.25">
      <c r="A231" s="347">
        <f t="shared" ca="1" si="93"/>
        <v>0.1</v>
      </c>
      <c r="B231" s="304">
        <f t="shared" ca="1" si="94"/>
        <v>10.399999999999949</v>
      </c>
      <c r="D231" s="306">
        <f t="shared" ca="1" si="95"/>
        <v>-1.5278561981316587</v>
      </c>
      <c r="E231" s="307">
        <f t="shared" ca="1" si="96"/>
        <v>-18.660954547481502</v>
      </c>
      <c r="F231" s="304">
        <f t="shared" ca="1" si="97"/>
        <v>18.723396304766396</v>
      </c>
      <c r="G231" s="306">
        <f t="shared" ca="1" si="98"/>
        <v>21.644250115235913</v>
      </c>
      <c r="H231" s="307">
        <f t="shared" ca="1" si="99"/>
        <v>124.40532511262427</v>
      </c>
      <c r="I231" s="304">
        <f t="shared" ca="1" si="100"/>
        <v>126.27414018487171</v>
      </c>
      <c r="J231" s="306">
        <f t="shared" ca="1" si="101"/>
        <v>229.33039225900461</v>
      </c>
      <c r="K231" s="307">
        <f t="shared" ca="1" si="102"/>
        <v>1717.7853860879609</v>
      </c>
      <c r="L231" s="304">
        <f t="shared" ca="1" si="87"/>
        <v>1733.0259840726665</v>
      </c>
      <c r="M231" s="306">
        <f t="shared" ca="1" si="103"/>
        <v>1.3985388708545345</v>
      </c>
      <c r="N231" s="304">
        <f t="shared" ca="1" si="104"/>
        <v>80.13037478495653</v>
      </c>
      <c r="P231" s="310">
        <f t="shared" ca="1" si="105"/>
        <v>23</v>
      </c>
      <c r="Q231" s="304">
        <f t="shared" ca="1" si="106"/>
        <v>0</v>
      </c>
      <c r="R231" s="306">
        <f t="shared" ca="1" si="107"/>
        <v>0</v>
      </c>
      <c r="S231" s="307">
        <f t="shared" ca="1" si="108"/>
        <v>2.0842999999999985</v>
      </c>
      <c r="T231" s="304">
        <f t="shared" ca="1" si="88"/>
        <v>20.446982999999985</v>
      </c>
      <c r="U231" s="311">
        <f t="shared" ca="1" si="89"/>
        <v>0</v>
      </c>
      <c r="V231" s="306">
        <f t="shared" ca="1" si="90"/>
        <v>1.0312153151853389</v>
      </c>
      <c r="W231" s="304">
        <f t="shared" ca="1" si="91"/>
        <v>18.157025578172803</v>
      </c>
      <c r="Y231" s="314" t="str">
        <f t="shared" ca="1" si="109"/>
        <v/>
      </c>
      <c r="Z231" s="315" t="str">
        <f t="shared" ca="1" si="110"/>
        <v/>
      </c>
      <c r="AA231" s="316" t="str">
        <f t="shared" ca="1" si="111"/>
        <v/>
      </c>
      <c r="AC231" s="310" t="e">
        <f t="shared" ca="1" si="112"/>
        <v>#N/A</v>
      </c>
      <c r="AD231" s="323" t="e">
        <f t="shared" ca="1" si="113"/>
        <v>#N/A</v>
      </c>
      <c r="AE231" s="324">
        <f t="shared" ca="1" si="92"/>
        <v>1717.7853860879609</v>
      </c>
      <c r="AG231" s="306">
        <f t="shared" ca="1" si="114"/>
        <v>-18.648885171634113</v>
      </c>
      <c r="AH231" s="304">
        <f t="shared" ca="1" si="115"/>
        <v>-8.9818562092561223</v>
      </c>
    </row>
    <row r="232" spans="1:34" x14ac:dyDescent="0.25">
      <c r="A232" s="347">
        <f t="shared" ca="1" si="93"/>
        <v>0.1</v>
      </c>
      <c r="B232" s="304">
        <f t="shared" ca="1" si="94"/>
        <v>10.499999999999948</v>
      </c>
      <c r="D232" s="306">
        <f t="shared" ca="1" si="95"/>
        <v>-1.4931815005713378</v>
      </c>
      <c r="E232" s="307">
        <f t="shared" ca="1" si="96"/>
        <v>-18.392405444482122</v>
      </c>
      <c r="F232" s="304">
        <f t="shared" ca="1" si="97"/>
        <v>18.452917629141037</v>
      </c>
      <c r="G232" s="306">
        <f t="shared" ca="1" si="98"/>
        <v>21.494931965178779</v>
      </c>
      <c r="H232" s="307">
        <f t="shared" ca="1" si="99"/>
        <v>122.56608456817605</v>
      </c>
      <c r="I232" s="304">
        <f t="shared" ca="1" si="100"/>
        <v>124.43663924488216</v>
      </c>
      <c r="J232" s="306">
        <f t="shared" ca="1" si="101"/>
        <v>231.48735136302534</v>
      </c>
      <c r="K232" s="307">
        <f t="shared" ca="1" si="102"/>
        <v>1730.1339565720009</v>
      </c>
      <c r="L232" s="304">
        <f t="shared" ca="1" si="87"/>
        <v>1745.5514605775893</v>
      </c>
      <c r="M232" s="306">
        <f t="shared" ca="1" si="103"/>
        <v>1.3971875795250919</v>
      </c>
      <c r="N232" s="304">
        <f t="shared" ca="1" si="104"/>
        <v>80.052951494886841</v>
      </c>
      <c r="P232" s="310">
        <f t="shared" ca="1" si="105"/>
        <v>23</v>
      </c>
      <c r="Q232" s="304">
        <f t="shared" ca="1" si="106"/>
        <v>0</v>
      </c>
      <c r="R232" s="306">
        <f t="shared" ca="1" si="107"/>
        <v>0</v>
      </c>
      <c r="S232" s="307">
        <f t="shared" ca="1" si="108"/>
        <v>2.0842999999999985</v>
      </c>
      <c r="T232" s="304">
        <f t="shared" ca="1" si="88"/>
        <v>20.446982999999985</v>
      </c>
      <c r="U232" s="311">
        <f t="shared" ca="1" si="89"/>
        <v>0</v>
      </c>
      <c r="V232" s="306">
        <f t="shared" ca="1" si="90"/>
        <v>1.0299331770309028</v>
      </c>
      <c r="W232" s="304">
        <f t="shared" ca="1" si="91"/>
        <v>17.610516990840658</v>
      </c>
      <c r="Y232" s="314" t="str">
        <f t="shared" ca="1" si="109"/>
        <v/>
      </c>
      <c r="Z232" s="315" t="str">
        <f t="shared" ca="1" si="110"/>
        <v/>
      </c>
      <c r="AA232" s="316" t="str">
        <f t="shared" ca="1" si="111"/>
        <v/>
      </c>
      <c r="AC232" s="310" t="e">
        <f t="shared" ca="1" si="112"/>
        <v>#N/A</v>
      </c>
      <c r="AD232" s="323" t="e">
        <f t="shared" ca="1" si="113"/>
        <v>#N/A</v>
      </c>
      <c r="AE232" s="324">
        <f t="shared" ca="1" si="92"/>
        <v>1730.1339565720009</v>
      </c>
      <c r="AG232" s="306">
        <f t="shared" ca="1" si="114"/>
        <v>-18.376145498932551</v>
      </c>
      <c r="AH232" s="304">
        <f t="shared" ca="1" si="115"/>
        <v>-8.7113302203007326</v>
      </c>
    </row>
    <row r="233" spans="1:34" x14ac:dyDescent="0.25">
      <c r="A233" s="347">
        <f t="shared" ca="1" si="93"/>
        <v>0.1</v>
      </c>
      <c r="B233" s="304">
        <f t="shared" ca="1" si="94"/>
        <v>10.599999999999948</v>
      </c>
      <c r="D233" s="306">
        <f t="shared" ca="1" si="95"/>
        <v>-1.4594851442093231</v>
      </c>
      <c r="E233" s="307">
        <f t="shared" ca="1" si="96"/>
        <v>-18.132118902304178</v>
      </c>
      <c r="F233" s="304">
        <f t="shared" ca="1" si="97"/>
        <v>18.190762292258789</v>
      </c>
      <c r="G233" s="306">
        <f t="shared" ca="1" si="98"/>
        <v>21.348983450757846</v>
      </c>
      <c r="H233" s="307">
        <f t="shared" ca="1" si="99"/>
        <v>120.75287267794563</v>
      </c>
      <c r="I233" s="304">
        <f t="shared" ca="1" si="100"/>
        <v>122.62559012847555</v>
      </c>
      <c r="J233" s="306">
        <f t="shared" ca="1" si="101"/>
        <v>233.62954713382217</v>
      </c>
      <c r="K233" s="307">
        <f t="shared" ca="1" si="102"/>
        <v>1742.2999044343069</v>
      </c>
      <c r="L233" s="304">
        <f t="shared" ca="1" si="87"/>
        <v>1757.8941157776683</v>
      </c>
      <c r="M233" s="306">
        <f t="shared" ca="1" si="103"/>
        <v>1.3958056820072064</v>
      </c>
      <c r="N233" s="304">
        <f t="shared" ca="1" si="104"/>
        <v>79.973774599392399</v>
      </c>
      <c r="P233" s="310">
        <f t="shared" ca="1" si="105"/>
        <v>23</v>
      </c>
      <c r="Q233" s="304">
        <f t="shared" ca="1" si="106"/>
        <v>0</v>
      </c>
      <c r="R233" s="306">
        <f t="shared" ca="1" si="107"/>
        <v>0</v>
      </c>
      <c r="S233" s="307">
        <f t="shared" ca="1" si="108"/>
        <v>2.0842999999999985</v>
      </c>
      <c r="T233" s="304">
        <f t="shared" ca="1" si="88"/>
        <v>20.446982999999985</v>
      </c>
      <c r="U233" s="311">
        <f t="shared" ca="1" si="89"/>
        <v>0</v>
      </c>
      <c r="V233" s="306">
        <f t="shared" ca="1" si="90"/>
        <v>1.0286714246134803</v>
      </c>
      <c r="W233" s="304">
        <f t="shared" ca="1" si="91"/>
        <v>17.080689876428831</v>
      </c>
      <c r="Y233" s="314" t="str">
        <f t="shared" ca="1" si="109"/>
        <v/>
      </c>
      <c r="Z233" s="315" t="str">
        <f t="shared" ca="1" si="110"/>
        <v/>
      </c>
      <c r="AA233" s="316" t="str">
        <f t="shared" ca="1" si="111"/>
        <v/>
      </c>
      <c r="AC233" s="310" t="e">
        <f t="shared" ca="1" si="112"/>
        <v>#N/A</v>
      </c>
      <c r="AD233" s="323" t="e">
        <f t="shared" ca="1" si="113"/>
        <v>#N/A</v>
      </c>
      <c r="AE233" s="324">
        <f t="shared" ca="1" si="92"/>
        <v>1742.2999044343069</v>
      </c>
      <c r="AG233" s="306">
        <f t="shared" ca="1" si="114"/>
        <v>-18.11166201799924</v>
      </c>
      <c r="AH233" s="304">
        <f t="shared" ca="1" si="115"/>
        <v>-8.4491277603227317</v>
      </c>
    </row>
    <row r="234" spans="1:34" x14ac:dyDescent="0.25">
      <c r="A234" s="347">
        <f t="shared" ca="1" si="93"/>
        <v>0.1</v>
      </c>
      <c r="B234" s="304">
        <f t="shared" ca="1" si="94"/>
        <v>10.699999999999948</v>
      </c>
      <c r="D234" s="306">
        <f t="shared" ca="1" si="95"/>
        <v>-1.4267282781691648</v>
      </c>
      <c r="E234" s="307">
        <f t="shared" ca="1" si="96"/>
        <v>-17.879777116889848</v>
      </c>
      <c r="F234" s="304">
        <f t="shared" ca="1" si="97"/>
        <v>17.936610140419102</v>
      </c>
      <c r="G234" s="306">
        <f t="shared" ca="1" si="98"/>
        <v>21.206310622940929</v>
      </c>
      <c r="H234" s="307">
        <f t="shared" ca="1" si="99"/>
        <v>118.96489496625665</v>
      </c>
      <c r="I234" s="304">
        <f t="shared" ca="1" si="100"/>
        <v>120.84019962152138</v>
      </c>
      <c r="J234" s="306">
        <f t="shared" ca="1" si="101"/>
        <v>235.7573118375071</v>
      </c>
      <c r="K234" s="307">
        <f t="shared" ca="1" si="102"/>
        <v>1754.285792816517</v>
      </c>
      <c r="L234" s="304">
        <f t="shared" ca="1" si="87"/>
        <v>1770.0565394819237</v>
      </c>
      <c r="M234" s="306">
        <f t="shared" ca="1" si="103"/>
        <v>1.3943923187135587</v>
      </c>
      <c r="N234" s="304">
        <f t="shared" ca="1" si="104"/>
        <v>79.89279484774768</v>
      </c>
      <c r="P234" s="310">
        <f t="shared" ca="1" si="105"/>
        <v>23</v>
      </c>
      <c r="Q234" s="304">
        <f t="shared" ca="1" si="106"/>
        <v>0</v>
      </c>
      <c r="R234" s="306">
        <f t="shared" ca="1" si="107"/>
        <v>0</v>
      </c>
      <c r="S234" s="307">
        <f t="shared" ca="1" si="108"/>
        <v>2.0842999999999985</v>
      </c>
      <c r="T234" s="304">
        <f t="shared" ca="1" si="88"/>
        <v>20.446982999999985</v>
      </c>
      <c r="U234" s="311">
        <f t="shared" ca="1" si="89"/>
        <v>0</v>
      </c>
      <c r="V234" s="306">
        <f t="shared" ca="1" si="90"/>
        <v>1.0274297265681913</v>
      </c>
      <c r="W234" s="304">
        <f t="shared" ca="1" si="91"/>
        <v>16.566909735519086</v>
      </c>
      <c r="Y234" s="314" t="str">
        <f t="shared" ca="1" si="109"/>
        <v/>
      </c>
      <c r="Z234" s="315" t="str">
        <f t="shared" ca="1" si="110"/>
        <v/>
      </c>
      <c r="AA234" s="316" t="str">
        <f t="shared" ca="1" si="111"/>
        <v/>
      </c>
      <c r="AC234" s="310" t="e">
        <f t="shared" ca="1" si="112"/>
        <v>#N/A</v>
      </c>
      <c r="AD234" s="323" t="e">
        <f t="shared" ca="1" si="113"/>
        <v>#N/A</v>
      </c>
      <c r="AE234" s="324">
        <f t="shared" ca="1" si="92"/>
        <v>1754.285792816517</v>
      </c>
      <c r="AG234" s="306">
        <f t="shared" ca="1" si="114"/>
        <v>-17.855112018716994</v>
      </c>
      <c r="AH234" s="304">
        <f t="shared" ca="1" si="115"/>
        <v>-8.194928693771935</v>
      </c>
    </row>
    <row r="235" spans="1:34" x14ac:dyDescent="0.25">
      <c r="A235" s="347">
        <f t="shared" ca="1" si="93"/>
        <v>0.1</v>
      </c>
      <c r="B235" s="304">
        <f t="shared" ca="1" si="94"/>
        <v>10.799999999999947</v>
      </c>
      <c r="D235" s="306">
        <f t="shared" ca="1" si="95"/>
        <v>-1.3948739445149849</v>
      </c>
      <c r="E235" s="307">
        <f t="shared" ca="1" si="96"/>
        <v>-17.635077886055235</v>
      </c>
      <c r="F235" s="304">
        <f t="shared" ca="1" si="97"/>
        <v>17.690156736680464</v>
      </c>
      <c r="G235" s="306">
        <f t="shared" ca="1" si="98"/>
        <v>21.066823228489429</v>
      </c>
      <c r="H235" s="307">
        <f t="shared" ca="1" si="99"/>
        <v>117.20138717765113</v>
      </c>
      <c r="I235" s="304">
        <f t="shared" ca="1" si="100"/>
        <v>119.07970522849857</v>
      </c>
      <c r="J235" s="306">
        <f t="shared" ca="1" si="101"/>
        <v>237.87096853007861</v>
      </c>
      <c r="K235" s="307">
        <f t="shared" ca="1" si="102"/>
        <v>1766.0941069237124</v>
      </c>
      <c r="L235" s="304">
        <f t="shared" ca="1" si="87"/>
        <v>1782.0412431198395</v>
      </c>
      <c r="M235" s="306">
        <f t="shared" ca="1" si="103"/>
        <v>1.3929465957069995</v>
      </c>
      <c r="N235" s="304">
        <f t="shared" ca="1" si="104"/>
        <v>79.809961021126867</v>
      </c>
      <c r="P235" s="310">
        <f t="shared" ca="1" si="105"/>
        <v>23</v>
      </c>
      <c r="Q235" s="304">
        <f t="shared" ca="1" si="106"/>
        <v>0</v>
      </c>
      <c r="R235" s="306">
        <f t="shared" ca="1" si="107"/>
        <v>0</v>
      </c>
      <c r="S235" s="307">
        <f t="shared" ca="1" si="108"/>
        <v>2.0842999999999985</v>
      </c>
      <c r="T235" s="304">
        <f t="shared" ca="1" si="88"/>
        <v>20.446982999999985</v>
      </c>
      <c r="U235" s="311">
        <f t="shared" ca="1" si="89"/>
        <v>0</v>
      </c>
      <c r="V235" s="306">
        <f t="shared" ca="1" si="90"/>
        <v>1.0262077619113705</v>
      </c>
      <c r="W235" s="304">
        <f t="shared" ca="1" si="91"/>
        <v>16.068572920530769</v>
      </c>
      <c r="Y235" s="314" t="str">
        <f t="shared" ca="1" si="109"/>
        <v/>
      </c>
      <c r="Z235" s="315" t="str">
        <f t="shared" ca="1" si="110"/>
        <v/>
      </c>
      <c r="AA235" s="316" t="str">
        <f t="shared" ca="1" si="111"/>
        <v/>
      </c>
      <c r="AC235" s="310" t="e">
        <f t="shared" ca="1" si="112"/>
        <v>#N/A</v>
      </c>
      <c r="AD235" s="323" t="e">
        <f t="shared" ca="1" si="113"/>
        <v>#N/A</v>
      </c>
      <c r="AE235" s="324">
        <f t="shared" ca="1" si="92"/>
        <v>1766.0941069237124</v>
      </c>
      <c r="AG235" s="306">
        <f t="shared" ca="1" si="114"/>
        <v>-17.606188381408785</v>
      </c>
      <c r="AH235" s="304">
        <f t="shared" ca="1" si="115"/>
        <v>-7.9484286021777564</v>
      </c>
    </row>
    <row r="236" spans="1:34" x14ac:dyDescent="0.25">
      <c r="A236" s="347">
        <f t="shared" ca="1" si="93"/>
        <v>0.1</v>
      </c>
      <c r="B236" s="304">
        <f t="shared" ca="1" si="94"/>
        <v>10.899999999999947</v>
      </c>
      <c r="D236" s="306">
        <f t="shared" ca="1" si="95"/>
        <v>-1.3638869678509513</v>
      </c>
      <c r="E236" s="307">
        <f t="shared" ca="1" si="96"/>
        <v>-17.397733701087009</v>
      </c>
      <c r="F236" s="304">
        <f t="shared" ca="1" si="97"/>
        <v>17.451112445772974</v>
      </c>
      <c r="G236" s="306">
        <f t="shared" ca="1" si="98"/>
        <v>20.930434531704336</v>
      </c>
      <c r="H236" s="307">
        <f t="shared" ca="1" si="99"/>
        <v>115.46161380754242</v>
      </c>
      <c r="I236" s="304">
        <f t="shared" ca="1" si="100"/>
        <v>117.343373706094</v>
      </c>
      <c r="J236" s="306">
        <f t="shared" ca="1" si="101"/>
        <v>239.9708314180883</v>
      </c>
      <c r="K236" s="307">
        <f t="shared" ca="1" si="102"/>
        <v>1777.7272569729721</v>
      </c>
      <c r="L236" s="304">
        <f t="shared" ca="1" si="87"/>
        <v>1793.8506627130744</v>
      </c>
      <c r="M236" s="306">
        <f t="shared" ca="1" si="103"/>
        <v>1.3914675830330383</v>
      </c>
      <c r="N236" s="304">
        <f t="shared" ca="1" si="104"/>
        <v>79.725219837062525</v>
      </c>
      <c r="P236" s="310">
        <f t="shared" ca="1" si="105"/>
        <v>23</v>
      </c>
      <c r="Q236" s="304">
        <f t="shared" ca="1" si="106"/>
        <v>0</v>
      </c>
      <c r="R236" s="306">
        <f t="shared" ca="1" si="107"/>
        <v>0</v>
      </c>
      <c r="S236" s="307">
        <f t="shared" ca="1" si="108"/>
        <v>2.0842999999999985</v>
      </c>
      <c r="T236" s="304">
        <f t="shared" ca="1" si="88"/>
        <v>20.446982999999985</v>
      </c>
      <c r="U236" s="311">
        <f t="shared" ca="1" si="89"/>
        <v>0</v>
      </c>
      <c r="V236" s="306">
        <f t="shared" ca="1" si="90"/>
        <v>1.0250052196360746</v>
      </c>
      <c r="W236" s="304">
        <f t="shared" ca="1" si="91"/>
        <v>15.585104857559152</v>
      </c>
      <c r="Y236" s="314" t="str">
        <f t="shared" ca="1" si="109"/>
        <v/>
      </c>
      <c r="Z236" s="315" t="str">
        <f t="shared" ca="1" si="110"/>
        <v/>
      </c>
      <c r="AA236" s="316" t="str">
        <f t="shared" ca="1" si="111"/>
        <v/>
      </c>
      <c r="AC236" s="310" t="e">
        <f t="shared" ca="1" si="112"/>
        <v>#N/A</v>
      </c>
      <c r="AD236" s="323" t="e">
        <f t="shared" ca="1" si="113"/>
        <v>#N/A</v>
      </c>
      <c r="AE236" s="324">
        <f t="shared" ca="1" si="92"/>
        <v>1777.7272569729721</v>
      </c>
      <c r="AG236" s="306">
        <f t="shared" ca="1" si="114"/>
        <v>-17.36459865434113</v>
      </c>
      <c r="AH236" s="304">
        <f t="shared" ca="1" si="115"/>
        <v>-7.7093378690835204</v>
      </c>
    </row>
    <row r="237" spans="1:34" x14ac:dyDescent="0.25">
      <c r="A237" s="347">
        <f t="shared" ca="1" si="93"/>
        <v>0.1</v>
      </c>
      <c r="B237" s="304">
        <f t="shared" ca="1" si="94"/>
        <v>10.999999999999947</v>
      </c>
      <c r="D237" s="306">
        <f t="shared" ca="1" si="95"/>
        <v>-1.3337338523993791</v>
      </c>
      <c r="E237" s="307">
        <f t="shared" ca="1" si="96"/>
        <v>-17.167470899828629</v>
      </c>
      <c r="F237" s="304">
        <f t="shared" ca="1" si="97"/>
        <v>17.219201580953133</v>
      </c>
      <c r="G237" s="306">
        <f t="shared" ca="1" si="98"/>
        <v>20.797061146464397</v>
      </c>
      <c r="H237" s="307">
        <f t="shared" ca="1" si="99"/>
        <v>113.74486671755956</v>
      </c>
      <c r="I237" s="304">
        <f t="shared" ca="1" si="100"/>
        <v>115.63049968293473</v>
      </c>
      <c r="J237" s="306">
        <f t="shared" ca="1" si="101"/>
        <v>242.05720620199673</v>
      </c>
      <c r="K237" s="307">
        <f t="shared" ca="1" si="102"/>
        <v>1789.1875809992273</v>
      </c>
      <c r="L237" s="304">
        <f t="shared" ca="1" si="87"/>
        <v>1805.4871617035062</v>
      </c>
      <c r="M237" s="306">
        <f t="shared" ca="1" si="103"/>
        <v>1.3899543129540177</v>
      </c>
      <c r="N237" s="304">
        <f t="shared" ca="1" si="104"/>
        <v>79.638515848271226</v>
      </c>
      <c r="P237" s="310">
        <f t="shared" ca="1" si="105"/>
        <v>23</v>
      </c>
      <c r="Q237" s="304">
        <f t="shared" ca="1" si="106"/>
        <v>0</v>
      </c>
      <c r="R237" s="306">
        <f t="shared" ca="1" si="107"/>
        <v>0</v>
      </c>
      <c r="S237" s="307">
        <f t="shared" ca="1" si="108"/>
        <v>2.0842999999999985</v>
      </c>
      <c r="T237" s="304">
        <f t="shared" ca="1" si="88"/>
        <v>20.446982999999985</v>
      </c>
      <c r="U237" s="311">
        <f t="shared" ca="1" si="89"/>
        <v>0</v>
      </c>
      <c r="V237" s="306">
        <f t="shared" ca="1" si="90"/>
        <v>1.0238217983275959</v>
      </c>
      <c r="W237" s="304">
        <f t="shared" ca="1" si="91"/>
        <v>15.115958387410219</v>
      </c>
      <c r="Y237" s="314" t="str">
        <f t="shared" ca="1" si="109"/>
        <v/>
      </c>
      <c r="Z237" s="315" t="str">
        <f t="shared" ca="1" si="110"/>
        <v/>
      </c>
      <c r="AA237" s="316" t="str">
        <f t="shared" ca="1" si="111"/>
        <v/>
      </c>
      <c r="AC237" s="310">
        <f t="shared" ca="1" si="112"/>
        <v>10.999999999999947</v>
      </c>
      <c r="AD237" s="323">
        <f t="shared" ca="1" si="113"/>
        <v>242.05720620199673</v>
      </c>
      <c r="AE237" s="324">
        <f t="shared" ca="1" si="92"/>
        <v>1789.1875809992273</v>
      </c>
      <c r="AG237" s="306">
        <f t="shared" ca="1" si="114"/>
        <v>-17.130064192659294</v>
      </c>
      <c r="AH237" s="304">
        <f t="shared" ca="1" si="115"/>
        <v>-7.4773808269247057</v>
      </c>
    </row>
    <row r="238" spans="1:34" x14ac:dyDescent="0.25">
      <c r="A238" s="347">
        <f t="shared" ca="1" si="93"/>
        <v>0.1</v>
      </c>
      <c r="B238" s="304">
        <f t="shared" ca="1" si="94"/>
        <v>11.099999999999946</v>
      </c>
      <c r="D238" s="306">
        <f t="shared" ca="1" si="95"/>
        <v>-1.3043826859839056</v>
      </c>
      <c r="E238" s="307">
        <f t="shared" ca="1" si="96"/>
        <v>-16.944028876534549</v>
      </c>
      <c r="F238" s="304">
        <f t="shared" ca="1" si="97"/>
        <v>16.994161608044429</v>
      </c>
      <c r="G238" s="306">
        <f t="shared" ca="1" si="98"/>
        <v>20.666622877866008</v>
      </c>
      <c r="H238" s="307">
        <f t="shared" ca="1" si="99"/>
        <v>112.05046382990611</v>
      </c>
      <c r="I238" s="304">
        <f t="shared" ca="1" si="100"/>
        <v>113.94040435979254</v>
      </c>
      <c r="J238" s="306">
        <f t="shared" ca="1" si="101"/>
        <v>244.13039040321326</v>
      </c>
      <c r="K238" s="307">
        <f t="shared" ca="1" si="102"/>
        <v>1800.4773475266006</v>
      </c>
      <c r="L238" s="304">
        <f t="shared" ca="1" si="87"/>
        <v>1816.9530336458477</v>
      </c>
      <c r="M238" s="306">
        <f t="shared" ca="1" si="103"/>
        <v>1.3884057780782655</v>
      </c>
      <c r="N238" s="304">
        <f t="shared" ca="1" si="104"/>
        <v>79.549791335461805</v>
      </c>
      <c r="P238" s="310">
        <f t="shared" ca="1" si="105"/>
        <v>23</v>
      </c>
      <c r="Q238" s="304">
        <f t="shared" ca="1" si="106"/>
        <v>0</v>
      </c>
      <c r="R238" s="306">
        <f t="shared" ca="1" si="107"/>
        <v>0</v>
      </c>
      <c r="S238" s="307">
        <f t="shared" ca="1" si="108"/>
        <v>2.0842999999999985</v>
      </c>
      <c r="T238" s="304">
        <f t="shared" ca="1" si="88"/>
        <v>20.446982999999985</v>
      </c>
      <c r="U238" s="311">
        <f t="shared" ca="1" si="89"/>
        <v>0</v>
      </c>
      <c r="V238" s="306">
        <f t="shared" ca="1" si="90"/>
        <v>1.0226572057978058</v>
      </c>
      <c r="W238" s="304">
        <f t="shared" ca="1" si="91"/>
        <v>14.660612216768991</v>
      </c>
      <c r="Y238" s="314" t="str">
        <f t="shared" ca="1" si="109"/>
        <v/>
      </c>
      <c r="Z238" s="315" t="str">
        <f t="shared" ca="1" si="110"/>
        <v/>
      </c>
      <c r="AA238" s="316" t="str">
        <f t="shared" ca="1" si="111"/>
        <v/>
      </c>
      <c r="AC238" s="310" t="e">
        <f t="shared" ca="1" si="112"/>
        <v>#N/A</v>
      </c>
      <c r="AD238" s="323" t="e">
        <f t="shared" ca="1" si="113"/>
        <v>#N/A</v>
      </c>
      <c r="AE238" s="324">
        <f t="shared" ca="1" si="92"/>
        <v>1800.4773475266006</v>
      </c>
      <c r="AG238" s="306">
        <f t="shared" ca="1" si="114"/>
        <v>-16.902319353957978</v>
      </c>
      <c r="AH238" s="304">
        <f t="shared" ca="1" si="115"/>
        <v>-7.2522949610949619</v>
      </c>
    </row>
    <row r="239" spans="1:34" x14ac:dyDescent="0.25">
      <c r="A239" s="347">
        <f t="shared" ca="1" si="93"/>
        <v>0.1</v>
      </c>
      <c r="B239" s="304">
        <f t="shared" ca="1" si="94"/>
        <v>11.199999999999946</v>
      </c>
      <c r="D239" s="306">
        <f t="shared" ca="1" si="95"/>
        <v>-1.2758030503934064</v>
      </c>
      <c r="E239" s="307">
        <f t="shared" ca="1" si="96"/>
        <v>-16.727159344175895</v>
      </c>
      <c r="F239" s="304">
        <f t="shared" ca="1" si="97"/>
        <v>16.775742402315437</v>
      </c>
      <c r="G239" s="306">
        <f t="shared" ca="1" si="98"/>
        <v>20.539042572826666</v>
      </c>
      <c r="H239" s="307">
        <f t="shared" ca="1" si="99"/>
        <v>110.37774789548851</v>
      </c>
      <c r="I239" s="304">
        <f t="shared" ca="1" si="100"/>
        <v>112.27243428503901</v>
      </c>
      <c r="J239" s="306">
        <f t="shared" ca="1" si="101"/>
        <v>246.19067367574789</v>
      </c>
      <c r="K239" s="307">
        <f t="shared" ca="1" si="102"/>
        <v>1811.5987581128704</v>
      </c>
      <c r="L239" s="304">
        <f t="shared" ca="1" si="87"/>
        <v>1828.2505047725306</v>
      </c>
      <c r="M239" s="306">
        <f t="shared" ca="1" si="103"/>
        <v>1.3868209293769835</v>
      </c>
      <c r="N239" s="304">
        <f t="shared" ca="1" si="104"/>
        <v>79.458986193711567</v>
      </c>
      <c r="P239" s="310">
        <f t="shared" ca="1" si="105"/>
        <v>23</v>
      </c>
      <c r="Q239" s="304">
        <f t="shared" ca="1" si="106"/>
        <v>0</v>
      </c>
      <c r="R239" s="306">
        <f t="shared" ca="1" si="107"/>
        <v>0</v>
      </c>
      <c r="S239" s="307">
        <f t="shared" ca="1" si="108"/>
        <v>2.0842999999999985</v>
      </c>
      <c r="T239" s="304">
        <f t="shared" ca="1" si="88"/>
        <v>20.446982999999985</v>
      </c>
      <c r="U239" s="311">
        <f t="shared" ca="1" si="89"/>
        <v>0</v>
      </c>
      <c r="V239" s="306">
        <f t="shared" ca="1" si="90"/>
        <v>1.021511158737245</v>
      </c>
      <c r="W239" s="304">
        <f t="shared" ca="1" si="91"/>
        <v>14.218569471208518</v>
      </c>
      <c r="Y239" s="314" t="str">
        <f t="shared" ca="1" si="109"/>
        <v/>
      </c>
      <c r="Z239" s="315" t="str">
        <f t="shared" ca="1" si="110"/>
        <v/>
      </c>
      <c r="AA239" s="316" t="str">
        <f t="shared" ca="1" si="111"/>
        <v/>
      </c>
      <c r="AC239" s="310" t="e">
        <f t="shared" ca="1" si="112"/>
        <v>#N/A</v>
      </c>
      <c r="AD239" s="323" t="e">
        <f t="shared" ca="1" si="113"/>
        <v>#N/A</v>
      </c>
      <c r="AE239" s="324">
        <f t="shared" ca="1" si="92"/>
        <v>1811.5987581128704</v>
      </c>
      <c r="AG239" s="306">
        <f t="shared" ca="1" si="114"/>
        <v>-16.681110746095211</v>
      </c>
      <c r="AH239" s="304">
        <f t="shared" ca="1" si="115"/>
        <v>-7.0338301668517014</v>
      </c>
    </row>
    <row r="240" spans="1:34" x14ac:dyDescent="0.25">
      <c r="A240" s="347">
        <f t="shared" ca="1" si="93"/>
        <v>0.1</v>
      </c>
      <c r="B240" s="304">
        <f t="shared" ca="1" si="94"/>
        <v>11.299999999999946</v>
      </c>
      <c r="D240" s="306">
        <f t="shared" ca="1" si="95"/>
        <v>-1.2479659376469805</v>
      </c>
      <c r="E240" s="307">
        <f t="shared" ca="1" si="96"/>
        <v>-16.516625645247785</v>
      </c>
      <c r="F240" s="304">
        <f t="shared" ca="1" si="97"/>
        <v>16.563705554216543</v>
      </c>
      <c r="G240" s="306">
        <f t="shared" ca="1" si="98"/>
        <v>20.414245979061967</v>
      </c>
      <c r="H240" s="307">
        <f t="shared" ca="1" si="99"/>
        <v>108.72608533096373</v>
      </c>
      <c r="I240" s="304">
        <f t="shared" ca="1" si="100"/>
        <v>110.62596020053184</v>
      </c>
      <c r="J240" s="306">
        <f t="shared" ca="1" si="101"/>
        <v>248.23833810334233</v>
      </c>
      <c r="K240" s="307">
        <f t="shared" ca="1" si="102"/>
        <v>1822.5539497741931</v>
      </c>
      <c r="L240" s="304">
        <f t="shared" ca="1" si="87"/>
        <v>1839.3817364380404</v>
      </c>
      <c r="M240" s="306">
        <f t="shared" ca="1" si="103"/>
        <v>1.3851986740810689</v>
      </c>
      <c r="N240" s="304">
        <f t="shared" ca="1" si="104"/>
        <v>79.366037811962912</v>
      </c>
      <c r="P240" s="310">
        <f t="shared" ca="1" si="105"/>
        <v>23</v>
      </c>
      <c r="Q240" s="304">
        <f t="shared" ca="1" si="106"/>
        <v>0</v>
      </c>
      <c r="R240" s="306">
        <f t="shared" ca="1" si="107"/>
        <v>0</v>
      </c>
      <c r="S240" s="307">
        <f t="shared" ca="1" si="108"/>
        <v>2.0842999999999985</v>
      </c>
      <c r="T240" s="304">
        <f t="shared" ca="1" si="88"/>
        <v>20.446982999999985</v>
      </c>
      <c r="U240" s="311">
        <f t="shared" ca="1" si="89"/>
        <v>0</v>
      </c>
      <c r="V240" s="306">
        <f t="shared" ca="1" si="90"/>
        <v>1.0203833823839408</v>
      </c>
      <c r="W240" s="304">
        <f t="shared" ca="1" si="91"/>
        <v>13.789356342444341</v>
      </c>
      <c r="Y240" s="314" t="str">
        <f t="shared" ca="1" si="109"/>
        <v/>
      </c>
      <c r="Z240" s="315" t="str">
        <f t="shared" ca="1" si="110"/>
        <v/>
      </c>
      <c r="AA240" s="316" t="str">
        <f t="shared" ca="1" si="111"/>
        <v/>
      </c>
      <c r="AC240" s="310" t="e">
        <f t="shared" ca="1" si="112"/>
        <v>#N/A</v>
      </c>
      <c r="AD240" s="323" t="e">
        <f t="shared" ca="1" si="113"/>
        <v>#N/A</v>
      </c>
      <c r="AE240" s="324">
        <f t="shared" ca="1" si="92"/>
        <v>1822.5539497741931</v>
      </c>
      <c r="AG240" s="306">
        <f t="shared" ca="1" si="114"/>
        <v>-16.466196523222969</v>
      </c>
      <c r="AH240" s="304">
        <f t="shared" ca="1" si="115"/>
        <v>-6.8217480550825353</v>
      </c>
    </row>
    <row r="241" spans="1:34" x14ac:dyDescent="0.25">
      <c r="A241" s="347">
        <f t="shared" ca="1" si="93"/>
        <v>0.1</v>
      </c>
      <c r="B241" s="304">
        <f t="shared" ca="1" si="94"/>
        <v>11.399999999999945</v>
      </c>
      <c r="D241" s="306">
        <f t="shared" ca="1" si="95"/>
        <v>-1.2208436717207525</v>
      </c>
      <c r="E241" s="307">
        <f t="shared" ca="1" si="96"/>
        <v>-16.312202107460685</v>
      </c>
      <c r="F241" s="304">
        <f t="shared" ca="1" si="97"/>
        <v>16.357823720331059</v>
      </c>
      <c r="G241" s="306">
        <f t="shared" ca="1" si="98"/>
        <v>20.292161611889892</v>
      </c>
      <c r="H241" s="307">
        <f t="shared" ca="1" si="99"/>
        <v>107.09486512021766</v>
      </c>
      <c r="I241" s="304">
        <f t="shared" ca="1" si="100"/>
        <v>109.00037595348317</v>
      </c>
      <c r="J241" s="306">
        <f t="shared" ca="1" si="101"/>
        <v>250.27365848288991</v>
      </c>
      <c r="K241" s="307">
        <f t="shared" ca="1" si="102"/>
        <v>1833.3449972967521</v>
      </c>
      <c r="L241" s="304">
        <f t="shared" ca="1" si="87"/>
        <v>1850.3488274494186</v>
      </c>
      <c r="M241" s="306">
        <f t="shared" ca="1" si="103"/>
        <v>1.383537873449441</v>
      </c>
      <c r="N241" s="304">
        <f t="shared" ca="1" si="104"/>
        <v>79.27088094515797</v>
      </c>
      <c r="P241" s="310">
        <f t="shared" ca="1" si="105"/>
        <v>23</v>
      </c>
      <c r="Q241" s="304">
        <f t="shared" ca="1" si="106"/>
        <v>0</v>
      </c>
      <c r="R241" s="306">
        <f t="shared" ca="1" si="107"/>
        <v>0</v>
      </c>
      <c r="S241" s="307">
        <f t="shared" ca="1" si="108"/>
        <v>2.0842999999999985</v>
      </c>
      <c r="T241" s="304">
        <f t="shared" ca="1" si="88"/>
        <v>20.446982999999985</v>
      </c>
      <c r="U241" s="311">
        <f t="shared" ca="1" si="89"/>
        <v>0</v>
      </c>
      <c r="V241" s="306">
        <f t="shared" ca="1" si="90"/>
        <v>1.0192736102080018</v>
      </c>
      <c r="W241" s="304">
        <f t="shared" ca="1" si="91"/>
        <v>13.37252082287227</v>
      </c>
      <c r="Y241" s="314" t="str">
        <f t="shared" ca="1" si="109"/>
        <v/>
      </c>
      <c r="Z241" s="315" t="str">
        <f t="shared" ca="1" si="110"/>
        <v/>
      </c>
      <c r="AA241" s="316" t="str">
        <f t="shared" ca="1" si="111"/>
        <v/>
      </c>
      <c r="AC241" s="310" t="e">
        <f t="shared" ca="1" si="112"/>
        <v>#N/A</v>
      </c>
      <c r="AD241" s="323" t="e">
        <f t="shared" ca="1" si="113"/>
        <v>#N/A</v>
      </c>
      <c r="AE241" s="324">
        <f t="shared" ca="1" si="92"/>
        <v>1833.3449972967521</v>
      </c>
      <c r="AG241" s="306">
        <f t="shared" ca="1" si="114"/>
        <v>-16.257345726338286</v>
      </c>
      <c r="AH241" s="304">
        <f t="shared" ca="1" si="115"/>
        <v>-6.6158213032885627</v>
      </c>
    </row>
    <row r="242" spans="1:34" x14ac:dyDescent="0.25">
      <c r="A242" s="347">
        <f t="shared" ca="1" si="93"/>
        <v>0.1</v>
      </c>
      <c r="B242" s="304">
        <f t="shared" ca="1" si="94"/>
        <v>11.499999999999945</v>
      </c>
      <c r="D242" s="306">
        <f t="shared" ca="1" si="95"/>
        <v>-1.1944098353339114</v>
      </c>
      <c r="E242" s="307">
        <f t="shared" ca="1" si="96"/>
        <v>-16.113673440999829</v>
      </c>
      <c r="F242" s="304">
        <f t="shared" ca="1" si="97"/>
        <v>16.15788001620032</v>
      </c>
      <c r="G242" s="306">
        <f t="shared" ca="1" si="98"/>
        <v>20.172720628356501</v>
      </c>
      <c r="H242" s="307">
        <f t="shared" ca="1" si="99"/>
        <v>105.48349777611767</v>
      </c>
      <c r="I242" s="304">
        <f t="shared" ca="1" si="100"/>
        <v>107.39509747020085</v>
      </c>
      <c r="J242" s="306">
        <f t="shared" ca="1" si="101"/>
        <v>252.29690259490224</v>
      </c>
      <c r="K242" s="307">
        <f t="shared" ca="1" si="102"/>
        <v>1843.9739154415688</v>
      </c>
      <c r="L242" s="304">
        <f t="shared" ca="1" si="87"/>
        <v>1861.1538162892102</v>
      </c>
      <c r="M242" s="306">
        <f t="shared" ca="1" si="103"/>
        <v>1.3818373403997701</v>
      </c>
      <c r="N242" s="304">
        <f t="shared" ca="1" si="104"/>
        <v>79.173447578489316</v>
      </c>
      <c r="P242" s="310">
        <f t="shared" ca="1" si="105"/>
        <v>23</v>
      </c>
      <c r="Q242" s="304">
        <f t="shared" ca="1" si="106"/>
        <v>0</v>
      </c>
      <c r="R242" s="306">
        <f t="shared" ca="1" si="107"/>
        <v>0</v>
      </c>
      <c r="S242" s="307">
        <f t="shared" ca="1" si="108"/>
        <v>2.0842999999999985</v>
      </c>
      <c r="T242" s="304">
        <f t="shared" ca="1" si="88"/>
        <v>20.446982999999985</v>
      </c>
      <c r="U242" s="311">
        <f t="shared" ca="1" si="89"/>
        <v>0</v>
      </c>
      <c r="V242" s="306">
        <f t="shared" ca="1" si="90"/>
        <v>1.0181815836111101</v>
      </c>
      <c r="W242" s="304">
        <f t="shared" ca="1" si="91"/>
        <v>12.96763152100239</v>
      </c>
      <c r="Y242" s="314" t="str">
        <f t="shared" ca="1" si="109"/>
        <v/>
      </c>
      <c r="Z242" s="315" t="str">
        <f t="shared" ca="1" si="110"/>
        <v/>
      </c>
      <c r="AA242" s="316" t="str">
        <f t="shared" ca="1" si="111"/>
        <v/>
      </c>
      <c r="AC242" s="310" t="e">
        <f t="shared" ca="1" si="112"/>
        <v>#N/A</v>
      </c>
      <c r="AD242" s="323" t="e">
        <f t="shared" ca="1" si="113"/>
        <v>#N/A</v>
      </c>
      <c r="AE242" s="324">
        <f t="shared" ca="1" si="92"/>
        <v>1843.9739154415688</v>
      </c>
      <c r="AG242" s="306">
        <f t="shared" ca="1" si="114"/>
        <v>-16.05433766495754</v>
      </c>
      <c r="AH242" s="304">
        <f t="shared" ca="1" si="115"/>
        <v>-6.4158330484442159</v>
      </c>
    </row>
    <row r="243" spans="1:34" x14ac:dyDescent="0.25">
      <c r="A243" s="347">
        <f t="shared" ca="1" si="93"/>
        <v>0.1</v>
      </c>
      <c r="B243" s="304">
        <f t="shared" ca="1" si="94"/>
        <v>11.599999999999945</v>
      </c>
      <c r="D243" s="306">
        <f t="shared" ca="1" si="95"/>
        <v>-1.1686392014248024</v>
      </c>
      <c r="E243" s="307">
        <f t="shared" ca="1" si="96"/>
        <v>-15.920834174310386</v>
      </c>
      <c r="F243" s="304">
        <f t="shared" ca="1" si="97"/>
        <v>15.963667447958075</v>
      </c>
      <c r="G243" s="306">
        <f t="shared" ca="1" si="98"/>
        <v>20.055856708214019</v>
      </c>
      <c r="H243" s="307">
        <f t="shared" ca="1" si="99"/>
        <v>103.89141435868663</v>
      </c>
      <c r="I243" s="304">
        <f t="shared" ca="1" si="100"/>
        <v>105.80956178790616</v>
      </c>
      <c r="J243" s="306">
        <f t="shared" ca="1" si="101"/>
        <v>254.30833146173077</v>
      </c>
      <c r="K243" s="307">
        <f t="shared" ca="1" si="102"/>
        <v>1854.442661048309</v>
      </c>
      <c r="L243" s="304">
        <f t="shared" ca="1" si="87"/>
        <v>1871.7986832367371</v>
      </c>
      <c r="M243" s="306">
        <f t="shared" ca="1" si="103"/>
        <v>1.3800958369917724</v>
      </c>
      <c r="N243" s="304">
        <f t="shared" ca="1" si="104"/>
        <v>79.073666783203393</v>
      </c>
      <c r="P243" s="310">
        <f t="shared" ca="1" si="105"/>
        <v>23</v>
      </c>
      <c r="Q243" s="304">
        <f t="shared" ca="1" si="106"/>
        <v>0</v>
      </c>
      <c r="R243" s="306">
        <f t="shared" ca="1" si="107"/>
        <v>0</v>
      </c>
      <c r="S243" s="307">
        <f t="shared" ca="1" si="108"/>
        <v>2.0842999999999985</v>
      </c>
      <c r="T243" s="304">
        <f t="shared" ca="1" si="88"/>
        <v>20.446982999999985</v>
      </c>
      <c r="U243" s="311">
        <f t="shared" ca="1" si="89"/>
        <v>0</v>
      </c>
      <c r="V243" s="306">
        <f t="shared" ca="1" si="90"/>
        <v>1.0171070516400704</v>
      </c>
      <c r="W243" s="304">
        <f t="shared" ca="1" si="91"/>
        <v>12.574276551924404</v>
      </c>
      <c r="Y243" s="314" t="str">
        <f t="shared" ca="1" si="109"/>
        <v/>
      </c>
      <c r="Z243" s="315" t="str">
        <f t="shared" ca="1" si="110"/>
        <v/>
      </c>
      <c r="AA243" s="316" t="str">
        <f t="shared" ca="1" si="111"/>
        <v/>
      </c>
      <c r="AC243" s="310" t="e">
        <f t="shared" ca="1" si="112"/>
        <v>#N/A</v>
      </c>
      <c r="AD243" s="323" t="e">
        <f t="shared" ca="1" si="113"/>
        <v>#N/A</v>
      </c>
      <c r="AE243" s="324">
        <f t="shared" ca="1" si="92"/>
        <v>1854.442661048309</v>
      </c>
      <c r="AG243" s="306">
        <f t="shared" ca="1" si="114"/>
        <v>-15.856961336787464</v>
      </c>
      <c r="AH243" s="304">
        <f t="shared" ca="1" si="115"/>
        <v>-6.221576318669289</v>
      </c>
    </row>
    <row r="244" spans="1:34" x14ac:dyDescent="0.25">
      <c r="A244" s="347">
        <f t="shared" ca="1" si="93"/>
        <v>0.1</v>
      </c>
      <c r="B244" s="304">
        <f t="shared" ca="1" si="94"/>
        <v>11.699999999999944</v>
      </c>
      <c r="D244" s="306">
        <f t="shared" ca="1" si="95"/>
        <v>-1.1435076689781083</v>
      </c>
      <c r="E244" s="307">
        <f t="shared" ca="1" si="96"/>
        <v>-15.73348812561494</v>
      </c>
      <c r="F244" s="304">
        <f t="shared" ca="1" si="97"/>
        <v>15.77498837996016</v>
      </c>
      <c r="G244" s="306">
        <f t="shared" ca="1" si="98"/>
        <v>19.941505941316208</v>
      </c>
      <c r="H244" s="307">
        <f t="shared" ca="1" si="99"/>
        <v>102.31806554612514</v>
      </c>
      <c r="I244" s="304">
        <f t="shared" ca="1" si="100"/>
        <v>104.24322614112013</v>
      </c>
      <c r="J244" s="306">
        <f t="shared" ca="1" si="101"/>
        <v>256.30819959420728</v>
      </c>
      <c r="K244" s="307">
        <f t="shared" ca="1" si="102"/>
        <v>1864.7531350435495</v>
      </c>
      <c r="L244" s="304">
        <f t="shared" ca="1" si="87"/>
        <v>1882.285352393194</v>
      </c>
      <c r="M244" s="306">
        <f t="shared" ca="1" si="103"/>
        <v>1.3783120717524289</v>
      </c>
      <c r="N244" s="304">
        <f t="shared" ca="1" si="104"/>
        <v>78.971464563346871</v>
      </c>
      <c r="P244" s="310">
        <f t="shared" ca="1" si="105"/>
        <v>23</v>
      </c>
      <c r="Q244" s="304">
        <f t="shared" ca="1" si="106"/>
        <v>0</v>
      </c>
      <c r="R244" s="306">
        <f t="shared" ca="1" si="107"/>
        <v>0</v>
      </c>
      <c r="S244" s="307">
        <f t="shared" ca="1" si="108"/>
        <v>2.0842999999999985</v>
      </c>
      <c r="T244" s="304">
        <f t="shared" ca="1" si="88"/>
        <v>20.446982999999985</v>
      </c>
      <c r="U244" s="311">
        <f t="shared" ca="1" si="89"/>
        <v>0</v>
      </c>
      <c r="V244" s="306">
        <f t="shared" ca="1" si="90"/>
        <v>1.0160497707136544</v>
      </c>
      <c r="W244" s="304">
        <f t="shared" ca="1" si="91"/>
        <v>12.192062497415019</v>
      </c>
      <c r="Y244" s="314" t="str">
        <f t="shared" ca="1" si="109"/>
        <v/>
      </c>
      <c r="Z244" s="315" t="str">
        <f t="shared" ca="1" si="110"/>
        <v/>
      </c>
      <c r="AA244" s="316" t="str">
        <f t="shared" ca="1" si="111"/>
        <v/>
      </c>
      <c r="AC244" s="310" t="e">
        <f t="shared" ca="1" si="112"/>
        <v>#N/A</v>
      </c>
      <c r="AD244" s="323" t="e">
        <f t="shared" ca="1" si="113"/>
        <v>#N/A</v>
      </c>
      <c r="AE244" s="324">
        <f t="shared" ca="1" si="92"/>
        <v>1864.7531350435495</v>
      </c>
      <c r="AG244" s="306">
        <f t="shared" ca="1" si="114"/>
        <v>-15.665014882510896</v>
      </c>
      <c r="AH244" s="304">
        <f t="shared" ca="1" si="115"/>
        <v>-6.0328535008993009</v>
      </c>
    </row>
    <row r="245" spans="1:34" x14ac:dyDescent="0.25">
      <c r="A245" s="347">
        <f t="shared" ca="1" si="93"/>
        <v>0.1</v>
      </c>
      <c r="B245" s="304">
        <f t="shared" ca="1" si="94"/>
        <v>11.799999999999944</v>
      </c>
      <c r="D245" s="306">
        <f t="shared" ca="1" si="95"/>
        <v>-1.1189922028918116</v>
      </c>
      <c r="E245" s="307">
        <f t="shared" ca="1" si="96"/>
        <v>-15.551447907596209</v>
      </c>
      <c r="F245" s="304">
        <f t="shared" ca="1" si="97"/>
        <v>15.591654035823499</v>
      </c>
      <c r="G245" s="306">
        <f t="shared" ca="1" si="98"/>
        <v>19.829606721027027</v>
      </c>
      <c r="H245" s="307">
        <f t="shared" ca="1" si="99"/>
        <v>100.76292075536551</v>
      </c>
      <c r="I245" s="304">
        <f t="shared" ca="1" si="100"/>
        <v>102.69556709937713</v>
      </c>
      <c r="J245" s="306">
        <f t="shared" ca="1" si="101"/>
        <v>258.29675522732447</v>
      </c>
      <c r="K245" s="307">
        <f t="shared" ca="1" si="102"/>
        <v>1874.9071843586241</v>
      </c>
      <c r="L245" s="304">
        <f t="shared" ca="1" si="87"/>
        <v>1892.6156936157292</v>
      </c>
      <c r="M245" s="306">
        <f t="shared" ca="1" si="103"/>
        <v>1.3764846968316156</v>
      </c>
      <c r="N245" s="304">
        <f t="shared" ca="1" si="104"/>
        <v>78.866763692796212</v>
      </c>
      <c r="P245" s="310">
        <f t="shared" ca="1" si="105"/>
        <v>23</v>
      </c>
      <c r="Q245" s="304">
        <f t="shared" ca="1" si="106"/>
        <v>0</v>
      </c>
      <c r="R245" s="306">
        <f t="shared" ca="1" si="107"/>
        <v>0</v>
      </c>
      <c r="S245" s="307">
        <f t="shared" ca="1" si="108"/>
        <v>2.0842999999999985</v>
      </c>
      <c r="T245" s="304">
        <f t="shared" ca="1" si="88"/>
        <v>20.446982999999985</v>
      </c>
      <c r="U245" s="311">
        <f t="shared" ca="1" si="89"/>
        <v>0</v>
      </c>
      <c r="V245" s="306">
        <f t="shared" ca="1" si="90"/>
        <v>1.015009504362004</v>
      </c>
      <c r="W245" s="304">
        <f t="shared" ca="1" si="91"/>
        <v>11.820613430730891</v>
      </c>
      <c r="Y245" s="314" t="str">
        <f t="shared" ca="1" si="109"/>
        <v/>
      </c>
      <c r="Z245" s="315" t="str">
        <f t="shared" ca="1" si="110"/>
        <v/>
      </c>
      <c r="AA245" s="316" t="str">
        <f t="shared" ca="1" si="111"/>
        <v/>
      </c>
      <c r="AC245" s="310" t="e">
        <f t="shared" ca="1" si="112"/>
        <v>#N/A</v>
      </c>
      <c r="AD245" s="323" t="e">
        <f t="shared" ca="1" si="113"/>
        <v>#N/A</v>
      </c>
      <c r="AE245" s="324">
        <f t="shared" ca="1" si="92"/>
        <v>1874.9071843586241</v>
      </c>
      <c r="AG245" s="306">
        <f t="shared" ca="1" si="114"/>
        <v>-15.478305073027315</v>
      </c>
      <c r="AH245" s="304">
        <f t="shared" ca="1" si="115"/>
        <v>-5.8494758419685402</v>
      </c>
    </row>
    <row r="246" spans="1:34" x14ac:dyDescent="0.25">
      <c r="A246" s="347">
        <f t="shared" ca="1" si="93"/>
        <v>0.1</v>
      </c>
      <c r="B246" s="304">
        <f t="shared" ca="1" si="94"/>
        <v>11.899999999999944</v>
      </c>
      <c r="D246" s="306">
        <f t="shared" ca="1" si="95"/>
        <v>-1.0950707775976953</v>
      </c>
      <c r="E246" s="307">
        <f t="shared" ca="1" si="96"/>
        <v>-15.374534462884103</v>
      </c>
      <c r="F246" s="304">
        <f t="shared" ca="1" si="97"/>
        <v>15.413484030496136</v>
      </c>
      <c r="G246" s="306">
        <f t="shared" ca="1" si="98"/>
        <v>19.720099643267258</v>
      </c>
      <c r="H246" s="307">
        <f t="shared" ca="1" si="99"/>
        <v>99.225467309077104</v>
      </c>
      <c r="I246" s="304">
        <f t="shared" ca="1" si="100"/>
        <v>101.16607975327067</v>
      </c>
      <c r="J246" s="306">
        <f t="shared" ca="1" si="101"/>
        <v>260.27424054553916</v>
      </c>
      <c r="K246" s="307">
        <f t="shared" ca="1" si="102"/>
        <v>1884.9066037618463</v>
      </c>
      <c r="L246" s="304">
        <f t="shared" ca="1" si="87"/>
        <v>1902.7915243653401</v>
      </c>
      <c r="M246" s="306">
        <f t="shared" ca="1" si="103"/>
        <v>1.3746123049756722</v>
      </c>
      <c r="N246" s="304">
        <f t="shared" ca="1" si="104"/>
        <v>78.759483541855985</v>
      </c>
      <c r="P246" s="310">
        <f t="shared" ca="1" si="105"/>
        <v>23</v>
      </c>
      <c r="Q246" s="304">
        <f t="shared" ca="1" si="106"/>
        <v>0</v>
      </c>
      <c r="R246" s="306">
        <f t="shared" ca="1" si="107"/>
        <v>0</v>
      </c>
      <c r="S246" s="307">
        <f t="shared" ca="1" si="108"/>
        <v>2.0842999999999985</v>
      </c>
      <c r="T246" s="304">
        <f t="shared" ca="1" si="88"/>
        <v>20.446982999999985</v>
      </c>
      <c r="U246" s="311">
        <f t="shared" ca="1" si="89"/>
        <v>0</v>
      </c>
      <c r="V246" s="306">
        <f t="shared" ca="1" si="90"/>
        <v>1.0139860229779221</v>
      </c>
      <c r="W246" s="304">
        <f t="shared" ca="1" si="91"/>
        <v>11.459570001525138</v>
      </c>
      <c r="Y246" s="314" t="str">
        <f t="shared" ca="1" si="109"/>
        <v/>
      </c>
      <c r="Z246" s="315" t="str">
        <f t="shared" ca="1" si="110"/>
        <v/>
      </c>
      <c r="AA246" s="316" t="str">
        <f t="shared" ca="1" si="111"/>
        <v/>
      </c>
      <c r="AC246" s="310" t="e">
        <f t="shared" ca="1" si="112"/>
        <v>#N/A</v>
      </c>
      <c r="AD246" s="323" t="e">
        <f t="shared" ca="1" si="113"/>
        <v>#N/A</v>
      </c>
      <c r="AE246" s="324">
        <f t="shared" ca="1" si="92"/>
        <v>1884.9066037618463</v>
      </c>
      <c r="AG246" s="306">
        <f t="shared" ca="1" si="114"/>
        <v>-15.296646826688647</v>
      </c>
      <c r="AH246" s="304">
        <f t="shared" ca="1" si="115"/>
        <v>-5.6712629807277741</v>
      </c>
    </row>
    <row r="247" spans="1:34" x14ac:dyDescent="0.25">
      <c r="A247" s="347">
        <f t="shared" ca="1" si="93"/>
        <v>0.1</v>
      </c>
      <c r="B247" s="304">
        <f t="shared" ca="1" si="94"/>
        <v>11.999999999999943</v>
      </c>
      <c r="D247" s="306">
        <f t="shared" ca="1" si="95"/>
        <v>-1.071722324172095</v>
      </c>
      <c r="E247" s="307">
        <f t="shared" ca="1" si="96"/>
        <v>-15.202576628174045</v>
      </c>
      <c r="F247" s="304">
        <f t="shared" ca="1" si="97"/>
        <v>15.240305931169248</v>
      </c>
      <c r="G247" s="306">
        <f t="shared" ca="1" si="98"/>
        <v>19.612927410850048</v>
      </c>
      <c r="H247" s="307">
        <f t="shared" ca="1" si="99"/>
        <v>97.705209646259704</v>
      </c>
      <c r="I247" s="304">
        <f t="shared" ca="1" si="100"/>
        <v>99.654276946064044</v>
      </c>
      <c r="J247" s="306">
        <f t="shared" ca="1" si="101"/>
        <v>262.24089189824502</v>
      </c>
      <c r="K247" s="307">
        <f t="shared" ca="1" si="102"/>
        <v>1894.7531376096131</v>
      </c>
      <c r="L247" s="304">
        <f t="shared" ca="1" si="87"/>
        <v>1912.8146114731194</v>
      </c>
      <c r="M247" s="306">
        <f t="shared" ca="1" si="103"/>
        <v>1.3726934263053963</v>
      </c>
      <c r="N247" s="304">
        <f t="shared" ca="1" si="104"/>
        <v>78.649539892651504</v>
      </c>
      <c r="P247" s="310">
        <f t="shared" ca="1" si="105"/>
        <v>23</v>
      </c>
      <c r="Q247" s="304">
        <f t="shared" ca="1" si="106"/>
        <v>0</v>
      </c>
      <c r="R247" s="306">
        <f t="shared" ca="1" si="107"/>
        <v>0</v>
      </c>
      <c r="S247" s="307">
        <f t="shared" ca="1" si="108"/>
        <v>2.0842999999999985</v>
      </c>
      <c r="T247" s="304">
        <f t="shared" ca="1" si="88"/>
        <v>20.446982999999985</v>
      </c>
      <c r="U247" s="311">
        <f t="shared" ca="1" si="89"/>
        <v>0</v>
      </c>
      <c r="V247" s="306">
        <f t="shared" ca="1" si="90"/>
        <v>1.0129791035794085</v>
      </c>
      <c r="W247" s="304">
        <f t="shared" ca="1" si="91"/>
        <v>11.108588576685197</v>
      </c>
      <c r="Y247" s="314" t="str">
        <f t="shared" ca="1" si="109"/>
        <v/>
      </c>
      <c r="Z247" s="315" t="str">
        <f t="shared" ca="1" si="110"/>
        <v/>
      </c>
      <c r="AA247" s="316" t="str">
        <f t="shared" ca="1" si="111"/>
        <v/>
      </c>
      <c r="AC247" s="310">
        <f t="shared" ca="1" si="112"/>
        <v>11.999999999999943</v>
      </c>
      <c r="AD247" s="323">
        <f t="shared" ca="1" si="113"/>
        <v>262.24089189824502</v>
      </c>
      <c r="AE247" s="324">
        <f t="shared" ca="1" si="92"/>
        <v>1894.7531376096131</v>
      </c>
      <c r="AG247" s="306">
        <f t="shared" ca="1" si="114"/>
        <v>-15.119862754252463</v>
      </c>
      <c r="AH247" s="304">
        <f t="shared" ca="1" si="115"/>
        <v>-5.4980425090078908</v>
      </c>
    </row>
    <row r="248" spans="1:34" x14ac:dyDescent="0.25">
      <c r="A248" s="347">
        <f t="shared" ca="1" si="93"/>
        <v>0.1</v>
      </c>
      <c r="B248" s="304">
        <f t="shared" ca="1" si="94"/>
        <v>12.099999999999943</v>
      </c>
      <c r="D248" s="306">
        <f t="shared" ca="1" si="95"/>
        <v>-1.0489266806944721</v>
      </c>
      <c r="E248" s="307">
        <f t="shared" ca="1" si="96"/>
        <v>-15.035410724974831</v>
      </c>
      <c r="F248" s="304">
        <f t="shared" ca="1" si="97"/>
        <v>15.071954845014661</v>
      </c>
      <c r="G248" s="306">
        <f t="shared" ca="1" si="98"/>
        <v>19.508034742780602</v>
      </c>
      <c r="H248" s="307">
        <f t="shared" ca="1" si="99"/>
        <v>96.20166857376222</v>
      </c>
      <c r="I248" s="304">
        <f t="shared" ca="1" si="100"/>
        <v>98.159688548311536</v>
      </c>
      <c r="J248" s="306">
        <f t="shared" ca="1" si="101"/>
        <v>264.19694000592654</v>
      </c>
      <c r="K248" s="307">
        <f t="shared" ca="1" si="102"/>
        <v>1904.4484815206142</v>
      </c>
      <c r="L248" s="304">
        <f t="shared" ca="1" si="87"/>
        <v>1922.6866728291086</v>
      </c>
      <c r="M248" s="306">
        <f t="shared" ca="1" si="103"/>
        <v>1.3707265248838034</v>
      </c>
      <c r="N248" s="304">
        <f t="shared" ca="1" si="104"/>
        <v>78.536844742475949</v>
      </c>
      <c r="P248" s="310">
        <f t="shared" ca="1" si="105"/>
        <v>23</v>
      </c>
      <c r="Q248" s="304">
        <f t="shared" ca="1" si="106"/>
        <v>0</v>
      </c>
      <c r="R248" s="306">
        <f t="shared" ca="1" si="107"/>
        <v>0</v>
      </c>
      <c r="S248" s="307">
        <f t="shared" ca="1" si="108"/>
        <v>2.0842999999999985</v>
      </c>
      <c r="T248" s="304">
        <f t="shared" ca="1" si="88"/>
        <v>20.446982999999985</v>
      </c>
      <c r="U248" s="311">
        <f t="shared" ca="1" si="89"/>
        <v>0</v>
      </c>
      <c r="V248" s="306">
        <f t="shared" ca="1" si="90"/>
        <v>1.0119885295828459</v>
      </c>
      <c r="W248" s="304">
        <f t="shared" ca="1" si="91"/>
        <v>10.767340433218633</v>
      </c>
      <c r="Y248" s="314" t="str">
        <f t="shared" ca="1" si="109"/>
        <v/>
      </c>
      <c r="Z248" s="315" t="str">
        <f t="shared" ca="1" si="110"/>
        <v/>
      </c>
      <c r="AA248" s="316" t="str">
        <f t="shared" ca="1" si="111"/>
        <v/>
      </c>
      <c r="AC248" s="310" t="e">
        <f t="shared" ca="1" si="112"/>
        <v>#N/A</v>
      </c>
      <c r="AD248" s="323" t="e">
        <f t="shared" ca="1" si="113"/>
        <v>#N/A</v>
      </c>
      <c r="AE248" s="324">
        <f t="shared" ca="1" si="92"/>
        <v>1904.4484815206142</v>
      </c>
      <c r="AG248" s="306">
        <f t="shared" ca="1" si="114"/>
        <v>-14.947782729438444</v>
      </c>
      <c r="AH248" s="304">
        <f t="shared" ca="1" si="115"/>
        <v>-5.3296495594133306</v>
      </c>
    </row>
    <row r="249" spans="1:34" x14ac:dyDescent="0.25">
      <c r="A249" s="347">
        <f t="shared" ca="1" si="93"/>
        <v>0.1</v>
      </c>
      <c r="B249" s="304">
        <f t="shared" ca="1" si="94"/>
        <v>12.199999999999942</v>
      </c>
      <c r="D249" s="306">
        <f t="shared" ca="1" si="95"/>
        <v>-1.026664545630549</v>
      </c>
      <c r="E249" s="307">
        <f t="shared" ca="1" si="96"/>
        <v>-14.87288017514082</v>
      </c>
      <c r="F249" s="304">
        <f t="shared" ca="1" si="97"/>
        <v>14.908273031889092</v>
      </c>
      <c r="G249" s="306">
        <f t="shared" ca="1" si="98"/>
        <v>19.405368288217545</v>
      </c>
      <c r="H249" s="307">
        <f t="shared" ca="1" si="99"/>
        <v>94.71438055624813</v>
      </c>
      <c r="I249" s="304">
        <f t="shared" ca="1" si="100"/>
        <v>96.681860773131348</v>
      </c>
      <c r="J249" s="306">
        <f t="shared" ca="1" si="101"/>
        <v>266.14261015747644</v>
      </c>
      <c r="K249" s="307">
        <f t="shared" ca="1" si="102"/>
        <v>1913.9942839771147</v>
      </c>
      <c r="L249" s="304">
        <f t="shared" ca="1" si="87"/>
        <v>1932.4093789977585</v>
      </c>
      <c r="M249" s="306">
        <f t="shared" ca="1" si="103"/>
        <v>1.3687099950577513</v>
      </c>
      <c r="N249" s="304">
        <f t="shared" ca="1" si="104"/>
        <v>78.421306094180906</v>
      </c>
      <c r="P249" s="310">
        <f t="shared" ca="1" si="105"/>
        <v>23</v>
      </c>
      <c r="Q249" s="304">
        <f t="shared" ca="1" si="106"/>
        <v>0</v>
      </c>
      <c r="R249" s="306">
        <f t="shared" ca="1" si="107"/>
        <v>0</v>
      </c>
      <c r="S249" s="307">
        <f t="shared" ca="1" si="108"/>
        <v>2.0842999999999985</v>
      </c>
      <c r="T249" s="304">
        <f t="shared" ca="1" si="88"/>
        <v>20.446982999999985</v>
      </c>
      <c r="U249" s="311">
        <f t="shared" ca="1" si="89"/>
        <v>0</v>
      </c>
      <c r="V249" s="306">
        <f t="shared" ca="1" si="90"/>
        <v>1.011014090586279</v>
      </c>
      <c r="W249" s="304">
        <f t="shared" ca="1" si="91"/>
        <v>10.435510999613404</v>
      </c>
      <c r="Y249" s="314" t="str">
        <f t="shared" ca="1" si="109"/>
        <v/>
      </c>
      <c r="Z249" s="315" t="str">
        <f t="shared" ca="1" si="110"/>
        <v/>
      </c>
      <c r="AA249" s="316" t="str">
        <f t="shared" ca="1" si="111"/>
        <v/>
      </c>
      <c r="AC249" s="310" t="e">
        <f t="shared" ca="1" si="112"/>
        <v>#N/A</v>
      </c>
      <c r="AD249" s="323" t="e">
        <f t="shared" ca="1" si="113"/>
        <v>#N/A</v>
      </c>
      <c r="AE249" s="324">
        <f t="shared" ca="1" si="92"/>
        <v>1913.9942839771147</v>
      </c>
      <c r="AG249" s="306">
        <f t="shared" ca="1" si="114"/>
        <v>-14.780243483122515</v>
      </c>
      <c r="AH249" s="304">
        <f t="shared" ca="1" si="115"/>
        <v>-5.1659264180869551</v>
      </c>
    </row>
    <row r="250" spans="1:34" x14ac:dyDescent="0.25">
      <c r="A250" s="347">
        <f t="shared" ca="1" si="93"/>
        <v>0.1</v>
      </c>
      <c r="B250" s="304">
        <f t="shared" ca="1" si="94"/>
        <v>12.299999999999942</v>
      </c>
      <c r="D250" s="306">
        <f t="shared" ca="1" si="95"/>
        <v>-1.0049174340341498</v>
      </c>
      <c r="E250" s="307">
        <f t="shared" ca="1" si="96"/>
        <v>-14.714835139486109</v>
      </c>
      <c r="F250" s="304">
        <f t="shared" ca="1" si="97"/>
        <v>14.749109540290252</v>
      </c>
      <c r="G250" s="306">
        <f t="shared" ca="1" si="98"/>
        <v>19.304876544814132</v>
      </c>
      <c r="H250" s="307">
        <f t="shared" ca="1" si="99"/>
        <v>93.242897042299518</v>
      </c>
      <c r="I250" s="304">
        <f t="shared" ca="1" si="100"/>
        <v>95.220355529956848</v>
      </c>
      <c r="J250" s="306">
        <f t="shared" ca="1" si="101"/>
        <v>268.07812239912801</v>
      </c>
      <c r="K250" s="307">
        <f t="shared" ca="1" si="102"/>
        <v>1923.3921478570421</v>
      </c>
      <c r="L250" s="304">
        <f t="shared" ca="1" si="87"/>
        <v>1941.9843547637472</v>
      </c>
      <c r="M250" s="306">
        <f t="shared" ca="1" si="103"/>
        <v>1.3666421575561507</v>
      </c>
      <c r="N250" s="304">
        <f t="shared" ca="1" si="104"/>
        <v>78.302827732620329</v>
      </c>
      <c r="P250" s="310">
        <f t="shared" ca="1" si="105"/>
        <v>23</v>
      </c>
      <c r="Q250" s="304">
        <f t="shared" ca="1" si="106"/>
        <v>0</v>
      </c>
      <c r="R250" s="306">
        <f t="shared" ca="1" si="107"/>
        <v>0</v>
      </c>
      <c r="S250" s="307">
        <f t="shared" ca="1" si="108"/>
        <v>2.0842999999999985</v>
      </c>
      <c r="T250" s="304">
        <f t="shared" ca="1" si="88"/>
        <v>20.446982999999985</v>
      </c>
      <c r="U250" s="311">
        <f t="shared" ca="1" si="89"/>
        <v>0</v>
      </c>
      <c r="V250" s="306">
        <f t="shared" ca="1" si="90"/>
        <v>1.0100555821622537</v>
      </c>
      <c r="W250" s="304">
        <f t="shared" ca="1" si="91"/>
        <v>10.112799142373792</v>
      </c>
      <c r="Y250" s="314" t="str">
        <f t="shared" ca="1" si="109"/>
        <v/>
      </c>
      <c r="Z250" s="315" t="str">
        <f t="shared" ca="1" si="110"/>
        <v/>
      </c>
      <c r="AA250" s="316" t="str">
        <f t="shared" ca="1" si="111"/>
        <v/>
      </c>
      <c r="AC250" s="310" t="e">
        <f t="shared" ca="1" si="112"/>
        <v>#N/A</v>
      </c>
      <c r="AD250" s="323" t="e">
        <f t="shared" ca="1" si="113"/>
        <v>#N/A</v>
      </c>
      <c r="AE250" s="324">
        <f t="shared" ca="1" si="92"/>
        <v>1923.3921478570421</v>
      </c>
      <c r="AG250" s="306">
        <f t="shared" ca="1" si="114"/>
        <v>-14.617088219336015</v>
      </c>
      <c r="AH250" s="304">
        <f t="shared" ca="1" si="115"/>
        <v>-5.0067221607318579</v>
      </c>
    </row>
    <row r="251" spans="1:34" x14ac:dyDescent="0.25">
      <c r="A251" s="347">
        <f t="shared" ca="1" si="93"/>
        <v>0.1</v>
      </c>
      <c r="B251" s="304">
        <f t="shared" ca="1" si="94"/>
        <v>12.399999999999942</v>
      </c>
      <c r="D251" s="306">
        <f t="shared" ca="1" si="95"/>
        <v>-0.98366763637792365</v>
      </c>
      <c r="E251" s="307">
        <f t="shared" ca="1" si="96"/>
        <v>-14.561132177909087</v>
      </c>
      <c r="F251" s="304">
        <f t="shared" ca="1" si="97"/>
        <v>14.594319864981607</v>
      </c>
      <c r="G251" s="306">
        <f t="shared" ca="1" si="98"/>
        <v>19.20650978117634</v>
      </c>
      <c r="H251" s="307">
        <f t="shared" ca="1" si="99"/>
        <v>91.786783824508603</v>
      </c>
      <c r="I251" s="304">
        <f t="shared" ca="1" si="100"/>
        <v>93.774749814763553</v>
      </c>
      <c r="J251" s="306">
        <f t="shared" ca="1" si="101"/>
        <v>270.00369171542752</v>
      </c>
      <c r="K251" s="307">
        <f t="shared" ca="1" si="102"/>
        <v>1932.6436319003826</v>
      </c>
      <c r="L251" s="304">
        <f t="shared" ca="1" si="87"/>
        <v>1951.4131806116975</v>
      </c>
      <c r="M251" s="306">
        <f t="shared" ca="1" si="103"/>
        <v>1.364521255325992</v>
      </c>
      <c r="N251" s="304">
        <f t="shared" ca="1" si="104"/>
        <v>78.181308986072352</v>
      </c>
      <c r="P251" s="310">
        <f t="shared" ca="1" si="105"/>
        <v>23</v>
      </c>
      <c r="Q251" s="304">
        <f t="shared" ca="1" si="106"/>
        <v>0</v>
      </c>
      <c r="R251" s="306">
        <f t="shared" ca="1" si="107"/>
        <v>0</v>
      </c>
      <c r="S251" s="307">
        <f t="shared" ca="1" si="108"/>
        <v>2.0842999999999985</v>
      </c>
      <c r="T251" s="304">
        <f t="shared" ca="1" si="88"/>
        <v>20.446982999999985</v>
      </c>
      <c r="U251" s="311">
        <f t="shared" ca="1" si="89"/>
        <v>0</v>
      </c>
      <c r="V251" s="306">
        <f t="shared" ca="1" si="90"/>
        <v>1.0091128056597312</v>
      </c>
      <c r="W251" s="304">
        <f t="shared" ca="1" si="91"/>
        <v>9.7989164946845708</v>
      </c>
      <c r="Y251" s="314" t="str">
        <f t="shared" ca="1" si="109"/>
        <v/>
      </c>
      <c r="Z251" s="315" t="str">
        <f t="shared" ca="1" si="110"/>
        <v/>
      </c>
      <c r="AA251" s="316" t="str">
        <f t="shared" ca="1" si="111"/>
        <v/>
      </c>
      <c r="AC251" s="310" t="e">
        <f t="shared" ca="1" si="112"/>
        <v>#N/A</v>
      </c>
      <c r="AD251" s="323" t="e">
        <f t="shared" ca="1" si="113"/>
        <v>#N/A</v>
      </c>
      <c r="AE251" s="324">
        <f t="shared" ca="1" si="92"/>
        <v>1932.6436319003826</v>
      </c>
      <c r="AG251" s="306">
        <f t="shared" ca="1" si="114"/>
        <v>-14.458166251357625</v>
      </c>
      <c r="AH251" s="304">
        <f t="shared" ca="1" si="115"/>
        <v>-4.8518923103074405</v>
      </c>
    </row>
    <row r="252" spans="1:34" x14ac:dyDescent="0.25">
      <c r="A252" s="347">
        <f t="shared" ca="1" si="93"/>
        <v>0.1</v>
      </c>
      <c r="B252" s="304">
        <f t="shared" ca="1" si="94"/>
        <v>12.499999999999941</v>
      </c>
      <c r="D252" s="306">
        <f t="shared" ca="1" si="95"/>
        <v>-0.96289817983779147</v>
      </c>
      <c r="E252" s="307">
        <f t="shared" ca="1" si="96"/>
        <v>-14.411633929575469</v>
      </c>
      <c r="F252" s="304">
        <f t="shared" ca="1" si="97"/>
        <v>14.443765624823252</v>
      </c>
      <c r="G252" s="306">
        <f t="shared" ca="1" si="98"/>
        <v>19.110219963192559</v>
      </c>
      <c r="H252" s="307">
        <f t="shared" ca="1" si="99"/>
        <v>90.345620431551055</v>
      </c>
      <c r="I252" s="304">
        <f t="shared" ca="1" si="100"/>
        <v>92.344635134930812</v>
      </c>
      <c r="J252" s="306">
        <f t="shared" ca="1" si="101"/>
        <v>271.91952820264595</v>
      </c>
      <c r="K252" s="307">
        <f t="shared" ca="1" si="102"/>
        <v>1941.7502521131855</v>
      </c>
      <c r="L252" s="304">
        <f t="shared" ca="1" si="87"/>
        <v>1960.6973941431067</v>
      </c>
      <c r="M252" s="306">
        <f t="shared" ca="1" si="103"/>
        <v>1.3623454490857685</v>
      </c>
      <c r="N252" s="304">
        <f t="shared" ca="1" si="104"/>
        <v>78.056644471469312</v>
      </c>
      <c r="P252" s="310">
        <f t="shared" ca="1" si="105"/>
        <v>23</v>
      </c>
      <c r="Q252" s="304">
        <f t="shared" ca="1" si="106"/>
        <v>0</v>
      </c>
      <c r="R252" s="306">
        <f t="shared" ca="1" si="107"/>
        <v>0</v>
      </c>
      <c r="S252" s="307">
        <f t="shared" ca="1" si="108"/>
        <v>2.0842999999999985</v>
      </c>
      <c r="T252" s="304">
        <f t="shared" ca="1" si="88"/>
        <v>20.446982999999985</v>
      </c>
      <c r="U252" s="311">
        <f t="shared" ca="1" si="89"/>
        <v>0</v>
      </c>
      <c r="V252" s="306">
        <f t="shared" ca="1" si="90"/>
        <v>1.0081855680146057</v>
      </c>
      <c r="W252" s="304">
        <f t="shared" ca="1" si="91"/>
        <v>9.4935868243858259</v>
      </c>
      <c r="Y252" s="314" t="str">
        <f t="shared" ca="1" si="109"/>
        <v/>
      </c>
      <c r="Z252" s="315" t="str">
        <f t="shared" ca="1" si="110"/>
        <v/>
      </c>
      <c r="AA252" s="316" t="str">
        <f t="shared" ca="1" si="111"/>
        <v/>
      </c>
      <c r="AC252" s="310" t="e">
        <f t="shared" ca="1" si="112"/>
        <v>#N/A</v>
      </c>
      <c r="AD252" s="323" t="e">
        <f t="shared" ca="1" si="113"/>
        <v>#N/A</v>
      </c>
      <c r="AE252" s="324">
        <f t="shared" ca="1" si="92"/>
        <v>1941.7502521131855</v>
      </c>
      <c r="AG252" s="306">
        <f t="shared" ca="1" si="114"/>
        <v>-14.303332656293161</v>
      </c>
      <c r="AH252" s="304">
        <f t="shared" ca="1" si="115"/>
        <v>-4.7012985149376663</v>
      </c>
    </row>
    <row r="253" spans="1:34" x14ac:dyDescent="0.25">
      <c r="A253" s="347">
        <f t="shared" ca="1" si="93"/>
        <v>0.1</v>
      </c>
      <c r="B253" s="304">
        <f t="shared" ca="1" si="94"/>
        <v>12.599999999999941</v>
      </c>
      <c r="D253" s="306">
        <f t="shared" ca="1" si="95"/>
        <v>-0.94259279186935641</v>
      </c>
      <c r="E253" s="307">
        <f t="shared" ca="1" si="96"/>
        <v>-14.266208811817261</v>
      </c>
      <c r="F253" s="304">
        <f t="shared" ca="1" si="97"/>
        <v>14.297314259456442</v>
      </c>
      <c r="G253" s="306">
        <f t="shared" ca="1" si="98"/>
        <v>19.015960684005623</v>
      </c>
      <c r="H253" s="307">
        <f t="shared" ca="1" si="99"/>
        <v>88.918999550369335</v>
      </c>
      <c r="I253" s="304">
        <f t="shared" ca="1" si="100"/>
        <v>90.929616967048915</v>
      </c>
      <c r="J253" s="306">
        <f t="shared" ca="1" si="101"/>
        <v>273.82583723500585</v>
      </c>
      <c r="K253" s="307">
        <f t="shared" ca="1" si="102"/>
        <v>1950.7134831122814</v>
      </c>
      <c r="L253" s="304">
        <f t="shared" ca="1" si="87"/>
        <v>1969.8384914336254</v>
      </c>
      <c r="M253" s="306">
        <f t="shared" ca="1" si="103"/>
        <v>1.3601128125740782</v>
      </c>
      <c r="N253" s="304">
        <f t="shared" ca="1" si="104"/>
        <v>77.928723822162652</v>
      </c>
      <c r="P253" s="310">
        <f t="shared" ca="1" si="105"/>
        <v>23</v>
      </c>
      <c r="Q253" s="304">
        <f t="shared" ca="1" si="106"/>
        <v>0</v>
      </c>
      <c r="R253" s="306">
        <f t="shared" ca="1" si="107"/>
        <v>0</v>
      </c>
      <c r="S253" s="307">
        <f t="shared" ca="1" si="108"/>
        <v>2.0842999999999985</v>
      </c>
      <c r="T253" s="304">
        <f t="shared" ca="1" si="88"/>
        <v>20.446982999999985</v>
      </c>
      <c r="U253" s="311">
        <f t="shared" ca="1" si="89"/>
        <v>0</v>
      </c>
      <c r="V253" s="306">
        <f t="shared" ca="1" si="90"/>
        <v>1.0072736815683923</v>
      </c>
      <c r="W253" s="304">
        <f t="shared" ca="1" si="91"/>
        <v>9.1965454386521657</v>
      </c>
      <c r="Y253" s="314" t="str">
        <f t="shared" ca="1" si="109"/>
        <v/>
      </c>
      <c r="Z253" s="315" t="str">
        <f t="shared" ca="1" si="110"/>
        <v/>
      </c>
      <c r="AA253" s="316" t="str">
        <f t="shared" ca="1" si="111"/>
        <v/>
      </c>
      <c r="AC253" s="310" t="e">
        <f t="shared" ca="1" si="112"/>
        <v>#N/A</v>
      </c>
      <c r="AD253" s="323" t="e">
        <f t="shared" ca="1" si="113"/>
        <v>#N/A</v>
      </c>
      <c r="AE253" s="324">
        <f t="shared" ca="1" si="92"/>
        <v>1950.7134831122814</v>
      </c>
      <c r="AG253" s="306">
        <f t="shared" ca="1" si="114"/>
        <v>-14.152447946634183</v>
      </c>
      <c r="AH253" s="304">
        <f t="shared" ca="1" si="115"/>
        <v>-4.5548082446796681</v>
      </c>
    </row>
    <row r="254" spans="1:34" x14ac:dyDescent="0.25">
      <c r="A254" s="347">
        <f t="shared" ca="1" si="93"/>
        <v>0.1</v>
      </c>
      <c r="B254" s="304">
        <f t="shared" ca="1" si="94"/>
        <v>12.699999999999941</v>
      </c>
      <c r="D254" s="306">
        <f t="shared" ca="1" si="95"/>
        <v>-0.92273586592691093</v>
      </c>
      <c r="E254" s="307">
        <f t="shared" ca="1" si="96"/>
        <v>-14.124730736505787</v>
      </c>
      <c r="F254" s="304">
        <f t="shared" ca="1" si="97"/>
        <v>14.154838743590801</v>
      </c>
      <c r="G254" s="306">
        <f t="shared" ca="1" si="98"/>
        <v>18.923687097412934</v>
      </c>
      <c r="H254" s="307">
        <f t="shared" ca="1" si="99"/>
        <v>87.506526476718761</v>
      </c>
      <c r="I254" s="304">
        <f t="shared" ca="1" si="100"/>
        <v>89.529314246125409</v>
      </c>
      <c r="J254" s="306">
        <f t="shared" ca="1" si="101"/>
        <v>275.72281962407681</v>
      </c>
      <c r="K254" s="307">
        <f t="shared" ca="1" si="102"/>
        <v>1959.5347594136358</v>
      </c>
      <c r="L254" s="304">
        <f t="shared" ca="1" si="87"/>
        <v>1978.8379283336235</v>
      </c>
      <c r="M254" s="306">
        <f t="shared" ca="1" si="103"/>
        <v>1.3578213274691966</v>
      </c>
      <c r="N254" s="304">
        <f t="shared" ca="1" si="104"/>
        <v>77.797431396835833</v>
      </c>
      <c r="P254" s="310">
        <f t="shared" ca="1" si="105"/>
        <v>23</v>
      </c>
      <c r="Q254" s="304">
        <f t="shared" ca="1" si="106"/>
        <v>0</v>
      </c>
      <c r="R254" s="306">
        <f t="shared" ca="1" si="107"/>
        <v>0</v>
      </c>
      <c r="S254" s="307">
        <f t="shared" ca="1" si="108"/>
        <v>2.0842999999999985</v>
      </c>
      <c r="T254" s="304">
        <f t="shared" ca="1" si="88"/>
        <v>20.446982999999985</v>
      </c>
      <c r="U254" s="311">
        <f t="shared" ca="1" si="89"/>
        <v>0</v>
      </c>
      <c r="V254" s="306">
        <f t="shared" ca="1" si="90"/>
        <v>1.006376963894676</v>
      </c>
      <c r="W254" s="304">
        <f t="shared" ca="1" si="91"/>
        <v>8.9075386229633615</v>
      </c>
      <c r="Y254" s="314" t="str">
        <f t="shared" ca="1" si="109"/>
        <v/>
      </c>
      <c r="Z254" s="315" t="str">
        <f t="shared" ca="1" si="110"/>
        <v/>
      </c>
      <c r="AA254" s="316" t="str">
        <f t="shared" ca="1" si="111"/>
        <v/>
      </c>
      <c r="AC254" s="310" t="e">
        <f t="shared" ca="1" si="112"/>
        <v>#N/A</v>
      </c>
      <c r="AD254" s="323" t="e">
        <f t="shared" ca="1" si="113"/>
        <v>#N/A</v>
      </c>
      <c r="AE254" s="324">
        <f t="shared" ca="1" si="92"/>
        <v>1959.5347594136358</v>
      </c>
      <c r="AG254" s="306">
        <f t="shared" ca="1" si="114"/>
        <v>-14.005377757371688</v>
      </c>
      <c r="AH254" s="304">
        <f t="shared" ca="1" si="115"/>
        <v>-4.4122945059023042</v>
      </c>
    </row>
    <row r="255" spans="1:34" x14ac:dyDescent="0.25">
      <c r="A255" s="347">
        <f t="shared" ca="1" si="93"/>
        <v>0.1</v>
      </c>
      <c r="B255" s="304">
        <f t="shared" ca="1" si="94"/>
        <v>12.79999999999994</v>
      </c>
      <c r="D255" s="306">
        <f t="shared" ca="1" si="95"/>
        <v>-0.90331242918700816</v>
      </c>
      <c r="E255" s="307">
        <f t="shared" ca="1" si="96"/>
        <v>-13.987078842748803</v>
      </c>
      <c r="F255" s="304">
        <f t="shared" ca="1" si="97"/>
        <v>14.016217317735729</v>
      </c>
      <c r="G255" s="306">
        <f t="shared" ca="1" si="98"/>
        <v>18.833355854494233</v>
      </c>
      <c r="H255" s="307">
        <f t="shared" ca="1" si="99"/>
        <v>86.107818592443877</v>
      </c>
      <c r="I255" s="304">
        <f t="shared" ca="1" si="100"/>
        <v>88.143358884780625</v>
      </c>
      <c r="J255" s="306">
        <f t="shared" ca="1" si="101"/>
        <v>277.61067177167217</v>
      </c>
      <c r="K255" s="307">
        <f t="shared" ca="1" si="102"/>
        <v>1968.215476667094</v>
      </c>
      <c r="L255" s="304">
        <f t="shared" ca="1" si="87"/>
        <v>1987.6971217148239</v>
      </c>
      <c r="M255" s="306">
        <f t="shared" ca="1" si="103"/>
        <v>1.3554688779532453</v>
      </c>
      <c r="N255" s="304">
        <f t="shared" ca="1" si="104"/>
        <v>77.662645968054235</v>
      </c>
      <c r="P255" s="310">
        <f t="shared" ca="1" si="105"/>
        <v>23</v>
      </c>
      <c r="Q255" s="304">
        <f t="shared" ca="1" si="106"/>
        <v>0</v>
      </c>
      <c r="R255" s="306">
        <f t="shared" ca="1" si="107"/>
        <v>0</v>
      </c>
      <c r="S255" s="307">
        <f t="shared" ca="1" si="108"/>
        <v>2.0842999999999985</v>
      </c>
      <c r="T255" s="304">
        <f t="shared" ca="1" si="88"/>
        <v>20.446982999999985</v>
      </c>
      <c r="U255" s="311">
        <f t="shared" ca="1" si="89"/>
        <v>0</v>
      </c>
      <c r="V255" s="306">
        <f t="shared" ca="1" si="90"/>
        <v>1.0054952376329309</v>
      </c>
      <c r="W255" s="304">
        <f t="shared" ca="1" si="91"/>
        <v>8.6263231121312689</v>
      </c>
      <c r="Y255" s="314" t="str">
        <f t="shared" ca="1" si="109"/>
        <v/>
      </c>
      <c r="Z255" s="315" t="str">
        <f t="shared" ca="1" si="110"/>
        <v/>
      </c>
      <c r="AA255" s="316" t="str">
        <f t="shared" ca="1" si="111"/>
        <v/>
      </c>
      <c r="AC255" s="310" t="e">
        <f t="shared" ca="1" si="112"/>
        <v>#N/A</v>
      </c>
      <c r="AD255" s="323" t="e">
        <f t="shared" ca="1" si="113"/>
        <v>#N/A</v>
      </c>
      <c r="AE255" s="324">
        <f t="shared" ca="1" si="92"/>
        <v>1968.215476667094</v>
      </c>
      <c r="AG255" s="306">
        <f t="shared" ca="1" si="114"/>
        <v>-13.861992547315857</v>
      </c>
      <c r="AH255" s="304">
        <f t="shared" ca="1" si="115"/>
        <v>-4.2736355721169543</v>
      </c>
    </row>
    <row r="256" spans="1:34" x14ac:dyDescent="0.25">
      <c r="A256" s="347">
        <f t="shared" ca="1" si="93"/>
        <v>0.1</v>
      </c>
      <c r="B256" s="304">
        <f t="shared" ca="1" si="94"/>
        <v>12.89999999999994</v>
      </c>
      <c r="D256" s="306">
        <f t="shared" ca="1" si="95"/>
        <v>-0.88430811214899319</v>
      </c>
      <c r="E256" s="307">
        <f t="shared" ca="1" si="96"/>
        <v>-13.853137244846421</v>
      </c>
      <c r="F256" s="304">
        <f t="shared" ca="1" si="97"/>
        <v>13.88133323430295</v>
      </c>
      <c r="G256" s="306">
        <f t="shared" ca="1" si="98"/>
        <v>18.744925043279334</v>
      </c>
      <c r="H256" s="307">
        <f t="shared" ca="1" si="99"/>
        <v>84.722504867959231</v>
      </c>
      <c r="I256" s="304">
        <f t="shared" ca="1" si="100"/>
        <v>86.771395321151402</v>
      </c>
      <c r="J256" s="306">
        <f t="shared" ca="1" si="101"/>
        <v>279.48958581656086</v>
      </c>
      <c r="K256" s="307">
        <f t="shared" ca="1" si="102"/>
        <v>1976.7569928401142</v>
      </c>
      <c r="L256" s="304">
        <f t="shared" ca="1" si="87"/>
        <v>1996.4174506656177</v>
      </c>
      <c r="M256" s="306">
        <f t="shared" ca="1" si="103"/>
        <v>1.3530532448921746</v>
      </c>
      <c r="N256" s="304">
        <f t="shared" ca="1" si="104"/>
        <v>77.52424038880261</v>
      </c>
      <c r="P256" s="310">
        <f t="shared" ca="1" si="105"/>
        <v>23</v>
      </c>
      <c r="Q256" s="304">
        <f t="shared" ca="1" si="106"/>
        <v>0</v>
      </c>
      <c r="R256" s="306">
        <f t="shared" ca="1" si="107"/>
        <v>0</v>
      </c>
      <c r="S256" s="307">
        <f t="shared" ca="1" si="108"/>
        <v>2.0842999999999985</v>
      </c>
      <c r="T256" s="304">
        <f t="shared" ca="1" si="88"/>
        <v>20.446982999999985</v>
      </c>
      <c r="U256" s="311">
        <f t="shared" ca="1" si="89"/>
        <v>0</v>
      </c>
      <c r="V256" s="306">
        <f t="shared" ca="1" si="90"/>
        <v>1.0046283303293515</v>
      </c>
      <c r="W256" s="304">
        <f t="shared" ca="1" si="91"/>
        <v>8.3526655913110517</v>
      </c>
      <c r="Y256" s="314" t="str">
        <f t="shared" ca="1" si="109"/>
        <v/>
      </c>
      <c r="Z256" s="315" t="str">
        <f t="shared" ca="1" si="110"/>
        <v/>
      </c>
      <c r="AA256" s="316" t="str">
        <f t="shared" ca="1" si="111"/>
        <v/>
      </c>
      <c r="AC256" s="310" t="e">
        <f t="shared" ca="1" si="112"/>
        <v>#N/A</v>
      </c>
      <c r="AD256" s="323" t="e">
        <f t="shared" ca="1" si="113"/>
        <v>#N/A</v>
      </c>
      <c r="AE256" s="324">
        <f t="shared" ca="1" si="92"/>
        <v>1976.7569928401142</v>
      </c>
      <c r="AG256" s="306">
        <f t="shared" ca="1" si="114"/>
        <v>-13.722167313338272</v>
      </c>
      <c r="AH256" s="304">
        <f t="shared" ca="1" si="115"/>
        <v>-4.1387147301882043</v>
      </c>
    </row>
    <row r="257" spans="1:34" x14ac:dyDescent="0.25">
      <c r="A257" s="347">
        <f t="shared" ca="1" si="93"/>
        <v>0.1</v>
      </c>
      <c r="B257" s="304">
        <f t="shared" ca="1" si="94"/>
        <v>12.99999999999994</v>
      </c>
      <c r="D257" s="306">
        <f t="shared" ca="1" si="95"/>
        <v>-0.86570911999456102</v>
      </c>
      <c r="E257" s="307">
        <f t="shared" ca="1" si="96"/>
        <v>-13.72279479451813</v>
      </c>
      <c r="F257" s="304">
        <f t="shared" ca="1" si="97"/>
        <v>13.750074518085189</v>
      </c>
      <c r="G257" s="306">
        <f t="shared" ca="1" si="98"/>
        <v>18.658354131279879</v>
      </c>
      <c r="H257" s="307">
        <f t="shared" ca="1" si="99"/>
        <v>83.350225388507411</v>
      </c>
      <c r="I257" s="304">
        <f t="shared" ca="1" si="100"/>
        <v>85.413080094346412</v>
      </c>
      <c r="J257" s="306">
        <f t="shared" ca="1" si="101"/>
        <v>281.35974977528883</v>
      </c>
      <c r="K257" s="307">
        <f t="shared" ca="1" si="102"/>
        <v>1985.1606293529376</v>
      </c>
      <c r="L257" s="304">
        <f t="shared" ca="1" si="87"/>
        <v>2005.0002576375307</v>
      </c>
      <c r="M257" s="306">
        <f t="shared" ca="1" si="103"/>
        <v>1.3505720996001502</v>
      </c>
      <c r="N257" s="304">
        <f t="shared" ca="1" si="104"/>
        <v>77.382081235210862</v>
      </c>
      <c r="P257" s="310">
        <f t="shared" ca="1" si="105"/>
        <v>23</v>
      </c>
      <c r="Q257" s="304">
        <f t="shared" ca="1" si="106"/>
        <v>0</v>
      </c>
      <c r="R257" s="306">
        <f t="shared" ca="1" si="107"/>
        <v>0</v>
      </c>
      <c r="S257" s="307">
        <f t="shared" ca="1" si="108"/>
        <v>2.0842999999999985</v>
      </c>
      <c r="T257" s="304">
        <f t="shared" ca="1" si="88"/>
        <v>20.446982999999985</v>
      </c>
      <c r="U257" s="311">
        <f t="shared" ca="1" si="89"/>
        <v>0</v>
      </c>
      <c r="V257" s="306">
        <f t="shared" ca="1" si="90"/>
        <v>1.003776074284346</v>
      </c>
      <c r="W257" s="304">
        <f t="shared" ca="1" si="91"/>
        <v>8.0863422250748425</v>
      </c>
      <c r="Y257" s="314" t="str">
        <f t="shared" ca="1" si="109"/>
        <v/>
      </c>
      <c r="Z257" s="315" t="str">
        <f t="shared" ca="1" si="110"/>
        <v/>
      </c>
      <c r="AA257" s="316" t="str">
        <f t="shared" ca="1" si="111"/>
        <v/>
      </c>
      <c r="AC257" s="310">
        <f t="shared" ca="1" si="112"/>
        <v>12.99999999999994</v>
      </c>
      <c r="AD257" s="323">
        <f t="shared" ca="1" si="113"/>
        <v>281.35974977528883</v>
      </c>
      <c r="AE257" s="324">
        <f t="shared" ca="1" si="92"/>
        <v>1985.1606293529376</v>
      </c>
      <c r="AG257" s="306">
        <f t="shared" ca="1" si="114"/>
        <v>-13.585781316308864</v>
      </c>
      <c r="AH257" s="304">
        <f t="shared" ca="1" si="115"/>
        <v>-4.0074200409303158</v>
      </c>
    </row>
    <row r="258" spans="1:34" x14ac:dyDescent="0.25">
      <c r="A258" s="347">
        <f t="shared" ca="1" si="93"/>
        <v>0.1</v>
      </c>
      <c r="B258" s="304">
        <f t="shared" ca="1" si="94"/>
        <v>13.099999999999939</v>
      </c>
      <c r="D258" s="306">
        <f t="shared" ca="1" si="95"/>
        <v>-0.84750220559724732</v>
      </c>
      <c r="E258" s="307">
        <f t="shared" ca="1" si="96"/>
        <v>-13.595944856484627</v>
      </c>
      <c r="F258" s="304">
        <f t="shared" ca="1" si="97"/>
        <v>13.622333740187948</v>
      </c>
      <c r="G258" s="306">
        <f t="shared" ca="1" si="98"/>
        <v>18.573603910720156</v>
      </c>
      <c r="H258" s="307">
        <f t="shared" ca="1" si="99"/>
        <v>81.990630902858953</v>
      </c>
      <c r="I258" s="304">
        <f t="shared" ca="1" si="100"/>
        <v>84.068081446415619</v>
      </c>
      <c r="J258" s="306">
        <f t="shared" ca="1" si="101"/>
        <v>283.22134767738885</v>
      </c>
      <c r="K258" s="307">
        <f t="shared" ca="1" si="102"/>
        <v>1993.427672167506</v>
      </c>
      <c r="L258" s="304">
        <f t="shared" ca="1" si="87"/>
        <v>2013.446849545167</v>
      </c>
      <c r="M258" s="306">
        <f t="shared" ca="1" si="103"/>
        <v>1.3480229971540261</v>
      </c>
      <c r="N258" s="304">
        <f t="shared" ca="1" si="104"/>
        <v>77.23602842350148</v>
      </c>
      <c r="P258" s="310">
        <f t="shared" ca="1" si="105"/>
        <v>23</v>
      </c>
      <c r="Q258" s="304">
        <f t="shared" ca="1" si="106"/>
        <v>0</v>
      </c>
      <c r="R258" s="306">
        <f t="shared" ca="1" si="107"/>
        <v>0</v>
      </c>
      <c r="S258" s="307">
        <f t="shared" ca="1" si="108"/>
        <v>2.0842999999999985</v>
      </c>
      <c r="T258" s="304">
        <f t="shared" ca="1" si="88"/>
        <v>20.446982999999985</v>
      </c>
      <c r="U258" s="311">
        <f t="shared" ca="1" si="89"/>
        <v>0</v>
      </c>
      <c r="V258" s="306">
        <f t="shared" ca="1" si="90"/>
        <v>1.0029383064063762</v>
      </c>
      <c r="W258" s="304">
        <f t="shared" ca="1" si="91"/>
        <v>7.827138212764118</v>
      </c>
      <c r="Y258" s="314" t="str">
        <f t="shared" ca="1" si="109"/>
        <v/>
      </c>
      <c r="Z258" s="315" t="str">
        <f t="shared" ca="1" si="110"/>
        <v/>
      </c>
      <c r="AA258" s="316" t="str">
        <f t="shared" ca="1" si="111"/>
        <v/>
      </c>
      <c r="AC258" s="310" t="e">
        <f t="shared" ca="1" si="112"/>
        <v>#N/A</v>
      </c>
      <c r="AD258" s="323" t="e">
        <f t="shared" ca="1" si="113"/>
        <v>#N/A</v>
      </c>
      <c r="AE258" s="324">
        <f t="shared" ca="1" si="92"/>
        <v>1993.427672167506</v>
      </c>
      <c r="AG258" s="306">
        <f t="shared" ca="1" si="114"/>
        <v>-13.452717817547034</v>
      </c>
      <c r="AH258" s="304">
        <f t="shared" ca="1" si="115"/>
        <v>-3.8796441131674175</v>
      </c>
    </row>
    <row r="259" spans="1:34" x14ac:dyDescent="0.25">
      <c r="A259" s="347">
        <f t="shared" ca="1" si="93"/>
        <v>0.1</v>
      </c>
      <c r="B259" s="304">
        <f t="shared" ca="1" si="94"/>
        <v>13.199999999999939</v>
      </c>
      <c r="D259" s="306">
        <f t="shared" ca="1" si="95"/>
        <v>-0.82967464408100933</v>
      </c>
      <c r="E259" s="307">
        <f t="shared" ca="1" si="96"/>
        <v>-13.472485096553852</v>
      </c>
      <c r="F259" s="304">
        <f t="shared" ca="1" si="97"/>
        <v>13.498007804557552</v>
      </c>
      <c r="G259" s="306">
        <f t="shared" ca="1" si="98"/>
        <v>18.490636446312056</v>
      </c>
      <c r="H259" s="307">
        <f t="shared" ca="1" si="99"/>
        <v>80.643382393203566</v>
      </c>
      <c r="I259" s="304">
        <f t="shared" ca="1" si="100"/>
        <v>82.736078949912397</v>
      </c>
      <c r="J259" s="306">
        <f t="shared" ca="1" si="101"/>
        <v>285.07455969524045</v>
      </c>
      <c r="K259" s="307">
        <f t="shared" ca="1" si="102"/>
        <v>2001.559372832309</v>
      </c>
      <c r="L259" s="304">
        <f t="shared" ca="1" si="87"/>
        <v>2021.7584988218305</v>
      </c>
      <c r="M259" s="306">
        <f t="shared" ca="1" si="103"/>
        <v>1.3454033692203817</v>
      </c>
      <c r="N259" s="304">
        <f t="shared" ca="1" si="104"/>
        <v>77.085934799009081</v>
      </c>
      <c r="P259" s="310">
        <f t="shared" ca="1" si="105"/>
        <v>23</v>
      </c>
      <c r="Q259" s="304">
        <f t="shared" ca="1" si="106"/>
        <v>0</v>
      </c>
      <c r="R259" s="306">
        <f t="shared" ca="1" si="107"/>
        <v>0</v>
      </c>
      <c r="S259" s="307">
        <f t="shared" ca="1" si="108"/>
        <v>2.0842999999999985</v>
      </c>
      <c r="T259" s="304">
        <f t="shared" ca="1" si="88"/>
        <v>20.446982999999985</v>
      </c>
      <c r="U259" s="311">
        <f t="shared" ca="1" si="89"/>
        <v>0</v>
      </c>
      <c r="V259" s="306">
        <f t="shared" ca="1" si="90"/>
        <v>1.0021148680718319</v>
      </c>
      <c r="W259" s="304">
        <f t="shared" ca="1" si="91"/>
        <v>7.5748473684641269</v>
      </c>
      <c r="Y259" s="314" t="str">
        <f t="shared" ca="1" si="109"/>
        <v/>
      </c>
      <c r="Z259" s="315" t="str">
        <f t="shared" ca="1" si="110"/>
        <v/>
      </c>
      <c r="AA259" s="316" t="str">
        <f t="shared" ca="1" si="111"/>
        <v/>
      </c>
      <c r="AC259" s="310" t="e">
        <f t="shared" ca="1" si="112"/>
        <v>#N/A</v>
      </c>
      <c r="AD259" s="323" t="e">
        <f t="shared" ca="1" si="113"/>
        <v>#N/A</v>
      </c>
      <c r="AE259" s="324">
        <f t="shared" ca="1" si="92"/>
        <v>2001.559372832309</v>
      </c>
      <c r="AG259" s="306">
        <f t="shared" ca="1" si="114"/>
        <v>-13.322863824644802</v>
      </c>
      <c r="AH259" s="304">
        <f t="shared" ca="1" si="115"/>
        <v>-3.7552838904016332</v>
      </c>
    </row>
    <row r="260" spans="1:34" x14ac:dyDescent="0.25">
      <c r="A260" s="347">
        <f t="shared" ca="1" si="93"/>
        <v>0.1</v>
      </c>
      <c r="B260" s="304">
        <f t="shared" ca="1" si="94"/>
        <v>13.299999999999939</v>
      </c>
      <c r="D260" s="306">
        <f t="shared" ca="1" si="95"/>
        <v>-0.81221420883463302</v>
      </c>
      <c r="E260" s="307">
        <f t="shared" ca="1" si="96"/>
        <v>-13.352317281421026</v>
      </c>
      <c r="F260" s="304">
        <f t="shared" ca="1" si="97"/>
        <v>13.376997746309426</v>
      </c>
      <c r="G260" s="306">
        <f t="shared" ca="1" si="98"/>
        <v>18.409415025428594</v>
      </c>
      <c r="H260" s="307">
        <f t="shared" ca="1" si="99"/>
        <v>79.308150665061461</v>
      </c>
      <c r="I260" s="304">
        <f t="shared" ca="1" si="100"/>
        <v>81.416763160239697</v>
      </c>
      <c r="J260" s="306">
        <f t="shared" ca="1" si="101"/>
        <v>286.91956226882746</v>
      </c>
      <c r="K260" s="307">
        <f t="shared" ca="1" si="102"/>
        <v>2009.5569494852223</v>
      </c>
      <c r="L260" s="304">
        <f t="shared" ref="L260:L323" ca="1" si="116">SQRT(pos_x^2+pos_z^2)</f>
        <v>2029.936444432901</v>
      </c>
      <c r="M260" s="306">
        <f t="shared" ca="1" si="103"/>
        <v>1.3427105163540729</v>
      </c>
      <c r="N260" s="304">
        <f t="shared" ca="1" si="104"/>
        <v>76.931645694919879</v>
      </c>
      <c r="P260" s="310">
        <f t="shared" ca="1" si="105"/>
        <v>23</v>
      </c>
      <c r="Q260" s="304">
        <f t="shared" ca="1" si="106"/>
        <v>0</v>
      </c>
      <c r="R260" s="306">
        <f t="shared" ca="1" si="107"/>
        <v>0</v>
      </c>
      <c r="S260" s="307">
        <f t="shared" ca="1" si="108"/>
        <v>2.0842999999999985</v>
      </c>
      <c r="T260" s="304">
        <f t="shared" ref="T260:T323" ca="1" si="117">m*g</f>
        <v>20.446982999999985</v>
      </c>
      <c r="U260" s="311">
        <f t="shared" ref="U260:U323" ca="1" si="118">IF(pos_xz&lt;L_rampe,Poids*COS(Beta),0)</f>
        <v>0</v>
      </c>
      <c r="V260" s="306">
        <f t="shared" ref="V260:V323" ca="1" si="119">Rho_moyen*(20000-Alt_rampe-pos_z)/(20000+Alt_rampe+pos_z)</f>
        <v>1.0013056049906564</v>
      </c>
      <c r="W260" s="304">
        <f t="shared" ref="W260:W323" ca="1" si="120">1/2*Rho*Sref*Cx*vit_xz^2</f>
        <v>7.3292717240609351</v>
      </c>
      <c r="Y260" s="314" t="str">
        <f t="shared" ca="1" si="109"/>
        <v/>
      </c>
      <c r="Z260" s="315" t="str">
        <f t="shared" ca="1" si="110"/>
        <v/>
      </c>
      <c r="AA260" s="316" t="str">
        <f t="shared" ca="1" si="111"/>
        <v/>
      </c>
      <c r="AC260" s="310" t="e">
        <f t="shared" ca="1" si="112"/>
        <v>#N/A</v>
      </c>
      <c r="AD260" s="323" t="e">
        <f t="shared" ca="1" si="113"/>
        <v>#N/A</v>
      </c>
      <c r="AE260" s="324">
        <f t="shared" ref="AE260:AE323" ca="1" si="121">IF(t&lt;T_para, pos_z, NA())</f>
        <v>2009.5569494852223</v>
      </c>
      <c r="AG260" s="306">
        <f t="shared" ca="1" si="114"/>
        <v>-13.196109845549577</v>
      </c>
      <c r="AH260" s="304">
        <f t="shared" ca="1" si="115"/>
        <v>-3.6342404492943108</v>
      </c>
    </row>
    <row r="261" spans="1:34" x14ac:dyDescent="0.25">
      <c r="A261" s="347">
        <f t="shared" ref="A261:A324" ca="1" si="122">IF(B260+0.01&lt;=T_ini+ROUNDUP(Temps_fin_propu,0), 0.01, IF(K260&gt;0, 0.1, 0.0001))</f>
        <v>0.1</v>
      </c>
      <c r="B261" s="304">
        <f t="shared" ref="B261:B324" ca="1" si="123">B260+pas</f>
        <v>13.399999999999938</v>
      </c>
      <c r="D261" s="306">
        <f t="shared" ref="D261:D324" ca="1" si="124">IF(AND(L260&lt;L_rampe,Poussee&lt;Poids*SIN(M260)),0,(-W260+Poussee)/m*COS(M260)-U260/m*SIN(M260))</f>
        <v>-0.79510914889577433</v>
      </c>
      <c r="E261" s="307">
        <f t="shared" ref="E261:E324" ca="1" si="125">IF(AND(L260&lt;L_rampe,Poussee&lt;Poids*SIN(M260)),0,(-W260+Poussee)/m*SIN(M260)+U260/m*COS(M260)-Poids/m)</f>
        <v>-13.235347089448149</v>
      </c>
      <c r="F261" s="304">
        <f t="shared" ref="F261:F324" ca="1" si="126">SQRT(acc_x^2+acc_z^2)</f>
        <v>13.259208541116674</v>
      </c>
      <c r="G261" s="306">
        <f t="shared" ref="G261:G324" ca="1" si="127">G260+acc_x*pas</f>
        <v>18.329904110539015</v>
      </c>
      <c r="H261" s="307">
        <f t="shared" ref="H261:H324" ca="1" si="128">H260+acc_z*pas</f>
        <v>77.984615956116642</v>
      </c>
      <c r="I261" s="304">
        <f t="shared" ref="I261:I324" ca="1" si="129">SQRT(vit_x^2+vit_z^2)</f>
        <v>80.109835292082309</v>
      </c>
      <c r="J261" s="306">
        <f t="shared" ref="J261:J324" ca="1" si="130">J260+0.5*(vit_x+G260)*pas*(K260&gt;=0)</f>
        <v>288.75652822562586</v>
      </c>
      <c r="K261" s="307">
        <f t="shared" ref="K261:K324" ca="1" si="131">K260+0.5*(vit_z+H260)*pas</f>
        <v>2017.4215878162811</v>
      </c>
      <c r="L261" s="304">
        <f t="shared" ca="1" si="116"/>
        <v>2037.9818928489235</v>
      </c>
      <c r="M261" s="306">
        <f t="shared" ref="M261:M324" ca="1" si="132">IF(AND(L260&gt;L_rampe,G261&gt;0),ATAN2(G261,H261),$M$4)</f>
        <v>1.3399415997233455</v>
      </c>
      <c r="N261" s="304">
        <f t="shared" ref="N261:N324" ca="1" si="133">DEGREES(Beta)</f>
        <v>76.772998458155612</v>
      </c>
      <c r="P261" s="310">
        <f t="shared" ref="P261:P324" ca="1" si="134">MATCH(t-pas/2-T_ini,CdP_t)</f>
        <v>23</v>
      </c>
      <c r="Q261" s="304">
        <f t="shared" ref="Q261:Q324" ca="1" si="135">(INDEX(CdP,2,i_P+1)-INDEX(CdP,2,i_P+0))/(INDEX(CdP,1,i_P+1)-INDEX(CdP,1,i_P+0))*(t-pas/2-T_ini-INDEX(CdP,1,i_P+0))+INDEX(CdP,2,i_P+0)</f>
        <v>0</v>
      </c>
      <c r="R261" s="306">
        <f t="shared" ref="R261:R324" ca="1" si="136">Poussee/(g*ISP)</f>
        <v>0</v>
      </c>
      <c r="S261" s="307">
        <f t="shared" ref="S261:S324" ca="1" si="137">S260-Débit*pas</f>
        <v>2.0842999999999985</v>
      </c>
      <c r="T261" s="304">
        <f t="shared" ca="1" si="117"/>
        <v>20.446982999999985</v>
      </c>
      <c r="U261" s="311">
        <f t="shared" ca="1" si="118"/>
        <v>0</v>
      </c>
      <c r="V261" s="306">
        <f t="shared" ca="1" si="119"/>
        <v>1.0005103670774509</v>
      </c>
      <c r="W261" s="304">
        <f t="shared" ca="1" si="120"/>
        <v>7.0902211539495692</v>
      </c>
      <c r="Y261" s="314" t="str">
        <f t="shared" ref="Y261:Y324" ca="1" si="138">IF(AND(pos_z&lt;=0,K260&gt;0),"Impact balistique","") &amp; IF(AND(H262&lt;0,vit_z&gt;=0),"Apogée","") &amp; IF(AND(Poussee=0,Q260&gt;0),"Fin de propulsion","") &amp; IF(AND(L262&gt;L_rampe,pos_xz&lt;=L_rampe),"Sortie de rampe","")</f>
        <v/>
      </c>
      <c r="Z261" s="315" t="str">
        <f t="shared" ref="Z261:Z324" ca="1" si="139">IF(ABS(t-T_para)&lt;pas/2,"Para","")</f>
        <v/>
      </c>
      <c r="AA261" s="316" t="str">
        <f t="shared" ref="AA261:AA324" ca="1" si="140">IF(ABS(t-T_satellite)&lt;pas/2,"Satellite","")</f>
        <v/>
      </c>
      <c r="AC261" s="310" t="e">
        <f t="shared" ref="AC261:AC324" ca="1" si="141">IF(ABS(t-ROUND(t,0))&lt;0.001,t,NA())</f>
        <v>#N/A</v>
      </c>
      <c r="AD261" s="323" t="e">
        <f t="shared" ref="AD261:AD324" ca="1" si="142">IF(ABS(t-ROUND(t,0))&lt;0.001,pos_x,NA())</f>
        <v>#N/A</v>
      </c>
      <c r="AE261" s="324">
        <f t="shared" ca="1" si="121"/>
        <v>2017.4215878162811</v>
      </c>
      <c r="AG261" s="306">
        <f t="shared" ref="AG261:AG324" ca="1" si="143">IF(AND(L260&lt;L_rampe,Poussee&lt;Poids*SIN(M260)),0,(-W260+Poussee)/m-Poids*SIN(M260)/m)</f>
        <v>-13.072349649815537</v>
      </c>
      <c r="AH261" s="304">
        <f t="shared" ref="AH261:AH324" ca="1" si="144">IF(AND(L260&lt;L_rampe,Poussee&lt;Poids*SIN(M260)), g*SIN(M260), (-W260+Poussee)/m)</f>
        <v>-3.5164188092217725</v>
      </c>
    </row>
    <row r="262" spans="1:34" x14ac:dyDescent="0.25">
      <c r="A262" s="347">
        <f t="shared" ca="1" si="122"/>
        <v>0.1</v>
      </c>
      <c r="B262" s="304">
        <f t="shared" ca="1" si="123"/>
        <v>13.499999999999938</v>
      </c>
      <c r="D262" s="306">
        <f t="shared" ca="1" si="124"/>
        <v>-0.77834816762495707</v>
      </c>
      <c r="E262" s="307">
        <f t="shared" ca="1" si="125"/>
        <v>-13.121483931739698</v>
      </c>
      <c r="F262" s="304">
        <f t="shared" ca="1" si="126"/>
        <v>13.144548924970694</v>
      </c>
      <c r="G262" s="306">
        <f t="shared" ca="1" si="127"/>
        <v>18.252069293776518</v>
      </c>
      <c r="H262" s="307">
        <f t="shared" ca="1" si="128"/>
        <v>76.672467562942671</v>
      </c>
      <c r="I262" s="304">
        <f t="shared" ca="1" si="129"/>
        <v>78.815006919338117</v>
      </c>
      <c r="J262" s="306">
        <f t="shared" ca="1" si="130"/>
        <v>290.58562689584164</v>
      </c>
      <c r="K262" s="307">
        <f t="shared" ca="1" si="131"/>
        <v>2025.1544419922341</v>
      </c>
      <c r="L262" s="304">
        <f t="shared" ca="1" si="116"/>
        <v>2045.8960189802722</v>
      </c>
      <c r="M262" s="306">
        <f t="shared" ca="1" si="132"/>
        <v>1.3370936322122478</v>
      </c>
      <c r="N262" s="304">
        <f t="shared" ca="1" si="133"/>
        <v>76.609821939579334</v>
      </c>
      <c r="P262" s="310">
        <f t="shared" ca="1" si="134"/>
        <v>23</v>
      </c>
      <c r="Q262" s="304">
        <f t="shared" ca="1" si="135"/>
        <v>0</v>
      </c>
      <c r="R262" s="306">
        <f t="shared" ca="1" si="136"/>
        <v>0</v>
      </c>
      <c r="S262" s="307">
        <f t="shared" ca="1" si="137"/>
        <v>2.0842999999999985</v>
      </c>
      <c r="T262" s="304">
        <f t="shared" ca="1" si="117"/>
        <v>20.446982999999985</v>
      </c>
      <c r="U262" s="311">
        <f t="shared" ca="1" si="118"/>
        <v>0</v>
      </c>
      <c r="V262" s="306">
        <f t="shared" ca="1" si="119"/>
        <v>0.99972900832779887</v>
      </c>
      <c r="W262" s="304">
        <f t="shared" ca="1" si="120"/>
        <v>6.8575130200614964</v>
      </c>
      <c r="Y262" s="314" t="str">
        <f t="shared" ca="1" si="138"/>
        <v/>
      </c>
      <c r="Z262" s="315" t="str">
        <f t="shared" ca="1" si="139"/>
        <v/>
      </c>
      <c r="AA262" s="316" t="str">
        <f t="shared" ca="1" si="140"/>
        <v/>
      </c>
      <c r="AC262" s="310" t="e">
        <f t="shared" ca="1" si="141"/>
        <v>#N/A</v>
      </c>
      <c r="AD262" s="323" t="e">
        <f t="shared" ca="1" si="142"/>
        <v>#N/A</v>
      </c>
      <c r="AE262" s="324">
        <f t="shared" ca="1" si="121"/>
        <v>2025.1544419922341</v>
      </c>
      <c r="AG262" s="306">
        <f t="shared" ca="1" si="143"/>
        <v>-12.95148003594511</v>
      </c>
      <c r="AH262" s="304">
        <f t="shared" ca="1" si="144"/>
        <v>-3.4017277522187661</v>
      </c>
    </row>
    <row r="263" spans="1:34" x14ac:dyDescent="0.25">
      <c r="A263" s="347">
        <f t="shared" ca="1" si="122"/>
        <v>0.1</v>
      </c>
      <c r="B263" s="304">
        <f t="shared" ca="1" si="123"/>
        <v>13.599999999999937</v>
      </c>
      <c r="D263" s="306">
        <f t="shared" ca="1" si="124"/>
        <v>-0.76192040259601035</v>
      </c>
      <c r="E263" s="307">
        <f t="shared" ca="1" si="125"/>
        <v>-13.010640782878573</v>
      </c>
      <c r="F263" s="304">
        <f t="shared" ca="1" si="126"/>
        <v>13.032931223673177</v>
      </c>
      <c r="G263" s="306">
        <f t="shared" ca="1" si="127"/>
        <v>18.175877253516916</v>
      </c>
      <c r="H263" s="307">
        <f t="shared" ca="1" si="128"/>
        <v>75.37140348465482</v>
      </c>
      <c r="I263" s="304">
        <f t="shared" ca="1" si="129"/>
        <v>77.531999698070152</v>
      </c>
      <c r="J263" s="306">
        <f t="shared" ca="1" si="130"/>
        <v>292.40702422320629</v>
      </c>
      <c r="K263" s="307">
        <f t="shared" ca="1" si="131"/>
        <v>2032.756635544614</v>
      </c>
      <c r="L263" s="304">
        <f t="shared" ca="1" si="116"/>
        <v>2053.6799670751357</v>
      </c>
      <c r="M263" s="306">
        <f t="shared" ca="1" si="132"/>
        <v>1.3341634688463238</v>
      </c>
      <c r="N263" s="304">
        <f t="shared" ca="1" si="133"/>
        <v>76.441935945428042</v>
      </c>
      <c r="P263" s="310">
        <f t="shared" ca="1" si="134"/>
        <v>23</v>
      </c>
      <c r="Q263" s="304">
        <f t="shared" ca="1" si="135"/>
        <v>0</v>
      </c>
      <c r="R263" s="306">
        <f t="shared" ca="1" si="136"/>
        <v>0</v>
      </c>
      <c r="S263" s="307">
        <f t="shared" ca="1" si="137"/>
        <v>2.0842999999999985</v>
      </c>
      <c r="T263" s="304">
        <f t="shared" ca="1" si="117"/>
        <v>20.446982999999985</v>
      </c>
      <c r="U263" s="311">
        <f t="shared" ca="1" si="118"/>
        <v>0</v>
      </c>
      <c r="V263" s="306">
        <f t="shared" ca="1" si="119"/>
        <v>0.99896138669957213</v>
      </c>
      <c r="W263" s="304">
        <f t="shared" ca="1" si="120"/>
        <v>6.6309718359715708</v>
      </c>
      <c r="Y263" s="314" t="str">
        <f t="shared" ca="1" si="138"/>
        <v/>
      </c>
      <c r="Z263" s="315" t="str">
        <f t="shared" ca="1" si="139"/>
        <v/>
      </c>
      <c r="AA263" s="316" t="str">
        <f t="shared" ca="1" si="140"/>
        <v/>
      </c>
      <c r="AC263" s="310" t="e">
        <f t="shared" ca="1" si="141"/>
        <v>#N/A</v>
      </c>
      <c r="AD263" s="323" t="e">
        <f t="shared" ca="1" si="142"/>
        <v>#N/A</v>
      </c>
      <c r="AE263" s="324">
        <f t="shared" ca="1" si="121"/>
        <v>2032.756635544614</v>
      </c>
      <c r="AG263" s="306">
        <f t="shared" ca="1" si="143"/>
        <v>-12.833400603746025</v>
      </c>
      <c r="AH263" s="304">
        <f t="shared" ca="1" si="144"/>
        <v>-3.2900796526706815</v>
      </c>
    </row>
    <row r="264" spans="1:34" x14ac:dyDescent="0.25">
      <c r="A264" s="347">
        <f t="shared" ca="1" si="122"/>
        <v>0.1</v>
      </c>
      <c r="B264" s="304">
        <f t="shared" ca="1" si="123"/>
        <v>13.699999999999937</v>
      </c>
      <c r="D264" s="306">
        <f t="shared" ca="1" si="124"/>
        <v>-0.74581540663505685</v>
      </c>
      <c r="E264" s="307">
        <f t="shared" ca="1" si="125"/>
        <v>-12.902734020729916</v>
      </c>
      <c r="F264" s="304">
        <f t="shared" ca="1" si="126"/>
        <v>12.924271191462806</v>
      </c>
      <c r="G264" s="306">
        <f t="shared" ca="1" si="127"/>
        <v>18.10129571285341</v>
      </c>
      <c r="H264" s="307">
        <f t="shared" ca="1" si="128"/>
        <v>74.081130082581822</v>
      </c>
      <c r="I264" s="304">
        <f t="shared" ca="1" si="129"/>
        <v>76.26054511211268</v>
      </c>
      <c r="J264" s="306">
        <f t="shared" ca="1" si="130"/>
        <v>294.22088287152479</v>
      </c>
      <c r="K264" s="307">
        <f t="shared" ca="1" si="131"/>
        <v>2040.2292622229759</v>
      </c>
      <c r="L264" s="304">
        <f t="shared" ca="1" si="116"/>
        <v>2061.3348515824905</v>
      </c>
      <c r="M264" s="306">
        <f t="shared" ca="1" si="132"/>
        <v>1.3311477964822898</v>
      </c>
      <c r="N264" s="304">
        <f t="shared" ca="1" si="133"/>
        <v>76.269150646574658</v>
      </c>
      <c r="P264" s="310">
        <f t="shared" ca="1" si="134"/>
        <v>23</v>
      </c>
      <c r="Q264" s="304">
        <f t="shared" ca="1" si="135"/>
        <v>0</v>
      </c>
      <c r="R264" s="306">
        <f t="shared" ca="1" si="136"/>
        <v>0</v>
      </c>
      <c r="S264" s="307">
        <f t="shared" ca="1" si="137"/>
        <v>2.0842999999999985</v>
      </c>
      <c r="T264" s="304">
        <f t="shared" ca="1" si="117"/>
        <v>20.446982999999985</v>
      </c>
      <c r="U264" s="311">
        <f t="shared" ca="1" si="118"/>
        <v>0</v>
      </c>
      <c r="V264" s="306">
        <f t="shared" ca="1" si="119"/>
        <v>0.99820736399898335</v>
      </c>
      <c r="W264" s="304">
        <f t="shared" ca="1" si="120"/>
        <v>6.4104289489295905</v>
      </c>
      <c r="Y264" s="314" t="str">
        <f t="shared" ca="1" si="138"/>
        <v/>
      </c>
      <c r="Z264" s="315" t="str">
        <f t="shared" ca="1" si="139"/>
        <v/>
      </c>
      <c r="AA264" s="316" t="str">
        <f t="shared" ca="1" si="140"/>
        <v/>
      </c>
      <c r="AC264" s="310" t="e">
        <f t="shared" ca="1" si="141"/>
        <v>#N/A</v>
      </c>
      <c r="AD264" s="323" t="e">
        <f t="shared" ca="1" si="142"/>
        <v>#N/A</v>
      </c>
      <c r="AE264" s="324">
        <f t="shared" ca="1" si="121"/>
        <v>2040.2292622229759</v>
      </c>
      <c r="AG264" s="306">
        <f t="shared" ca="1" si="143"/>
        <v>-12.718013530624075</v>
      </c>
      <c r="AH264" s="304">
        <f t="shared" ca="1" si="144"/>
        <v>-3.1813903161596584</v>
      </c>
    </row>
    <row r="265" spans="1:34" x14ac:dyDescent="0.25">
      <c r="A265" s="347">
        <f t="shared" ca="1" si="122"/>
        <v>0.1</v>
      </c>
      <c r="B265" s="304">
        <f t="shared" ca="1" si="123"/>
        <v>13.799999999999937</v>
      </c>
      <c r="D265" s="306">
        <f t="shared" ca="1" si="124"/>
        <v>-0.73002312994554741</v>
      </c>
      <c r="E265" s="307">
        <f t="shared" ca="1" si="125"/>
        <v>-12.797683274760695</v>
      </c>
      <c r="F265" s="304">
        <f t="shared" ca="1" si="126"/>
        <v>12.81848785822045</v>
      </c>
      <c r="G265" s="306">
        <f t="shared" ca="1" si="127"/>
        <v>18.028293399858857</v>
      </c>
      <c r="H265" s="307">
        <f t="shared" ca="1" si="128"/>
        <v>72.801361755105759</v>
      </c>
      <c r="I265" s="304">
        <f t="shared" ca="1" si="129"/>
        <v>75.000384241076858</v>
      </c>
      <c r="J265" s="306">
        <f t="shared" ca="1" si="130"/>
        <v>296.0273623271604</v>
      </c>
      <c r="K265" s="307">
        <f t="shared" ca="1" si="131"/>
        <v>2047.5733868148602</v>
      </c>
      <c r="L265" s="304">
        <f t="shared" ca="1" si="116"/>
        <v>2068.8617579816332</v>
      </c>
      <c r="M265" s="306">
        <f t="shared" ca="1" si="132"/>
        <v>1.3280431226965725</v>
      </c>
      <c r="N265" s="304">
        <f t="shared" ca="1" si="133"/>
        <v>76.091265941888153</v>
      </c>
      <c r="P265" s="310">
        <f t="shared" ca="1" si="134"/>
        <v>23</v>
      </c>
      <c r="Q265" s="304">
        <f t="shared" ca="1" si="135"/>
        <v>0</v>
      </c>
      <c r="R265" s="306">
        <f t="shared" ca="1" si="136"/>
        <v>0</v>
      </c>
      <c r="S265" s="307">
        <f t="shared" ca="1" si="137"/>
        <v>2.0842999999999985</v>
      </c>
      <c r="T265" s="304">
        <f t="shared" ca="1" si="117"/>
        <v>20.446982999999985</v>
      </c>
      <c r="U265" s="311">
        <f t="shared" ca="1" si="118"/>
        <v>0</v>
      </c>
      <c r="V265" s="306">
        <f t="shared" ca="1" si="119"/>
        <v>0.99746680577117564</v>
      </c>
      <c r="W265" s="304">
        <f t="shared" ca="1" si="120"/>
        <v>6.1957222387402417</v>
      </c>
      <c r="Y265" s="314" t="str">
        <f t="shared" ca="1" si="138"/>
        <v/>
      </c>
      <c r="Z265" s="315" t="str">
        <f t="shared" ca="1" si="139"/>
        <v/>
      </c>
      <c r="AA265" s="316" t="str">
        <f t="shared" ca="1" si="140"/>
        <v/>
      </c>
      <c r="AC265" s="310" t="e">
        <f t="shared" ca="1" si="141"/>
        <v>#N/A</v>
      </c>
      <c r="AD265" s="323" t="e">
        <f t="shared" ca="1" si="142"/>
        <v>#N/A</v>
      </c>
      <c r="AE265" s="324">
        <f t="shared" ca="1" si="121"/>
        <v>2047.5733868148602</v>
      </c>
      <c r="AG265" s="306">
        <f t="shared" ca="1" si="143"/>
        <v>-12.605223350716814</v>
      </c>
      <c r="AH265" s="304">
        <f t="shared" ca="1" si="144"/>
        <v>-3.0755788269105193</v>
      </c>
    </row>
    <row r="266" spans="1:34" x14ac:dyDescent="0.25">
      <c r="A266" s="347">
        <f t="shared" ca="1" si="122"/>
        <v>0.1</v>
      </c>
      <c r="B266" s="304">
        <f t="shared" ca="1" si="123"/>
        <v>13.899999999999936</v>
      </c>
      <c r="D266" s="306">
        <f t="shared" ca="1" si="124"/>
        <v>-0.71453390326181687</v>
      </c>
      <c r="E266" s="307">
        <f t="shared" ca="1" si="125"/>
        <v>-12.695411282360125</v>
      </c>
      <c r="F266" s="304">
        <f t="shared" ca="1" si="126"/>
        <v>12.715503384734216</v>
      </c>
      <c r="G266" s="306">
        <f t="shared" ca="1" si="127"/>
        <v>17.956840009532677</v>
      </c>
      <c r="H266" s="307">
        <f t="shared" ca="1" si="128"/>
        <v>71.531820626869745</v>
      </c>
      <c r="I266" s="304">
        <f t="shared" ca="1" si="129"/>
        <v>73.751267550616518</v>
      </c>
      <c r="J266" s="306">
        <f t="shared" ca="1" si="130"/>
        <v>297.82661899762996</v>
      </c>
      <c r="K266" s="307">
        <f t="shared" ca="1" si="131"/>
        <v>2054.7900459339589</v>
      </c>
      <c r="L266" s="304">
        <f t="shared" ca="1" si="116"/>
        <v>2076.2617435797542</v>
      </c>
      <c r="M266" s="306">
        <f t="shared" ca="1" si="132"/>
        <v>1.3248457638011133</v>
      </c>
      <c r="N266" s="304">
        <f t="shared" ca="1" si="133"/>
        <v>75.908070771589735</v>
      </c>
      <c r="P266" s="310">
        <f t="shared" ca="1" si="134"/>
        <v>23</v>
      </c>
      <c r="Q266" s="304">
        <f t="shared" ca="1" si="135"/>
        <v>0</v>
      </c>
      <c r="R266" s="306">
        <f t="shared" ca="1" si="136"/>
        <v>0</v>
      </c>
      <c r="S266" s="307">
        <f t="shared" ca="1" si="137"/>
        <v>2.0842999999999985</v>
      </c>
      <c r="T266" s="304">
        <f t="shared" ca="1" si="117"/>
        <v>20.446982999999985</v>
      </c>
      <c r="U266" s="311">
        <f t="shared" ca="1" si="118"/>
        <v>0</v>
      </c>
      <c r="V266" s="306">
        <f t="shared" ca="1" si="119"/>
        <v>0.99673958119513761</v>
      </c>
      <c r="W266" s="304">
        <f t="shared" ca="1" si="120"/>
        <v>5.9866958324876913</v>
      </c>
      <c r="Y266" s="314" t="str">
        <f t="shared" ca="1" si="138"/>
        <v/>
      </c>
      <c r="Z266" s="315" t="str">
        <f t="shared" ca="1" si="139"/>
        <v/>
      </c>
      <c r="AA266" s="316" t="str">
        <f t="shared" ca="1" si="140"/>
        <v/>
      </c>
      <c r="AC266" s="310" t="e">
        <f t="shared" ca="1" si="141"/>
        <v>#N/A</v>
      </c>
      <c r="AD266" s="323" t="e">
        <f t="shared" ca="1" si="142"/>
        <v>#N/A</v>
      </c>
      <c r="AE266" s="324">
        <f t="shared" ca="1" si="121"/>
        <v>2054.7900459339589</v>
      </c>
      <c r="AG266" s="306">
        <f t="shared" ca="1" si="143"/>
        <v>-12.494936735748723</v>
      </c>
      <c r="AH266" s="304">
        <f t="shared" ca="1" si="144"/>
        <v>-2.9725674033201774</v>
      </c>
    </row>
    <row r="267" spans="1:34" x14ac:dyDescent="0.25">
      <c r="A267" s="347">
        <f t="shared" ca="1" si="122"/>
        <v>0.1</v>
      </c>
      <c r="B267" s="304">
        <f t="shared" ca="1" si="123"/>
        <v>13.999999999999936</v>
      </c>
      <c r="D267" s="306">
        <f t="shared" ca="1" si="124"/>
        <v>-0.69933842197837404</v>
      </c>
      <c r="E267" s="307">
        <f t="shared" ca="1" si="125"/>
        <v>-12.59584375268024</v>
      </c>
      <c r="F267" s="304">
        <f t="shared" ca="1" si="126"/>
        <v>12.61524292554008</v>
      </c>
      <c r="G267" s="306">
        <f t="shared" ca="1" si="127"/>
        <v>17.886906167334839</v>
      </c>
      <c r="H267" s="307">
        <f t="shared" ca="1" si="128"/>
        <v>70.272236251601726</v>
      </c>
      <c r="I267" s="304">
        <f t="shared" ca="1" si="129"/>
        <v>72.512954704935098</v>
      </c>
      <c r="J267" s="306">
        <f t="shared" ca="1" si="130"/>
        <v>299.61880630647335</v>
      </c>
      <c r="K267" s="307">
        <f t="shared" ca="1" si="131"/>
        <v>2061.8802487778826</v>
      </c>
      <c r="L267" s="304">
        <f t="shared" ca="1" si="116"/>
        <v>2083.5358382789723</v>
      </c>
      <c r="M267" s="306">
        <f t="shared" ca="1" si="132"/>
        <v>1.3215518319076949</v>
      </c>
      <c r="N267" s="304">
        <f t="shared" ca="1" si="133"/>
        <v>75.719342376093323</v>
      </c>
      <c r="P267" s="310">
        <f t="shared" ca="1" si="134"/>
        <v>23</v>
      </c>
      <c r="Q267" s="304">
        <f t="shared" ca="1" si="135"/>
        <v>0</v>
      </c>
      <c r="R267" s="306">
        <f t="shared" ca="1" si="136"/>
        <v>0</v>
      </c>
      <c r="S267" s="307">
        <f t="shared" ca="1" si="137"/>
        <v>2.0842999999999985</v>
      </c>
      <c r="T267" s="304">
        <f t="shared" ca="1" si="117"/>
        <v>20.446982999999985</v>
      </c>
      <c r="U267" s="311">
        <f t="shared" ca="1" si="118"/>
        <v>0</v>
      </c>
      <c r="V267" s="306">
        <f t="shared" ca="1" si="119"/>
        <v>0.99602556298275435</v>
      </c>
      <c r="W267" s="304">
        <f t="shared" ca="1" si="120"/>
        <v>5.7831998341685598</v>
      </c>
      <c r="Y267" s="314" t="str">
        <f t="shared" ca="1" si="138"/>
        <v/>
      </c>
      <c r="Z267" s="315" t="str">
        <f t="shared" ca="1" si="139"/>
        <v/>
      </c>
      <c r="AA267" s="316" t="str">
        <f t="shared" ca="1" si="140"/>
        <v/>
      </c>
      <c r="AC267" s="310">
        <f t="shared" ca="1" si="141"/>
        <v>13.999999999999936</v>
      </c>
      <c r="AD267" s="323">
        <f t="shared" ca="1" si="142"/>
        <v>299.61880630647335</v>
      </c>
      <c r="AE267" s="324">
        <f t="shared" ca="1" si="121"/>
        <v>2061.8802487778826</v>
      </c>
      <c r="AG267" s="306">
        <f t="shared" ca="1" si="143"/>
        <v>-12.387062276452339</v>
      </c>
      <c r="AH267" s="304">
        <f t="shared" ca="1" si="144"/>
        <v>-2.8722812610889488</v>
      </c>
    </row>
    <row r="268" spans="1:34" x14ac:dyDescent="0.25">
      <c r="A268" s="347">
        <f t="shared" ca="1" si="122"/>
        <v>0.1</v>
      </c>
      <c r="B268" s="304">
        <f t="shared" ca="1" si="123"/>
        <v>14.099999999999936</v>
      </c>
      <c r="D268" s="306">
        <f t="shared" ca="1" si="124"/>
        <v>-0.68442773120657741</v>
      </c>
      <c r="E268" s="307">
        <f t="shared" ca="1" si="125"/>
        <v>-12.498909237547746</v>
      </c>
      <c r="F268" s="304">
        <f t="shared" ca="1" si="126"/>
        <v>12.517634498886</v>
      </c>
      <c r="G268" s="306">
        <f t="shared" ca="1" si="127"/>
        <v>17.818463394214181</v>
      </c>
      <c r="H268" s="307">
        <f t="shared" ca="1" si="128"/>
        <v>69.022345327846949</v>
      </c>
      <c r="I268" s="304">
        <f t="shared" ca="1" si="129"/>
        <v>71.285214401638058</v>
      </c>
      <c r="J268" s="306">
        <f t="shared" ca="1" si="130"/>
        <v>301.4040747845508</v>
      </c>
      <c r="K268" s="307">
        <f t="shared" ca="1" si="131"/>
        <v>2068.8449778568552</v>
      </c>
      <c r="L268" s="304">
        <f t="shared" ca="1" si="116"/>
        <v>2090.6850453141578</v>
      </c>
      <c r="M268" s="306">
        <f t="shared" ca="1" si="132"/>
        <v>1.3181572209540817</v>
      </c>
      <c r="N268" s="304">
        <f t="shared" ca="1" si="133"/>
        <v>75.524845495362399</v>
      </c>
      <c r="P268" s="310">
        <f t="shared" ca="1" si="134"/>
        <v>23</v>
      </c>
      <c r="Q268" s="304">
        <f t="shared" ca="1" si="135"/>
        <v>0</v>
      </c>
      <c r="R268" s="306">
        <f t="shared" ca="1" si="136"/>
        <v>0</v>
      </c>
      <c r="S268" s="307">
        <f t="shared" ca="1" si="137"/>
        <v>2.0842999999999985</v>
      </c>
      <c r="T268" s="304">
        <f t="shared" ca="1" si="117"/>
        <v>20.446982999999985</v>
      </c>
      <c r="U268" s="311">
        <f t="shared" ca="1" si="118"/>
        <v>0</v>
      </c>
      <c r="V268" s="306">
        <f t="shared" ca="1" si="119"/>
        <v>0.99532462728180715</v>
      </c>
      <c r="W268" s="304">
        <f t="shared" ca="1" si="120"/>
        <v>5.5850900683591007</v>
      </c>
      <c r="Y268" s="314" t="str">
        <f t="shared" ca="1" si="138"/>
        <v/>
      </c>
      <c r="Z268" s="315" t="str">
        <f t="shared" ca="1" si="139"/>
        <v/>
      </c>
      <c r="AA268" s="316" t="str">
        <f t="shared" ca="1" si="140"/>
        <v/>
      </c>
      <c r="AC268" s="310" t="e">
        <f t="shared" ca="1" si="141"/>
        <v>#N/A</v>
      </c>
      <c r="AD268" s="323" t="e">
        <f t="shared" ca="1" si="142"/>
        <v>#N/A</v>
      </c>
      <c r="AE268" s="324">
        <f t="shared" ca="1" si="121"/>
        <v>2068.8449778568552</v>
      </c>
      <c r="AG268" s="306">
        <f t="shared" ca="1" si="143"/>
        <v>-12.281510263352789</v>
      </c>
      <c r="AH268" s="304">
        <f t="shared" ca="1" si="144"/>
        <v>-2.7746484835045644</v>
      </c>
    </row>
    <row r="269" spans="1:34" x14ac:dyDescent="0.25">
      <c r="A269" s="347">
        <f t="shared" ca="1" si="122"/>
        <v>0.1</v>
      </c>
      <c r="B269" s="304">
        <f t="shared" ca="1" si="123"/>
        <v>14.199999999999935</v>
      </c>
      <c r="D269" s="306">
        <f t="shared" ca="1" si="124"/>
        <v>-0.66979321171464701</v>
      </c>
      <c r="E269" s="307">
        <f t="shared" ca="1" si="125"/>
        <v>-12.404539009027435</v>
      </c>
      <c r="F269" s="304">
        <f t="shared" ca="1" si="126"/>
        <v>12.422608863396704</v>
      </c>
      <c r="G269" s="306">
        <f t="shared" ca="1" si="127"/>
        <v>17.751484073042715</v>
      </c>
      <c r="H269" s="307">
        <f t="shared" ca="1" si="128"/>
        <v>67.781891426944199</v>
      </c>
      <c r="I269" s="304">
        <f t="shared" ca="1" si="129"/>
        <v>70.067824229167712</v>
      </c>
      <c r="J269" s="306">
        <f t="shared" ca="1" si="130"/>
        <v>303.18257215791363</v>
      </c>
      <c r="K269" s="307">
        <f t="shared" ca="1" si="131"/>
        <v>2075.6851896945946</v>
      </c>
      <c r="L269" s="304">
        <f t="shared" ca="1" si="116"/>
        <v>2097.7103419628206</v>
      </c>
      <c r="M269" s="306">
        <f t="shared" ca="1" si="132"/>
        <v>1.3146575915964676</v>
      </c>
      <c r="N269" s="304">
        <f t="shared" ca="1" si="133"/>
        <v>75.324331503311029</v>
      </c>
      <c r="P269" s="310">
        <f t="shared" ca="1" si="134"/>
        <v>23</v>
      </c>
      <c r="Q269" s="304">
        <f t="shared" ca="1" si="135"/>
        <v>0</v>
      </c>
      <c r="R269" s="306">
        <f t="shared" ca="1" si="136"/>
        <v>0</v>
      </c>
      <c r="S269" s="307">
        <f t="shared" ca="1" si="137"/>
        <v>2.0842999999999985</v>
      </c>
      <c r="T269" s="304">
        <f t="shared" ca="1" si="117"/>
        <v>20.446982999999985</v>
      </c>
      <c r="U269" s="311">
        <f t="shared" ca="1" si="118"/>
        <v>0</v>
      </c>
      <c r="V269" s="306">
        <f t="shared" ca="1" si="119"/>
        <v>0.99463665358275066</v>
      </c>
      <c r="W269" s="304">
        <f t="shared" ca="1" si="120"/>
        <v>5.3922278371002337</v>
      </c>
      <c r="Y269" s="314" t="str">
        <f t="shared" ca="1" si="138"/>
        <v/>
      </c>
      <c r="Z269" s="315" t="str">
        <f t="shared" ca="1" si="139"/>
        <v/>
      </c>
      <c r="AA269" s="316" t="str">
        <f t="shared" ca="1" si="140"/>
        <v/>
      </c>
      <c r="AC269" s="310" t="e">
        <f t="shared" ca="1" si="141"/>
        <v>#N/A</v>
      </c>
      <c r="AD269" s="323" t="e">
        <f t="shared" ca="1" si="142"/>
        <v>#N/A</v>
      </c>
      <c r="AE269" s="324">
        <f t="shared" ca="1" si="121"/>
        <v>2075.6851896945946</v>
      </c>
      <c r="AG269" s="306">
        <f t="shared" ca="1" si="143"/>
        <v>-12.178192465652764</v>
      </c>
      <c r="AH269" s="304">
        <f t="shared" ca="1" si="144"/>
        <v>-2.6795998984594851</v>
      </c>
    </row>
    <row r="270" spans="1:34" x14ac:dyDescent="0.25">
      <c r="A270" s="347">
        <f t="shared" ca="1" si="122"/>
        <v>0.1</v>
      </c>
      <c r="B270" s="304">
        <f t="shared" ca="1" si="123"/>
        <v>14.299999999999935</v>
      </c>
      <c r="D270" s="306">
        <f t="shared" ca="1" si="124"/>
        <v>-0.65542656671096056</v>
      </c>
      <c r="E270" s="307">
        <f t="shared" ca="1" si="125"/>
        <v>-12.312666943244606</v>
      </c>
      <c r="F270" s="304">
        <f t="shared" ca="1" si="126"/>
        <v>12.330099401043732</v>
      </c>
      <c r="G270" s="306">
        <f t="shared" ca="1" si="127"/>
        <v>17.68594141637162</v>
      </c>
      <c r="H270" s="307">
        <f t="shared" ca="1" si="128"/>
        <v>66.550624732619738</v>
      </c>
      <c r="I270" s="304">
        <f t="shared" ca="1" si="129"/>
        <v>68.860570547195636</v>
      </c>
      <c r="J270" s="306">
        <f t="shared" ca="1" si="130"/>
        <v>304.95444343238432</v>
      </c>
      <c r="K270" s="307">
        <f t="shared" ca="1" si="131"/>
        <v>2082.4018155025728</v>
      </c>
      <c r="L270" s="304">
        <f t="shared" ca="1" si="116"/>
        <v>2104.612680228257</v>
      </c>
      <c r="M270" s="306">
        <f t="shared" ca="1" si="132"/>
        <v>1.311048354862915</v>
      </c>
      <c r="N270" s="304">
        <f t="shared" ca="1" si="133"/>
        <v>75.117537471214888</v>
      </c>
      <c r="P270" s="310">
        <f t="shared" ca="1" si="134"/>
        <v>23</v>
      </c>
      <c r="Q270" s="304">
        <f t="shared" ca="1" si="135"/>
        <v>0</v>
      </c>
      <c r="R270" s="306">
        <f t="shared" ca="1" si="136"/>
        <v>0</v>
      </c>
      <c r="S270" s="307">
        <f t="shared" ca="1" si="137"/>
        <v>2.0842999999999985</v>
      </c>
      <c r="T270" s="304">
        <f t="shared" ca="1" si="117"/>
        <v>20.446982999999985</v>
      </c>
      <c r="U270" s="311">
        <f t="shared" ca="1" si="118"/>
        <v>0</v>
      </c>
      <c r="V270" s="306">
        <f t="shared" ca="1" si="119"/>
        <v>0.99396152462910037</v>
      </c>
      <c r="W270" s="304">
        <f t="shared" ca="1" si="120"/>
        <v>5.2044796892375169</v>
      </c>
      <c r="Y270" s="314" t="str">
        <f t="shared" ca="1" si="138"/>
        <v/>
      </c>
      <c r="Z270" s="315" t="str">
        <f t="shared" ca="1" si="139"/>
        <v/>
      </c>
      <c r="AA270" s="316" t="str">
        <f t="shared" ca="1" si="140"/>
        <v/>
      </c>
      <c r="AC270" s="310" t="e">
        <f t="shared" ca="1" si="141"/>
        <v>#N/A</v>
      </c>
      <c r="AD270" s="323" t="e">
        <f t="shared" ca="1" si="142"/>
        <v>#N/A</v>
      </c>
      <c r="AE270" s="324">
        <f t="shared" ca="1" si="121"/>
        <v>2082.4018155025728</v>
      </c>
      <c r="AG270" s="306">
        <f t="shared" ca="1" si="143"/>
        <v>-12.077021906881052</v>
      </c>
      <c r="AH270" s="304">
        <f t="shared" ca="1" si="144"/>
        <v>-2.5870689618098344</v>
      </c>
    </row>
    <row r="271" spans="1:34" x14ac:dyDescent="0.25">
      <c r="A271" s="347">
        <f t="shared" ca="1" si="122"/>
        <v>0.1</v>
      </c>
      <c r="B271" s="304">
        <f t="shared" ca="1" si="123"/>
        <v>14.399999999999935</v>
      </c>
      <c r="D271" s="306">
        <f t="shared" ca="1" si="124"/>
        <v>-0.6413198094345407</v>
      </c>
      <c r="E271" s="307">
        <f t="shared" ca="1" si="125"/>
        <v>-12.223229410098851</v>
      </c>
      <c r="F271" s="304">
        <f t="shared" ca="1" si="126"/>
        <v>12.240042006050416</v>
      </c>
      <c r="G271" s="306">
        <f t="shared" ca="1" si="127"/>
        <v>17.621809435428165</v>
      </c>
      <c r="H271" s="307">
        <f t="shared" ca="1" si="128"/>
        <v>65.328301791609846</v>
      </c>
      <c r="I271" s="304">
        <f t="shared" ca="1" si="129"/>
        <v>67.66324839049777</v>
      </c>
      <c r="J271" s="306">
        <f t="shared" ca="1" si="130"/>
        <v>306.71983097497429</v>
      </c>
      <c r="K271" s="307">
        <f t="shared" ca="1" si="131"/>
        <v>2088.9957618287845</v>
      </c>
      <c r="L271" s="304">
        <f t="shared" ca="1" si="116"/>
        <v>2111.3929874971027</v>
      </c>
      <c r="M271" s="306">
        <f t="shared" ca="1" si="132"/>
        <v>1.3073246544516075</v>
      </c>
      <c r="N271" s="304">
        <f t="shared" ca="1" si="133"/>
        <v>74.904185153475837</v>
      </c>
      <c r="P271" s="310">
        <f t="shared" ca="1" si="134"/>
        <v>23</v>
      </c>
      <c r="Q271" s="304">
        <f t="shared" ca="1" si="135"/>
        <v>0</v>
      </c>
      <c r="R271" s="306">
        <f t="shared" ca="1" si="136"/>
        <v>0</v>
      </c>
      <c r="S271" s="307">
        <f t="shared" ca="1" si="137"/>
        <v>2.0842999999999985</v>
      </c>
      <c r="T271" s="304">
        <f t="shared" ca="1" si="117"/>
        <v>20.446982999999985</v>
      </c>
      <c r="U271" s="311">
        <f t="shared" ca="1" si="118"/>
        <v>0</v>
      </c>
      <c r="V271" s="306">
        <f t="shared" ca="1" si="119"/>
        <v>0.99329912633127371</v>
      </c>
      <c r="W271" s="304">
        <f t="shared" ca="1" si="120"/>
        <v>5.0217172015028639</v>
      </c>
      <c r="Y271" s="314" t="str">
        <f t="shared" ca="1" si="138"/>
        <v/>
      </c>
      <c r="Z271" s="315" t="str">
        <f t="shared" ca="1" si="139"/>
        <v/>
      </c>
      <c r="AA271" s="316" t="str">
        <f t="shared" ca="1" si="140"/>
        <v/>
      </c>
      <c r="AC271" s="310" t="e">
        <f t="shared" ca="1" si="141"/>
        <v>#N/A</v>
      </c>
      <c r="AD271" s="323" t="e">
        <f t="shared" ca="1" si="142"/>
        <v>#N/A</v>
      </c>
      <c r="AE271" s="324">
        <f t="shared" ca="1" si="121"/>
        <v>2088.9957618287845</v>
      </c>
      <c r="AG271" s="306">
        <f t="shared" ca="1" si="143"/>
        <v>-11.977912635878063</v>
      </c>
      <c r="AH271" s="304">
        <f t="shared" ca="1" si="144"/>
        <v>-2.4969916467099367</v>
      </c>
    </row>
    <row r="272" spans="1:34" x14ac:dyDescent="0.25">
      <c r="A272" s="347">
        <f t="shared" ca="1" si="122"/>
        <v>0.1</v>
      </c>
      <c r="B272" s="304">
        <f t="shared" ca="1" si="123"/>
        <v>14.499999999999934</v>
      </c>
      <c r="D272" s="306">
        <f t="shared" ca="1" si="124"/>
        <v>-0.62746525152039689</v>
      </c>
      <c r="E272" s="307">
        <f t="shared" ca="1" si="125"/>
        <v>-12.136165168524698</v>
      </c>
      <c r="F272" s="304">
        <f t="shared" ca="1" si="126"/>
        <v>12.152374979384799</v>
      </c>
      <c r="G272" s="306">
        <f t="shared" ca="1" si="127"/>
        <v>17.559062910276126</v>
      </c>
      <c r="H272" s="307">
        <f t="shared" ca="1" si="128"/>
        <v>64.114685274757377</v>
      </c>
      <c r="I272" s="304">
        <f t="shared" ca="1" si="129"/>
        <v>66.475661396997211</v>
      </c>
      <c r="J272" s="306">
        <f t="shared" ca="1" si="130"/>
        <v>308.4788745922595</v>
      </c>
      <c r="K272" s="307">
        <f t="shared" ca="1" si="131"/>
        <v>2095.4679111821029</v>
      </c>
      <c r="L272" s="304">
        <f t="shared" ca="1" si="116"/>
        <v>2118.0521671723745</v>
      </c>
      <c r="M272" s="306">
        <f t="shared" ca="1" si="132"/>
        <v>1.3034813475456395</v>
      </c>
      <c r="N272" s="304">
        <f t="shared" ca="1" si="133"/>
        <v>74.683979888390397</v>
      </c>
      <c r="P272" s="310">
        <f t="shared" ca="1" si="134"/>
        <v>23</v>
      </c>
      <c r="Q272" s="304">
        <f t="shared" ca="1" si="135"/>
        <v>0</v>
      </c>
      <c r="R272" s="306">
        <f t="shared" ca="1" si="136"/>
        <v>0</v>
      </c>
      <c r="S272" s="307">
        <f t="shared" ca="1" si="137"/>
        <v>2.0842999999999985</v>
      </c>
      <c r="T272" s="304">
        <f t="shared" ca="1" si="117"/>
        <v>20.446982999999985</v>
      </c>
      <c r="U272" s="311">
        <f t="shared" ca="1" si="118"/>
        <v>0</v>
      </c>
      <c r="V272" s="306">
        <f t="shared" ca="1" si="119"/>
        <v>0.99264934768374014</v>
      </c>
      <c r="W272" s="304">
        <f t="shared" ca="1" si="120"/>
        <v>4.8438167706707906</v>
      </c>
      <c r="Y272" s="314" t="str">
        <f t="shared" ca="1" si="138"/>
        <v/>
      </c>
      <c r="Z272" s="315" t="str">
        <f t="shared" ca="1" si="139"/>
        <v/>
      </c>
      <c r="AA272" s="316" t="str">
        <f t="shared" ca="1" si="140"/>
        <v/>
      </c>
      <c r="AC272" s="310" t="e">
        <f t="shared" ca="1" si="141"/>
        <v>#N/A</v>
      </c>
      <c r="AD272" s="323" t="e">
        <f t="shared" ca="1" si="142"/>
        <v>#N/A</v>
      </c>
      <c r="AE272" s="324">
        <f t="shared" ca="1" si="121"/>
        <v>2095.4679111821029</v>
      </c>
      <c r="AG272" s="306">
        <f t="shared" ca="1" si="143"/>
        <v>-11.880779491585042</v>
      </c>
      <c r="AH272" s="304">
        <f t="shared" ca="1" si="144"/>
        <v>-2.4093063385802753</v>
      </c>
    </row>
    <row r="273" spans="1:34" x14ac:dyDescent="0.25">
      <c r="A273" s="347">
        <f t="shared" ca="1" si="122"/>
        <v>0.1</v>
      </c>
      <c r="B273" s="304">
        <f t="shared" ca="1" si="123"/>
        <v>14.599999999999934</v>
      </c>
      <c r="D273" s="306">
        <f t="shared" ca="1" si="124"/>
        <v>-0.61385549211106816</v>
      </c>
      <c r="E273" s="307">
        <f t="shared" ca="1" si="125"/>
        <v>-12.051415266975859</v>
      </c>
      <c r="F273" s="304">
        <f t="shared" ca="1" si="126"/>
        <v>12.067038928514888</v>
      </c>
      <c r="G273" s="306">
        <f t="shared" ca="1" si="127"/>
        <v>17.497677361065019</v>
      </c>
      <c r="H273" s="307">
        <f t="shared" ca="1" si="128"/>
        <v>62.909543748059789</v>
      </c>
      <c r="I273" s="304">
        <f t="shared" ca="1" si="129"/>
        <v>65.297621760834261</v>
      </c>
      <c r="J273" s="306">
        <f t="shared" ca="1" si="130"/>
        <v>310.23171160582655</v>
      </c>
      <c r="K273" s="307">
        <f t="shared" ca="1" si="131"/>
        <v>2101.8191226332438</v>
      </c>
      <c r="L273" s="304">
        <f t="shared" ca="1" si="116"/>
        <v>2124.5910992830268</v>
      </c>
      <c r="M273" s="306">
        <f t="shared" ca="1" si="132"/>
        <v>1.2995129840026383</v>
      </c>
      <c r="N273" s="304">
        <f t="shared" ca="1" si="133"/>
        <v>74.456609405802837</v>
      </c>
      <c r="P273" s="310">
        <f t="shared" ca="1" si="134"/>
        <v>23</v>
      </c>
      <c r="Q273" s="304">
        <f t="shared" ca="1" si="135"/>
        <v>0</v>
      </c>
      <c r="R273" s="306">
        <f t="shared" ca="1" si="136"/>
        <v>0</v>
      </c>
      <c r="S273" s="307">
        <f t="shared" ca="1" si="137"/>
        <v>2.0842999999999985</v>
      </c>
      <c r="T273" s="304">
        <f t="shared" ca="1" si="117"/>
        <v>20.446982999999985</v>
      </c>
      <c r="U273" s="311">
        <f t="shared" ca="1" si="118"/>
        <v>0</v>
      </c>
      <c r="V273" s="306">
        <f t="shared" ca="1" si="119"/>
        <v>0.99201208068533286</v>
      </c>
      <c r="W273" s="304">
        <f t="shared" ca="1" si="120"/>
        <v>4.6706594161648312</v>
      </c>
      <c r="Y273" s="314" t="str">
        <f t="shared" ca="1" si="138"/>
        <v/>
      </c>
      <c r="Z273" s="315" t="str">
        <f t="shared" ca="1" si="139"/>
        <v/>
      </c>
      <c r="AA273" s="316" t="str">
        <f t="shared" ca="1" si="140"/>
        <v/>
      </c>
      <c r="AC273" s="310" t="e">
        <f t="shared" ca="1" si="141"/>
        <v>#N/A</v>
      </c>
      <c r="AD273" s="323" t="e">
        <f t="shared" ca="1" si="142"/>
        <v>#N/A</v>
      </c>
      <c r="AE273" s="324">
        <f t="shared" ca="1" si="121"/>
        <v>2101.8191226332438</v>
      </c>
      <c r="AG273" s="306">
        <f t="shared" ca="1" si="143"/>
        <v>-11.78553785997757</v>
      </c>
      <c r="AH273" s="304">
        <f t="shared" ca="1" si="144"/>
        <v>-2.3239537353887609</v>
      </c>
    </row>
    <row r="274" spans="1:34" x14ac:dyDescent="0.25">
      <c r="A274" s="347">
        <f t="shared" ca="1" si="122"/>
        <v>0.1</v>
      </c>
      <c r="B274" s="304">
        <f t="shared" ca="1" si="123"/>
        <v>14.699999999999934</v>
      </c>
      <c r="D274" s="306">
        <f t="shared" ca="1" si="124"/>
        <v>-0.60048340768934716</v>
      </c>
      <c r="E274" s="307">
        <f t="shared" ca="1" si="125"/>
        <v>-11.968922948829462</v>
      </c>
      <c r="F274" s="304">
        <f t="shared" ca="1" si="126"/>
        <v>11.983976672120434</v>
      </c>
      <c r="G274" s="306">
        <f t="shared" ca="1" si="127"/>
        <v>17.437629020296086</v>
      </c>
      <c r="H274" s="307">
        <f t="shared" ca="1" si="128"/>
        <v>61.712651453176846</v>
      </c>
      <c r="I274" s="304">
        <f t="shared" ca="1" si="129"/>
        <v>64.128950211513384</v>
      </c>
      <c r="J274" s="306">
        <f t="shared" ca="1" si="130"/>
        <v>311.97847692489461</v>
      </c>
      <c r="K274" s="307">
        <f t="shared" ca="1" si="131"/>
        <v>2108.0502323933056</v>
      </c>
      <c r="L274" s="304">
        <f t="shared" ca="1" si="116"/>
        <v>2131.0106410710027</v>
      </c>
      <c r="M274" s="306">
        <f t="shared" ca="1" si="132"/>
        <v>1.2954137837625626</v>
      </c>
      <c r="N274" s="304">
        <f t="shared" ca="1" si="133"/>
        <v>74.221742532667491</v>
      </c>
      <c r="P274" s="310">
        <f t="shared" ca="1" si="134"/>
        <v>23</v>
      </c>
      <c r="Q274" s="304">
        <f t="shared" ca="1" si="135"/>
        <v>0</v>
      </c>
      <c r="R274" s="306">
        <f t="shared" ca="1" si="136"/>
        <v>0</v>
      </c>
      <c r="S274" s="307">
        <f t="shared" ca="1" si="137"/>
        <v>2.0842999999999985</v>
      </c>
      <c r="T274" s="304">
        <f t="shared" ca="1" si="117"/>
        <v>20.446982999999985</v>
      </c>
      <c r="U274" s="311">
        <f t="shared" ca="1" si="118"/>
        <v>0</v>
      </c>
      <c r="V274" s="306">
        <f t="shared" ca="1" si="119"/>
        <v>0.99138722026259418</v>
      </c>
      <c r="W274" s="304">
        <f t="shared" ca="1" si="120"/>
        <v>4.5021305925295181</v>
      </c>
      <c r="Y274" s="314" t="str">
        <f t="shared" ca="1" si="138"/>
        <v/>
      </c>
      <c r="Z274" s="315" t="str">
        <f t="shared" ca="1" si="139"/>
        <v/>
      </c>
      <c r="AA274" s="316" t="str">
        <f t="shared" ca="1" si="140"/>
        <v/>
      </c>
      <c r="AC274" s="310" t="e">
        <f t="shared" ca="1" si="141"/>
        <v>#N/A</v>
      </c>
      <c r="AD274" s="323" t="e">
        <f t="shared" ca="1" si="142"/>
        <v>#N/A</v>
      </c>
      <c r="AE274" s="324">
        <f t="shared" ca="1" si="121"/>
        <v>2108.0502323933056</v>
      </c>
      <c r="AG274" s="306">
        <f t="shared" ca="1" si="143"/>
        <v>-11.69210342133616</v>
      </c>
      <c r="AH274" s="304">
        <f t="shared" ca="1" si="144"/>
        <v>-2.2408767529457538</v>
      </c>
    </row>
    <row r="275" spans="1:34" x14ac:dyDescent="0.25">
      <c r="A275" s="347">
        <f t="shared" ca="1" si="122"/>
        <v>0.1</v>
      </c>
      <c r="B275" s="304">
        <f t="shared" ca="1" si="123"/>
        <v>14.799999999999933</v>
      </c>
      <c r="D275" s="306">
        <f t="shared" ca="1" si="124"/>
        <v>-0.58734214261076145</v>
      </c>
      <c r="E275" s="307">
        <f t="shared" ca="1" si="125"/>
        <v>-11.888633562424793</v>
      </c>
      <c r="F275" s="304">
        <f t="shared" ca="1" si="126"/>
        <v>11.903133149473707</v>
      </c>
      <c r="G275" s="306">
        <f t="shared" ca="1" si="127"/>
        <v>17.37889480603501</v>
      </c>
      <c r="H275" s="307">
        <f t="shared" ca="1" si="128"/>
        <v>60.523788096934368</v>
      </c>
      <c r="I275" s="304">
        <f t="shared" ca="1" si="129"/>
        <v>62.969476020385024</v>
      </c>
      <c r="J275" s="306">
        <f t="shared" ca="1" si="130"/>
        <v>313.71930311621117</v>
      </c>
      <c r="K275" s="307">
        <f t="shared" ca="1" si="131"/>
        <v>2114.1620543708113</v>
      </c>
      <c r="L275" s="304">
        <f t="shared" ca="1" si="116"/>
        <v>2137.311627556714</v>
      </c>
      <c r="M275" s="306">
        <f t="shared" ca="1" si="132"/>
        <v>1.2911776123004088</v>
      </c>
      <c r="N275" s="304">
        <f t="shared" ca="1" si="133"/>
        <v>73.979027786592312</v>
      </c>
      <c r="P275" s="310">
        <f t="shared" ca="1" si="134"/>
        <v>23</v>
      </c>
      <c r="Q275" s="304">
        <f t="shared" ca="1" si="135"/>
        <v>0</v>
      </c>
      <c r="R275" s="306">
        <f t="shared" ca="1" si="136"/>
        <v>0</v>
      </c>
      <c r="S275" s="307">
        <f t="shared" ca="1" si="137"/>
        <v>2.0842999999999985</v>
      </c>
      <c r="T275" s="304">
        <f t="shared" ca="1" si="117"/>
        <v>20.446982999999985</v>
      </c>
      <c r="U275" s="311">
        <f t="shared" ca="1" si="118"/>
        <v>0</v>
      </c>
      <c r="V275" s="306">
        <f t="shared" ca="1" si="119"/>
        <v>0.99077466419602656</v>
      </c>
      <c r="W275" s="304">
        <f t="shared" ca="1" si="120"/>
        <v>4.3381200112202833</v>
      </c>
      <c r="Y275" s="314" t="str">
        <f t="shared" ca="1" si="138"/>
        <v/>
      </c>
      <c r="Z275" s="315" t="str">
        <f t="shared" ca="1" si="139"/>
        <v/>
      </c>
      <c r="AA275" s="316" t="str">
        <f t="shared" ca="1" si="140"/>
        <v/>
      </c>
      <c r="AC275" s="310" t="e">
        <f t="shared" ca="1" si="141"/>
        <v>#N/A</v>
      </c>
      <c r="AD275" s="323" t="e">
        <f t="shared" ca="1" si="142"/>
        <v>#N/A</v>
      </c>
      <c r="AE275" s="324">
        <f t="shared" ca="1" si="121"/>
        <v>2114.1620543708113</v>
      </c>
      <c r="AG275" s="306">
        <f t="shared" ca="1" si="143"/>
        <v>-11.600391885874563</v>
      </c>
      <c r="AH275" s="304">
        <f t="shared" ca="1" si="144"/>
        <v>-2.1600204349323615</v>
      </c>
    </row>
    <row r="276" spans="1:34" x14ac:dyDescent="0.25">
      <c r="A276" s="347">
        <f t="shared" ca="1" si="122"/>
        <v>0.1</v>
      </c>
      <c r="B276" s="304">
        <f t="shared" ca="1" si="123"/>
        <v>14.899999999999933</v>
      </c>
      <c r="D276" s="306">
        <f t="shared" ca="1" si="124"/>
        <v>-0.57442510031797867</v>
      </c>
      <c r="E276" s="307">
        <f t="shared" ca="1" si="125"/>
        <v>-11.8104944754676</v>
      </c>
      <c r="F276" s="304">
        <f t="shared" ca="1" si="126"/>
        <v>11.824455334218401</v>
      </c>
      <c r="G276" s="306">
        <f t="shared" ca="1" si="127"/>
        <v>17.321452296003212</v>
      </c>
      <c r="H276" s="307">
        <f t="shared" ca="1" si="128"/>
        <v>59.342738649387606</v>
      </c>
      <c r="I276" s="304">
        <f t="shared" ca="1" si="129"/>
        <v>61.819037035950636</v>
      </c>
      <c r="J276" s="306">
        <f t="shared" ca="1" si="130"/>
        <v>315.45432047131305</v>
      </c>
      <c r="K276" s="307">
        <f t="shared" ca="1" si="131"/>
        <v>2120.1553807081273</v>
      </c>
      <c r="L276" s="304">
        <f t="shared" ca="1" si="116"/>
        <v>2143.4948720838224</v>
      </c>
      <c r="M276" s="306">
        <f t="shared" ca="1" si="132"/>
        <v>1.2867979539320731</v>
      </c>
      <c r="N276" s="304">
        <f t="shared" ca="1" si="133"/>
        <v>73.728091846377524</v>
      </c>
      <c r="P276" s="310">
        <f t="shared" ca="1" si="134"/>
        <v>23</v>
      </c>
      <c r="Q276" s="304">
        <f t="shared" ca="1" si="135"/>
        <v>0</v>
      </c>
      <c r="R276" s="306">
        <f t="shared" ca="1" si="136"/>
        <v>0</v>
      </c>
      <c r="S276" s="307">
        <f t="shared" ca="1" si="137"/>
        <v>2.0842999999999985</v>
      </c>
      <c r="T276" s="304">
        <f t="shared" ca="1" si="117"/>
        <v>20.446982999999985</v>
      </c>
      <c r="U276" s="311">
        <f t="shared" ca="1" si="118"/>
        <v>0</v>
      </c>
      <c r="V276" s="306">
        <f t="shared" ca="1" si="119"/>
        <v>0.99017431304912351</v>
      </c>
      <c r="W276" s="304">
        <f t="shared" ca="1" si="120"/>
        <v>4.1785214711979783</v>
      </c>
      <c r="Y276" s="314" t="str">
        <f t="shared" ca="1" si="138"/>
        <v/>
      </c>
      <c r="Z276" s="315" t="str">
        <f t="shared" ca="1" si="139"/>
        <v/>
      </c>
      <c r="AA276" s="316" t="str">
        <f t="shared" ca="1" si="140"/>
        <v/>
      </c>
      <c r="AC276" s="310" t="e">
        <f t="shared" ca="1" si="141"/>
        <v>#N/A</v>
      </c>
      <c r="AD276" s="323" t="e">
        <f t="shared" ca="1" si="142"/>
        <v>#N/A</v>
      </c>
      <c r="AE276" s="324">
        <f t="shared" ca="1" si="121"/>
        <v>2120.1553807081273</v>
      </c>
      <c r="AG276" s="306">
        <f t="shared" ca="1" si="143"/>
        <v>-11.510318715546388</v>
      </c>
      <c r="AH276" s="304">
        <f t="shared" ca="1" si="144"/>
        <v>-2.0813318673992645</v>
      </c>
    </row>
    <row r="277" spans="1:34" x14ac:dyDescent="0.25">
      <c r="A277" s="347">
        <f t="shared" ca="1" si="122"/>
        <v>0.1</v>
      </c>
      <c r="B277" s="304">
        <f t="shared" ca="1" si="123"/>
        <v>14.999999999999932</v>
      </c>
      <c r="D277" s="306">
        <f t="shared" ca="1" si="124"/>
        <v>-0.56172593522292902</v>
      </c>
      <c r="E277" s="307">
        <f t="shared" ca="1" si="125"/>
        <v>-11.734454993546283</v>
      </c>
      <c r="F277" s="304">
        <f t="shared" ca="1" si="126"/>
        <v>11.747892152291209</v>
      </c>
      <c r="G277" s="306">
        <f t="shared" ca="1" si="127"/>
        <v>17.265279702480917</v>
      </c>
      <c r="H277" s="307">
        <f t="shared" ca="1" si="128"/>
        <v>58.169293150032978</v>
      </c>
      <c r="I277" s="304">
        <f t="shared" ca="1" si="129"/>
        <v>60.677479749733948</v>
      </c>
      <c r="J277" s="306">
        <f t="shared" ca="1" si="130"/>
        <v>317.18365707123723</v>
      </c>
      <c r="K277" s="307">
        <f t="shared" ca="1" si="131"/>
        <v>2126.0309822980985</v>
      </c>
      <c r="L277" s="304">
        <f t="shared" ca="1" si="116"/>
        <v>2149.5611668441775</v>
      </c>
      <c r="M277" s="306">
        <f t="shared" ca="1" si="132"/>
        <v>1.2822678827610585</v>
      </c>
      <c r="N277" s="304">
        <f t="shared" ca="1" si="133"/>
        <v>73.4685378873845</v>
      </c>
      <c r="P277" s="310">
        <f t="shared" ca="1" si="134"/>
        <v>23</v>
      </c>
      <c r="Q277" s="304">
        <f t="shared" ca="1" si="135"/>
        <v>0</v>
      </c>
      <c r="R277" s="306">
        <f t="shared" ca="1" si="136"/>
        <v>0</v>
      </c>
      <c r="S277" s="307">
        <f t="shared" ca="1" si="137"/>
        <v>2.0842999999999985</v>
      </c>
      <c r="T277" s="304">
        <f t="shared" ca="1" si="117"/>
        <v>20.446982999999985</v>
      </c>
      <c r="U277" s="311">
        <f t="shared" ca="1" si="118"/>
        <v>0</v>
      </c>
      <c r="V277" s="306">
        <f t="shared" ca="1" si="119"/>
        <v>0.98958607010007282</v>
      </c>
      <c r="W277" s="304">
        <f t="shared" ca="1" si="120"/>
        <v>4.0232326978467965</v>
      </c>
      <c r="Y277" s="314" t="str">
        <f t="shared" ca="1" si="138"/>
        <v/>
      </c>
      <c r="Z277" s="315" t="str">
        <f t="shared" ca="1" si="139"/>
        <v/>
      </c>
      <c r="AA277" s="316" t="str">
        <f t="shared" ca="1" si="140"/>
        <v/>
      </c>
      <c r="AC277" s="310">
        <f t="shared" ca="1" si="141"/>
        <v>14.999999999999932</v>
      </c>
      <c r="AD277" s="323">
        <f t="shared" ca="1" si="142"/>
        <v>317.18365707123723</v>
      </c>
      <c r="AE277" s="324">
        <f t="shared" ca="1" si="121"/>
        <v>2126.0309822980985</v>
      </c>
      <c r="AG277" s="306">
        <f t="shared" ca="1" si="143"/>
        <v>-11.421798829619252</v>
      </c>
      <c r="AH277" s="304">
        <f t="shared" ca="1" si="144"/>
        <v>-2.0047600974897959</v>
      </c>
    </row>
    <row r="278" spans="1:34" x14ac:dyDescent="0.25">
      <c r="A278" s="347">
        <f t="shared" ca="1" si="122"/>
        <v>0.1</v>
      </c>
      <c r="B278" s="304">
        <f t="shared" ca="1" si="123"/>
        <v>15.099999999999932</v>
      </c>
      <c r="D278" s="306">
        <f t="shared" ca="1" si="124"/>
        <v>-0.54923854524617455</v>
      </c>
      <c r="E278" s="307">
        <f t="shared" ca="1" si="125"/>
        <v>-11.660466282520261</v>
      </c>
      <c r="F278" s="304">
        <f t="shared" ca="1" si="126"/>
        <v>11.673394403744611</v>
      </c>
      <c r="G278" s="306">
        <f t="shared" ca="1" si="127"/>
        <v>17.210355847956301</v>
      </c>
      <c r="H278" s="307">
        <f t="shared" ca="1" si="128"/>
        <v>57.003246521780952</v>
      </c>
      <c r="I278" s="304">
        <f t="shared" ca="1" si="129"/>
        <v>59.544659394745189</v>
      </c>
      <c r="J278" s="306">
        <f t="shared" ca="1" si="130"/>
        <v>318.90743884875911</v>
      </c>
      <c r="K278" s="307">
        <f t="shared" ca="1" si="131"/>
        <v>2131.7896092816891</v>
      </c>
      <c r="L278" s="304">
        <f t="shared" ca="1" si="116"/>
        <v>2155.5112833837015</v>
      </c>
      <c r="M278" s="306">
        <f t="shared" ca="1" si="132"/>
        <v>1.2775800310308656</v>
      </c>
      <c r="N278" s="304">
        <f t="shared" ca="1" si="133"/>
        <v>73.199943768261349</v>
      </c>
      <c r="P278" s="310">
        <f t="shared" ca="1" si="134"/>
        <v>23</v>
      </c>
      <c r="Q278" s="304">
        <f t="shared" ca="1" si="135"/>
        <v>0</v>
      </c>
      <c r="R278" s="306">
        <f t="shared" ca="1" si="136"/>
        <v>0</v>
      </c>
      <c r="S278" s="307">
        <f t="shared" ca="1" si="137"/>
        <v>2.0842999999999985</v>
      </c>
      <c r="T278" s="304">
        <f t="shared" ca="1" si="117"/>
        <v>20.446982999999985</v>
      </c>
      <c r="U278" s="311">
        <f t="shared" ca="1" si="118"/>
        <v>0</v>
      </c>
      <c r="V278" s="306">
        <f t="shared" ca="1" si="119"/>
        <v>0.98900984127601921</v>
      </c>
      <c r="W278" s="304">
        <f t="shared" ca="1" si="120"/>
        <v>3.8721551897641104</v>
      </c>
      <c r="Y278" s="314" t="str">
        <f t="shared" ca="1" si="138"/>
        <v/>
      </c>
      <c r="Z278" s="315" t="str">
        <f t="shared" ca="1" si="139"/>
        <v/>
      </c>
      <c r="AA278" s="316" t="str">
        <f t="shared" ca="1" si="140"/>
        <v/>
      </c>
      <c r="AC278" s="310" t="e">
        <f t="shared" ca="1" si="141"/>
        <v>#N/A</v>
      </c>
      <c r="AD278" s="323" t="e">
        <f t="shared" ca="1" si="142"/>
        <v>#N/A</v>
      </c>
      <c r="AE278" s="324">
        <f t="shared" ca="1" si="121"/>
        <v>2131.7896092816891</v>
      </c>
      <c r="AG278" s="306">
        <f t="shared" ca="1" si="143"/>
        <v>-11.334746291338361</v>
      </c>
      <c r="AH278" s="304">
        <f t="shared" ca="1" si="144"/>
        <v>-1.9302560561564071</v>
      </c>
    </row>
    <row r="279" spans="1:34" x14ac:dyDescent="0.25">
      <c r="A279" s="347">
        <f t="shared" ca="1" si="122"/>
        <v>0.1</v>
      </c>
      <c r="B279" s="304">
        <f t="shared" ca="1" si="123"/>
        <v>15.199999999999932</v>
      </c>
      <c r="D279" s="306">
        <f t="shared" ca="1" si="124"/>
        <v>-0.53695706500685902</v>
      </c>
      <c r="E279" s="307">
        <f t="shared" ca="1" si="125"/>
        <v>-11.588481294553397</v>
      </c>
      <c r="F279" s="304">
        <f t="shared" ca="1" si="126"/>
        <v>11.600914688242248</v>
      </c>
      <c r="G279" s="306">
        <f t="shared" ca="1" si="127"/>
        <v>17.156660141455614</v>
      </c>
      <c r="H279" s="307">
        <f t="shared" ca="1" si="128"/>
        <v>55.844398392325616</v>
      </c>
      <c r="I279" s="304">
        <f t="shared" ca="1" si="129"/>
        <v>58.420440078881569</v>
      </c>
      <c r="J279" s="306">
        <f t="shared" ca="1" si="130"/>
        <v>320.62578964822973</v>
      </c>
      <c r="K279" s="307">
        <f t="shared" ca="1" si="131"/>
        <v>2137.4319915273945</v>
      </c>
      <c r="L279" s="304">
        <f t="shared" ca="1" si="116"/>
        <v>2161.3459730899899</v>
      </c>
      <c r="M279" s="306">
        <f t="shared" ca="1" si="132"/>
        <v>1.2727265546225082</v>
      </c>
      <c r="N279" s="304">
        <f t="shared" ca="1" si="133"/>
        <v>72.921860054096157</v>
      </c>
      <c r="P279" s="310">
        <f t="shared" ca="1" si="134"/>
        <v>23</v>
      </c>
      <c r="Q279" s="304">
        <f t="shared" ca="1" si="135"/>
        <v>0</v>
      </c>
      <c r="R279" s="306">
        <f t="shared" ca="1" si="136"/>
        <v>0</v>
      </c>
      <c r="S279" s="307">
        <f t="shared" ca="1" si="137"/>
        <v>2.0842999999999985</v>
      </c>
      <c r="T279" s="304">
        <f t="shared" ca="1" si="117"/>
        <v>20.446982999999985</v>
      </c>
      <c r="U279" s="311">
        <f t="shared" ca="1" si="118"/>
        <v>0</v>
      </c>
      <c r="V279" s="306">
        <f t="shared" ca="1" si="119"/>
        <v>0.98844553508978139</v>
      </c>
      <c r="W279" s="304">
        <f t="shared" ca="1" si="120"/>
        <v>3.7251940729984918</v>
      </c>
      <c r="Y279" s="314" t="str">
        <f t="shared" ca="1" si="138"/>
        <v/>
      </c>
      <c r="Z279" s="315" t="str">
        <f t="shared" ca="1" si="139"/>
        <v/>
      </c>
      <c r="AA279" s="316" t="str">
        <f t="shared" ca="1" si="140"/>
        <v/>
      </c>
      <c r="AC279" s="310" t="e">
        <f t="shared" ca="1" si="141"/>
        <v>#N/A</v>
      </c>
      <c r="AD279" s="323" t="e">
        <f t="shared" ca="1" si="142"/>
        <v>#N/A</v>
      </c>
      <c r="AE279" s="324">
        <f t="shared" ca="1" si="121"/>
        <v>2137.4319915273945</v>
      </c>
      <c r="AG279" s="306">
        <f t="shared" ca="1" si="143"/>
        <v>-11.249073972693319</v>
      </c>
      <c r="AH279" s="304">
        <f t="shared" ca="1" si="144"/>
        <v>-1.857772484653895</v>
      </c>
    </row>
    <row r="280" spans="1:34" x14ac:dyDescent="0.25">
      <c r="A280" s="347">
        <f t="shared" ca="1" si="122"/>
        <v>0.1</v>
      </c>
      <c r="B280" s="304">
        <f t="shared" ca="1" si="123"/>
        <v>15.299999999999931</v>
      </c>
      <c r="D280" s="306">
        <f t="shared" ca="1" si="124"/>
        <v>-0.5248758596605636</v>
      </c>
      <c r="E280" s="307">
        <f t="shared" ca="1" si="125"/>
        <v>-11.518454697576825</v>
      </c>
      <c r="F280" s="304">
        <f t="shared" ca="1" si="126"/>
        <v>11.530407334009672</v>
      </c>
      <c r="G280" s="306">
        <f t="shared" ca="1" si="127"/>
        <v>17.104172555489559</v>
      </c>
      <c r="H280" s="307">
        <f t="shared" ca="1" si="128"/>
        <v>54.692552922567934</v>
      </c>
      <c r="I280" s="304">
        <f t="shared" ca="1" si="129"/>
        <v>57.304694955961999</v>
      </c>
      <c r="J280" s="306">
        <f t="shared" ca="1" si="130"/>
        <v>322.33883128307701</v>
      </c>
      <c r="K280" s="307">
        <f t="shared" ca="1" si="131"/>
        <v>2142.9588390931394</v>
      </c>
      <c r="L280" s="304">
        <f t="shared" ca="1" si="116"/>
        <v>2167.0659676623495</v>
      </c>
      <c r="M280" s="306">
        <f t="shared" ca="1" si="132"/>
        <v>1.2676990954083867</v>
      </c>
      <c r="N280" s="304">
        <f t="shared" ca="1" si="133"/>
        <v>72.63380785945283</v>
      </c>
      <c r="P280" s="310">
        <f t="shared" ca="1" si="134"/>
        <v>23</v>
      </c>
      <c r="Q280" s="304">
        <f t="shared" ca="1" si="135"/>
        <v>0</v>
      </c>
      <c r="R280" s="306">
        <f t="shared" ca="1" si="136"/>
        <v>0</v>
      </c>
      <c r="S280" s="307">
        <f t="shared" ca="1" si="137"/>
        <v>2.0842999999999985</v>
      </c>
      <c r="T280" s="304">
        <f t="shared" ca="1" si="117"/>
        <v>20.446982999999985</v>
      </c>
      <c r="U280" s="311">
        <f t="shared" ca="1" si="118"/>
        <v>0</v>
      </c>
      <c r="V280" s="306">
        <f t="shared" ca="1" si="119"/>
        <v>0.98789306257892995</v>
      </c>
      <c r="W280" s="304">
        <f t="shared" ca="1" si="120"/>
        <v>3.5822579623380806</v>
      </c>
      <c r="Y280" s="314" t="str">
        <f t="shared" ca="1" si="138"/>
        <v/>
      </c>
      <c r="Z280" s="315" t="str">
        <f t="shared" ca="1" si="139"/>
        <v/>
      </c>
      <c r="AA280" s="316" t="str">
        <f t="shared" ca="1" si="140"/>
        <v/>
      </c>
      <c r="AC280" s="310" t="e">
        <f t="shared" ca="1" si="141"/>
        <v>#N/A</v>
      </c>
      <c r="AD280" s="323" t="e">
        <f t="shared" ca="1" si="142"/>
        <v>#N/A</v>
      </c>
      <c r="AE280" s="324">
        <f t="shared" ca="1" si="121"/>
        <v>2142.9588390931394</v>
      </c>
      <c r="AG280" s="306">
        <f t="shared" ca="1" si="143"/>
        <v>-11.164693193947132</v>
      </c>
      <c r="AH280" s="304">
        <f t="shared" ca="1" si="144"/>
        <v>-1.7872638646061001</v>
      </c>
    </row>
    <row r="281" spans="1:34" x14ac:dyDescent="0.25">
      <c r="A281" s="347">
        <f t="shared" ca="1" si="122"/>
        <v>0.1</v>
      </c>
      <c r="B281" s="304">
        <f t="shared" ca="1" si="123"/>
        <v>15.399999999999931</v>
      </c>
      <c r="D281" s="306">
        <f t="shared" ca="1" si="124"/>
        <v>-0.51298951938659876</v>
      </c>
      <c r="E281" s="307">
        <f t="shared" ca="1" si="125"/>
        <v>-11.450342807975794</v>
      </c>
      <c r="F281" s="304">
        <f t="shared" ca="1" si="126"/>
        <v>11.461828330033715</v>
      </c>
      <c r="G281" s="306">
        <f t="shared" ca="1" si="127"/>
        <v>17.0528736035509</v>
      </c>
      <c r="H281" s="307">
        <f t="shared" ca="1" si="128"/>
        <v>53.547518641770353</v>
      </c>
      <c r="I281" s="304">
        <f t="shared" ca="1" si="129"/>
        <v>56.197306437492415</v>
      </c>
      <c r="J281" s="306">
        <f t="shared" ca="1" si="130"/>
        <v>324.04668359102902</v>
      </c>
      <c r="K281" s="307">
        <f t="shared" ca="1" si="131"/>
        <v>2148.3708426713565</v>
      </c>
      <c r="L281" s="304">
        <f t="shared" ca="1" si="116"/>
        <v>2172.6719795649733</v>
      </c>
      <c r="M281" s="306">
        <f t="shared" ca="1" si="132"/>
        <v>1.2624887401424569</v>
      </c>
      <c r="N281" s="304">
        <f t="shared" ca="1" si="133"/>
        <v>72.335276492951294</v>
      </c>
      <c r="P281" s="310">
        <f t="shared" ca="1" si="134"/>
        <v>23</v>
      </c>
      <c r="Q281" s="304">
        <f t="shared" ca="1" si="135"/>
        <v>0</v>
      </c>
      <c r="R281" s="306">
        <f t="shared" ca="1" si="136"/>
        <v>0</v>
      </c>
      <c r="S281" s="307">
        <f t="shared" ca="1" si="137"/>
        <v>2.0842999999999985</v>
      </c>
      <c r="T281" s="304">
        <f t="shared" ca="1" si="117"/>
        <v>20.446982999999985</v>
      </c>
      <c r="U281" s="311">
        <f t="shared" ca="1" si="118"/>
        <v>0</v>
      </c>
      <c r="V281" s="306">
        <f t="shared" ca="1" si="119"/>
        <v>0.98735233724712279</v>
      </c>
      <c r="W281" s="304">
        <f t="shared" ca="1" si="120"/>
        <v>3.4432588292755066</v>
      </c>
      <c r="Y281" s="314" t="str">
        <f t="shared" ca="1" si="138"/>
        <v/>
      </c>
      <c r="Z281" s="315" t="str">
        <f t="shared" ca="1" si="139"/>
        <v/>
      </c>
      <c r="AA281" s="316" t="str">
        <f t="shared" ca="1" si="140"/>
        <v/>
      </c>
      <c r="AC281" s="310" t="e">
        <f t="shared" ca="1" si="141"/>
        <v>#N/A</v>
      </c>
      <c r="AD281" s="323" t="e">
        <f t="shared" ca="1" si="142"/>
        <v>#N/A</v>
      </c>
      <c r="AE281" s="324">
        <f t="shared" ca="1" si="121"/>
        <v>2148.3708426713565</v>
      </c>
      <c r="AG281" s="306">
        <f t="shared" ca="1" si="143"/>
        <v>-11.081513334178203</v>
      </c>
      <c r="AH281" s="304">
        <f t="shared" ca="1" si="144"/>
        <v>-1.7186863514552047</v>
      </c>
    </row>
    <row r="282" spans="1:34" x14ac:dyDescent="0.25">
      <c r="A282" s="347">
        <f t="shared" ca="1" si="122"/>
        <v>0.1</v>
      </c>
      <c r="B282" s="304">
        <f t="shared" ca="1" si="123"/>
        <v>15.499999999999931</v>
      </c>
      <c r="D282" s="306">
        <f t="shared" ca="1" si="124"/>
        <v>-0.50129285453070493</v>
      </c>
      <c r="E282" s="307">
        <f t="shared" ca="1" si="125"/>
        <v>-11.384103526304196</v>
      </c>
      <c r="F282" s="304">
        <f t="shared" ca="1" si="126"/>
        <v>11.395135261312836</v>
      </c>
      <c r="G282" s="306">
        <f t="shared" ca="1" si="127"/>
        <v>17.002744318097829</v>
      </c>
      <c r="H282" s="307">
        <f t="shared" ca="1" si="128"/>
        <v>52.40910828913993</v>
      </c>
      <c r="I282" s="304">
        <f t="shared" ca="1" si="129"/>
        <v>55.098166448706834</v>
      </c>
      <c r="J282" s="306">
        <f t="shared" ca="1" si="130"/>
        <v>325.74946448711148</v>
      </c>
      <c r="K282" s="307">
        <f t="shared" ca="1" si="131"/>
        <v>2153.668674017902</v>
      </c>
      <c r="L282" s="304">
        <f t="shared" ca="1" si="116"/>
        <v>2178.1647024639042</v>
      </c>
      <c r="M282" s="306">
        <f t="shared" ca="1" si="132"/>
        <v>1.2570859755319537</v>
      </c>
      <c r="N282" s="304">
        <f t="shared" ca="1" si="133"/>
        <v>72.025720883066811</v>
      </c>
      <c r="P282" s="310">
        <f t="shared" ca="1" si="134"/>
        <v>23</v>
      </c>
      <c r="Q282" s="304">
        <f t="shared" ca="1" si="135"/>
        <v>0</v>
      </c>
      <c r="R282" s="306">
        <f t="shared" ca="1" si="136"/>
        <v>0</v>
      </c>
      <c r="S282" s="307">
        <f t="shared" ca="1" si="137"/>
        <v>2.0842999999999985</v>
      </c>
      <c r="T282" s="304">
        <f t="shared" ca="1" si="117"/>
        <v>20.446982999999985</v>
      </c>
      <c r="U282" s="311">
        <f t="shared" ca="1" si="118"/>
        <v>0</v>
      </c>
      <c r="V282" s="306">
        <f t="shared" ca="1" si="119"/>
        <v>0.98682327500762024</v>
      </c>
      <c r="W282" s="304">
        <f t="shared" ca="1" si="120"/>
        <v>3.3081118762981414</v>
      </c>
      <c r="Y282" s="314" t="str">
        <f t="shared" ca="1" si="138"/>
        <v/>
      </c>
      <c r="Z282" s="315" t="str">
        <f t="shared" ca="1" si="139"/>
        <v/>
      </c>
      <c r="AA282" s="316" t="str">
        <f t="shared" ca="1" si="140"/>
        <v/>
      </c>
      <c r="AC282" s="310" t="e">
        <f t="shared" ca="1" si="141"/>
        <v>#N/A</v>
      </c>
      <c r="AD282" s="323" t="e">
        <f t="shared" ca="1" si="142"/>
        <v>#N/A</v>
      </c>
      <c r="AE282" s="324">
        <f t="shared" ca="1" si="121"/>
        <v>2153.668674017902</v>
      </c>
      <c r="AG282" s="306">
        <f t="shared" ca="1" si="143"/>
        <v>-10.999441408617001</v>
      </c>
      <c r="AH282" s="304">
        <f t="shared" ca="1" si="144"/>
        <v>-1.6519977111142874</v>
      </c>
    </row>
    <row r="283" spans="1:34" x14ac:dyDescent="0.25">
      <c r="A283" s="347">
        <f t="shared" ca="1" si="122"/>
        <v>0.1</v>
      </c>
      <c r="B283" s="304">
        <f t="shared" ca="1" si="123"/>
        <v>15.59999999999993</v>
      </c>
      <c r="D283" s="306">
        <f t="shared" ca="1" si="124"/>
        <v>-0.4897808914139255</v>
      </c>
      <c r="E283" s="307">
        <f t="shared" ca="1" si="125"/>
        <v>-11.319696275838346</v>
      </c>
      <c r="F283" s="304">
        <f t="shared" ca="1" si="126"/>
        <v>11.330287246968753</v>
      </c>
      <c r="G283" s="306">
        <f t="shared" ca="1" si="127"/>
        <v>16.953766228956436</v>
      </c>
      <c r="H283" s="307">
        <f t="shared" ca="1" si="128"/>
        <v>51.277138661556094</v>
      </c>
      <c r="I283" s="304">
        <f t="shared" ca="1" si="129"/>
        <v>54.007176732935733</v>
      </c>
      <c r="J283" s="306">
        <f t="shared" ca="1" si="130"/>
        <v>327.44729001446422</v>
      </c>
      <c r="K283" s="307">
        <f t="shared" ca="1" si="131"/>
        <v>2158.8529863654367</v>
      </c>
      <c r="L283" s="304">
        <f t="shared" ca="1" si="116"/>
        <v>2183.5448116484308</v>
      </c>
      <c r="M283" s="306">
        <f t="shared" ca="1" si="132"/>
        <v>1.2514806390975604</v>
      </c>
      <c r="N283" s="304">
        <f t="shared" ca="1" si="133"/>
        <v>71.704558762625169</v>
      </c>
      <c r="P283" s="310">
        <f t="shared" ca="1" si="134"/>
        <v>23</v>
      </c>
      <c r="Q283" s="304">
        <f t="shared" ca="1" si="135"/>
        <v>0</v>
      </c>
      <c r="R283" s="306">
        <f t="shared" ca="1" si="136"/>
        <v>0</v>
      </c>
      <c r="S283" s="307">
        <f t="shared" ca="1" si="137"/>
        <v>2.0842999999999985</v>
      </c>
      <c r="T283" s="304">
        <f t="shared" ca="1" si="117"/>
        <v>20.446982999999985</v>
      </c>
      <c r="U283" s="311">
        <f t="shared" ca="1" si="118"/>
        <v>0</v>
      </c>
      <c r="V283" s="306">
        <f t="shared" ca="1" si="119"/>
        <v>0.98630579412888342</v>
      </c>
      <c r="W283" s="304">
        <f t="shared" ca="1" si="120"/>
        <v>3.1767354171733242</v>
      </c>
      <c r="Y283" s="314" t="str">
        <f t="shared" ca="1" si="138"/>
        <v/>
      </c>
      <c r="Z283" s="315" t="str">
        <f t="shared" ca="1" si="139"/>
        <v/>
      </c>
      <c r="AA283" s="316" t="str">
        <f t="shared" ca="1" si="140"/>
        <v/>
      </c>
      <c r="AC283" s="310" t="e">
        <f t="shared" ca="1" si="141"/>
        <v>#N/A</v>
      </c>
      <c r="AD283" s="323" t="e">
        <f t="shared" ca="1" si="142"/>
        <v>#N/A</v>
      </c>
      <c r="AE283" s="324">
        <f t="shared" ca="1" si="121"/>
        <v>2158.8529863654367</v>
      </c>
      <c r="AG283" s="306">
        <f t="shared" ca="1" si="143"/>
        <v>-10.918381608020029</v>
      </c>
      <c r="AH283" s="304">
        <f t="shared" ca="1" si="144"/>
        <v>-1.5871572596546293</v>
      </c>
    </row>
    <row r="284" spans="1:34" x14ac:dyDescent="0.25">
      <c r="A284" s="347">
        <f t="shared" ca="1" si="122"/>
        <v>0.1</v>
      </c>
      <c r="B284" s="304">
        <f t="shared" ca="1" si="123"/>
        <v>15.69999999999993</v>
      </c>
      <c r="D284" s="306">
        <f t="shared" ca="1" si="124"/>
        <v>-0.47844886882356585</v>
      </c>
      <c r="E284" s="307">
        <f t="shared" ca="1" si="125"/>
        <v>-11.257081943788297</v>
      </c>
      <c r="F284" s="304">
        <f t="shared" ca="1" si="126"/>
        <v>11.267244881036492</v>
      </c>
      <c r="G284" s="306">
        <f t="shared" ca="1" si="127"/>
        <v>16.90592134207408</v>
      </c>
      <c r="H284" s="307">
        <f t="shared" ca="1" si="128"/>
        <v>50.151430467177263</v>
      </c>
      <c r="I284" s="304">
        <f t="shared" ca="1" si="129"/>
        <v>52.924249208926071</v>
      </c>
      <c r="J284" s="306">
        <f t="shared" ca="1" si="130"/>
        <v>329.14027439301572</v>
      </c>
      <c r="K284" s="307">
        <f t="shared" ca="1" si="131"/>
        <v>2163.9244148218731</v>
      </c>
      <c r="L284" s="304">
        <f t="shared" ca="1" si="116"/>
        <v>2188.8129644375044</v>
      </c>
      <c r="M284" s="306">
        <f t="shared" ca="1" si="132"/>
        <v>1.2456618653865654</v>
      </c>
      <c r="N284" s="304">
        <f t="shared" ca="1" si="133"/>
        <v>71.371167587043487</v>
      </c>
      <c r="P284" s="310">
        <f t="shared" ca="1" si="134"/>
        <v>23</v>
      </c>
      <c r="Q284" s="304">
        <f t="shared" ca="1" si="135"/>
        <v>0</v>
      </c>
      <c r="R284" s="306">
        <f t="shared" ca="1" si="136"/>
        <v>0</v>
      </c>
      <c r="S284" s="307">
        <f t="shared" ca="1" si="137"/>
        <v>2.0842999999999985</v>
      </c>
      <c r="T284" s="304">
        <f t="shared" ca="1" si="117"/>
        <v>20.446982999999985</v>
      </c>
      <c r="U284" s="311">
        <f t="shared" ca="1" si="118"/>
        <v>0</v>
      </c>
      <c r="V284" s="306">
        <f t="shared" ca="1" si="119"/>
        <v>0.98579981518218007</v>
      </c>
      <c r="W284" s="304">
        <f t="shared" ca="1" si="120"/>
        <v>3.0490507629178363</v>
      </c>
      <c r="Y284" s="314" t="str">
        <f t="shared" ca="1" si="138"/>
        <v/>
      </c>
      <c r="Z284" s="315" t="str">
        <f t="shared" ca="1" si="139"/>
        <v/>
      </c>
      <c r="AA284" s="316" t="str">
        <f t="shared" ca="1" si="140"/>
        <v/>
      </c>
      <c r="AC284" s="310" t="e">
        <f t="shared" ca="1" si="141"/>
        <v>#N/A</v>
      </c>
      <c r="AD284" s="323" t="e">
        <f t="shared" ca="1" si="142"/>
        <v>#N/A</v>
      </c>
      <c r="AE284" s="324">
        <f t="shared" ca="1" si="121"/>
        <v>2163.9244148218731</v>
      </c>
      <c r="AG284" s="306">
        <f t="shared" ca="1" si="143"/>
        <v>-10.838234794704794</v>
      </c>
      <c r="AH284" s="304">
        <f t="shared" ca="1" si="144"/>
        <v>-1.5241258058692735</v>
      </c>
    </row>
    <row r="285" spans="1:34" x14ac:dyDescent="0.25">
      <c r="A285" s="347">
        <f t="shared" ca="1" si="122"/>
        <v>0.1</v>
      </c>
      <c r="B285" s="304">
        <f t="shared" ca="1" si="123"/>
        <v>15.79999999999993</v>
      </c>
      <c r="D285" s="306">
        <f t="shared" ca="1" si="124"/>
        <v>-0.46729223520778951</v>
      </c>
      <c r="E285" s="307">
        <f t="shared" ca="1" si="125"/>
        <v>-11.196222824990393</v>
      </c>
      <c r="F285" s="304">
        <f t="shared" ca="1" si="126"/>
        <v>11.205970175755482</v>
      </c>
      <c r="G285" s="306">
        <f t="shared" ca="1" si="127"/>
        <v>16.859192118553302</v>
      </c>
      <c r="H285" s="307">
        <f t="shared" ca="1" si="128"/>
        <v>49.031808184678226</v>
      </c>
      <c r="I285" s="304">
        <f t="shared" ca="1" si="129"/>
        <v>51.849306386386388</v>
      </c>
      <c r="J285" s="306">
        <f t="shared" ca="1" si="130"/>
        <v>330.82853006604711</v>
      </c>
      <c r="K285" s="307">
        <f t="shared" ca="1" si="131"/>
        <v>2168.883576754466</v>
      </c>
      <c r="L285" s="304">
        <f t="shared" ca="1" si="116"/>
        <v>2193.9698005717642</v>
      </c>
      <c r="M285" s="306">
        <f t="shared" ca="1" si="132"/>
        <v>1.2396180270569246</v>
      </c>
      <c r="N285" s="304">
        <f t="shared" ca="1" si="133"/>
        <v>71.024881158695663</v>
      </c>
      <c r="P285" s="310">
        <f t="shared" ca="1" si="134"/>
        <v>23</v>
      </c>
      <c r="Q285" s="304">
        <f t="shared" ca="1" si="135"/>
        <v>0</v>
      </c>
      <c r="R285" s="306">
        <f t="shared" ca="1" si="136"/>
        <v>0</v>
      </c>
      <c r="S285" s="307">
        <f t="shared" ca="1" si="137"/>
        <v>2.0842999999999985</v>
      </c>
      <c r="T285" s="304">
        <f t="shared" ca="1" si="117"/>
        <v>20.446982999999985</v>
      </c>
      <c r="U285" s="311">
        <f t="shared" ca="1" si="118"/>
        <v>0</v>
      </c>
      <c r="V285" s="306">
        <f t="shared" ca="1" si="119"/>
        <v>0.98530526099111859</v>
      </c>
      <c r="W285" s="304">
        <f t="shared" ca="1" si="120"/>
        <v>2.9249821131591434</v>
      </c>
      <c r="Y285" s="314" t="str">
        <f t="shared" ca="1" si="138"/>
        <v/>
      </c>
      <c r="Z285" s="315" t="str">
        <f t="shared" ca="1" si="139"/>
        <v/>
      </c>
      <c r="AA285" s="316" t="str">
        <f t="shared" ca="1" si="140"/>
        <v/>
      </c>
      <c r="AC285" s="310" t="e">
        <f t="shared" ca="1" si="141"/>
        <v>#N/A</v>
      </c>
      <c r="AD285" s="323" t="e">
        <f t="shared" ca="1" si="142"/>
        <v>#N/A</v>
      </c>
      <c r="AE285" s="324">
        <f t="shared" ca="1" si="121"/>
        <v>2168.883576754466</v>
      </c>
      <c r="AG285" s="306">
        <f t="shared" ca="1" si="143"/>
        <v>-10.75889794915936</v>
      </c>
      <c r="AH285" s="304">
        <f t="shared" ca="1" si="144"/>
        <v>-1.4628655965637569</v>
      </c>
    </row>
    <row r="286" spans="1:34" x14ac:dyDescent="0.25">
      <c r="A286" s="347">
        <f t="shared" ca="1" si="122"/>
        <v>0.1</v>
      </c>
      <c r="B286" s="304">
        <f t="shared" ca="1" si="123"/>
        <v>15.899999999999929</v>
      </c>
      <c r="D286" s="306">
        <f t="shared" ca="1" si="124"/>
        <v>-0.45630664660156378</v>
      </c>
      <c r="E286" s="307">
        <f t="shared" ca="1" si="125"/>
        <v>-11.137082567909044</v>
      </c>
      <c r="F286" s="304">
        <f t="shared" ca="1" si="126"/>
        <v>11.146426507188583</v>
      </c>
      <c r="G286" s="306">
        <f t="shared" ca="1" si="127"/>
        <v>16.813561453893147</v>
      </c>
      <c r="H286" s="307">
        <f t="shared" ca="1" si="128"/>
        <v>47.918099927887319</v>
      </c>
      <c r="I286" s="304">
        <f t="shared" ca="1" si="129"/>
        <v>50.782281845766207</v>
      </c>
      <c r="J286" s="306">
        <f t="shared" ca="1" si="130"/>
        <v>332.51216774466945</v>
      </c>
      <c r="K286" s="307">
        <f t="shared" ca="1" si="131"/>
        <v>2173.7310721600943</v>
      </c>
      <c r="L286" s="304">
        <f t="shared" ca="1" si="116"/>
        <v>2199.0159425917159</v>
      </c>
      <c r="M286" s="306">
        <f t="shared" ca="1" si="132"/>
        <v>1.2333366702989998</v>
      </c>
      <c r="N286" s="304">
        <f t="shared" ca="1" si="133"/>
        <v>70.664985926850605</v>
      </c>
      <c r="P286" s="310">
        <f t="shared" ca="1" si="134"/>
        <v>23</v>
      </c>
      <c r="Q286" s="304">
        <f t="shared" ca="1" si="135"/>
        <v>0</v>
      </c>
      <c r="R286" s="306">
        <f t="shared" ca="1" si="136"/>
        <v>0</v>
      </c>
      <c r="S286" s="307">
        <f t="shared" ca="1" si="137"/>
        <v>2.0842999999999985</v>
      </c>
      <c r="T286" s="304">
        <f t="shared" ca="1" si="117"/>
        <v>20.446982999999985</v>
      </c>
      <c r="U286" s="311">
        <f t="shared" ca="1" si="118"/>
        <v>0</v>
      </c>
      <c r="V286" s="306">
        <f t="shared" ca="1" si="119"/>
        <v>0.98482205658303656</v>
      </c>
      <c r="W286" s="304">
        <f t="shared" ca="1" si="120"/>
        <v>2.8044564526129432</v>
      </c>
      <c r="Y286" s="314" t="str">
        <f t="shared" ca="1" si="138"/>
        <v/>
      </c>
      <c r="Z286" s="315" t="str">
        <f t="shared" ca="1" si="139"/>
        <v/>
      </c>
      <c r="AA286" s="316" t="str">
        <f t="shared" ca="1" si="140"/>
        <v/>
      </c>
      <c r="AC286" s="310" t="e">
        <f t="shared" ca="1" si="141"/>
        <v>#N/A</v>
      </c>
      <c r="AD286" s="323" t="e">
        <f t="shared" ca="1" si="142"/>
        <v>#N/A</v>
      </c>
      <c r="AE286" s="324">
        <f t="shared" ca="1" si="121"/>
        <v>2173.7310721600943</v>
      </c>
      <c r="AG286" s="306">
        <f t="shared" ca="1" si="143"/>
        <v>-10.680263560325379</v>
      </c>
      <c r="AH286" s="304">
        <f t="shared" ca="1" si="144"/>
        <v>-1.4033402644336925</v>
      </c>
    </row>
    <row r="287" spans="1:34" x14ac:dyDescent="0.25">
      <c r="A287" s="347">
        <f t="shared" ca="1" si="122"/>
        <v>0.1</v>
      </c>
      <c r="B287" s="304">
        <f t="shared" ca="1" si="123"/>
        <v>15.999999999999929</v>
      </c>
      <c r="D287" s="306">
        <f t="shared" ca="1" si="124"/>
        <v>-0.44548796531848067</v>
      </c>
      <c r="E287" s="307">
        <f t="shared" ca="1" si="125"/>
        <v>-11.079626122778368</v>
      </c>
      <c r="F287" s="304">
        <f t="shared" ca="1" si="126"/>
        <v>11.088578562998794</v>
      </c>
      <c r="G287" s="306">
        <f t="shared" ca="1" si="127"/>
        <v>16.769012657361298</v>
      </c>
      <c r="H287" s="307">
        <f t="shared" ca="1" si="128"/>
        <v>46.810137315609481</v>
      </c>
      <c r="I287" s="304">
        <f t="shared" ca="1" si="129"/>
        <v>49.723120789115384</v>
      </c>
      <c r="J287" s="306">
        <f t="shared" ca="1" si="130"/>
        <v>334.19129645023219</v>
      </c>
      <c r="K287" s="307">
        <f t="shared" ca="1" si="131"/>
        <v>2178.4674840222692</v>
      </c>
      <c r="L287" s="304">
        <f t="shared" ca="1" si="116"/>
        <v>2203.9519962025947</v>
      </c>
      <c r="M287" s="306">
        <f t="shared" ca="1" si="132"/>
        <v>1.2268044440058934</v>
      </c>
      <c r="N287" s="304">
        <f t="shared" ca="1" si="133"/>
        <v>70.290716929431213</v>
      </c>
      <c r="P287" s="310">
        <f t="shared" ca="1" si="134"/>
        <v>23</v>
      </c>
      <c r="Q287" s="304">
        <f t="shared" ca="1" si="135"/>
        <v>0</v>
      </c>
      <c r="R287" s="306">
        <f t="shared" ca="1" si="136"/>
        <v>0</v>
      </c>
      <c r="S287" s="307">
        <f t="shared" ca="1" si="137"/>
        <v>2.0842999999999985</v>
      </c>
      <c r="T287" s="304">
        <f t="shared" ca="1" si="117"/>
        <v>20.446982999999985</v>
      </c>
      <c r="U287" s="311">
        <f t="shared" ca="1" si="118"/>
        <v>0</v>
      </c>
      <c r="V287" s="306">
        <f t="shared" ca="1" si="119"/>
        <v>0.98435012914216935</v>
      </c>
      <c r="W287" s="304">
        <f t="shared" ca="1" si="120"/>
        <v>2.6874034524174673</v>
      </c>
      <c r="Y287" s="314" t="str">
        <f t="shared" ca="1" si="138"/>
        <v/>
      </c>
      <c r="Z287" s="315" t="str">
        <f t="shared" ca="1" si="139"/>
        <v/>
      </c>
      <c r="AA287" s="316" t="str">
        <f t="shared" ca="1" si="140"/>
        <v/>
      </c>
      <c r="AC287" s="310">
        <f t="shared" ca="1" si="141"/>
        <v>15.999999999999929</v>
      </c>
      <c r="AD287" s="323">
        <f t="shared" ca="1" si="142"/>
        <v>334.19129645023219</v>
      </c>
      <c r="AE287" s="324">
        <f t="shared" ca="1" si="121"/>
        <v>2178.4674840222692</v>
      </c>
      <c r="AG287" s="306">
        <f t="shared" ca="1" si="143"/>
        <v>-10.60221895172015</v>
      </c>
      <c r="AH287" s="304">
        <f t="shared" ca="1" si="144"/>
        <v>-1.3455147783970374</v>
      </c>
    </row>
    <row r="288" spans="1:34" x14ac:dyDescent="0.25">
      <c r="A288" s="347">
        <f t="shared" ca="1" si="122"/>
        <v>0.1</v>
      </c>
      <c r="B288" s="304">
        <f t="shared" ca="1" si="123"/>
        <v>16.09999999999993</v>
      </c>
      <c r="D288" s="306">
        <f t="shared" ca="1" si="124"/>
        <v>-0.434832259450531</v>
      </c>
      <c r="E288" s="307">
        <f t="shared" ca="1" si="125"/>
        <v>-11.023819691715767</v>
      </c>
      <c r="F288" s="304">
        <f t="shared" ca="1" si="126"/>
        <v>11.032392292214737</v>
      </c>
      <c r="G288" s="306">
        <f t="shared" ca="1" si="127"/>
        <v>16.725529431416245</v>
      </c>
      <c r="H288" s="307">
        <f t="shared" ca="1" si="128"/>
        <v>45.707755346437906</v>
      </c>
      <c r="I288" s="304">
        <f t="shared" ca="1" si="129"/>
        <v>48.671780669819277</v>
      </c>
      <c r="J288" s="306">
        <f t="shared" ca="1" si="130"/>
        <v>335.86602355467107</v>
      </c>
      <c r="K288" s="307">
        <f t="shared" ca="1" si="131"/>
        <v>2183.0933786553715</v>
      </c>
      <c r="L288" s="304">
        <f t="shared" ca="1" si="116"/>
        <v>2208.7785506264208</v>
      </c>
      <c r="M288" s="306">
        <f t="shared" ca="1" si="132"/>
        <v>1.220007022042642</v>
      </c>
      <c r="N288" s="304">
        <f t="shared" ca="1" si="133"/>
        <v>69.901253339367386</v>
      </c>
      <c r="P288" s="310">
        <f t="shared" ca="1" si="134"/>
        <v>23</v>
      </c>
      <c r="Q288" s="304">
        <f t="shared" ca="1" si="135"/>
        <v>0</v>
      </c>
      <c r="R288" s="306">
        <f t="shared" ca="1" si="136"/>
        <v>0</v>
      </c>
      <c r="S288" s="307">
        <f t="shared" ca="1" si="137"/>
        <v>2.0842999999999985</v>
      </c>
      <c r="T288" s="304">
        <f t="shared" ca="1" si="117"/>
        <v>20.446982999999985</v>
      </c>
      <c r="U288" s="311">
        <f t="shared" ca="1" si="118"/>
        <v>0</v>
      </c>
      <c r="V288" s="306">
        <f t="shared" ca="1" si="119"/>
        <v>0.98388940796453228</v>
      </c>
      <c r="W288" s="304">
        <f t="shared" ca="1" si="120"/>
        <v>2.5737553760798186</v>
      </c>
      <c r="Y288" s="314" t="str">
        <f t="shared" ca="1" si="138"/>
        <v/>
      </c>
      <c r="Z288" s="315" t="str">
        <f t="shared" ca="1" si="139"/>
        <v/>
      </c>
      <c r="AA288" s="316" t="str">
        <f t="shared" ca="1" si="140"/>
        <v/>
      </c>
      <c r="AC288" s="310" t="e">
        <f t="shared" ca="1" si="141"/>
        <v>#N/A</v>
      </c>
      <c r="AD288" s="323" t="e">
        <f t="shared" ca="1" si="142"/>
        <v>#N/A</v>
      </c>
      <c r="AE288" s="324">
        <f t="shared" ca="1" si="121"/>
        <v>2183.0933786553715</v>
      </c>
      <c r="AG288" s="306">
        <f t="shared" ca="1" si="143"/>
        <v>-10.524645534494418</v>
      </c>
      <c r="AH288" s="304">
        <f t="shared" ca="1" si="144"/>
        <v>-1.2893553962565223</v>
      </c>
    </row>
    <row r="289" spans="1:34" x14ac:dyDescent="0.25">
      <c r="A289" s="347">
        <f t="shared" ca="1" si="122"/>
        <v>0.1</v>
      </c>
      <c r="B289" s="304">
        <f t="shared" ca="1" si="123"/>
        <v>16.199999999999932</v>
      </c>
      <c r="D289" s="306">
        <f t="shared" ca="1" si="124"/>
        <v>-0.42433580322632675</v>
      </c>
      <c r="E289" s="307">
        <f t="shared" ca="1" si="125"/>
        <v>-10.969630680639138</v>
      </c>
      <c r="F289" s="304">
        <f t="shared" ca="1" si="126"/>
        <v>10.977834856815766</v>
      </c>
      <c r="G289" s="306">
        <f t="shared" ca="1" si="127"/>
        <v>16.683095851093611</v>
      </c>
      <c r="H289" s="307">
        <f t="shared" ca="1" si="128"/>
        <v>44.610792278373992</v>
      </c>
      <c r="I289" s="304">
        <f t="shared" ca="1" si="129"/>
        <v>47.628231910086789</v>
      </c>
      <c r="J289" s="306">
        <f t="shared" ca="1" si="130"/>
        <v>337.53645481879659</v>
      </c>
      <c r="K289" s="307">
        <f t="shared" ca="1" si="131"/>
        <v>2187.609306036612</v>
      </c>
      <c r="L289" s="304">
        <f t="shared" ca="1" si="116"/>
        <v>2213.4961789417275</v>
      </c>
      <c r="M289" s="306">
        <f t="shared" ca="1" si="132"/>
        <v>1.2129290178991627</v>
      </c>
      <c r="N289" s="304">
        <f t="shared" ca="1" si="133"/>
        <v>69.495713574569905</v>
      </c>
      <c r="P289" s="310">
        <f t="shared" ca="1" si="134"/>
        <v>23</v>
      </c>
      <c r="Q289" s="304">
        <f t="shared" ca="1" si="135"/>
        <v>0</v>
      </c>
      <c r="R289" s="306">
        <f t="shared" ca="1" si="136"/>
        <v>0</v>
      </c>
      <c r="S289" s="307">
        <f t="shared" ca="1" si="137"/>
        <v>2.0842999999999985</v>
      </c>
      <c r="T289" s="304">
        <f t="shared" ca="1" si="117"/>
        <v>20.446982999999985</v>
      </c>
      <c r="U289" s="311">
        <f t="shared" ca="1" si="118"/>
        <v>0</v>
      </c>
      <c r="V289" s="306">
        <f t="shared" ca="1" si="119"/>
        <v>0.9834398244144541</v>
      </c>
      <c r="W289" s="304">
        <f t="shared" ca="1" si="120"/>
        <v>2.4634469898034972</v>
      </c>
      <c r="Y289" s="314" t="str">
        <f t="shared" ca="1" si="138"/>
        <v/>
      </c>
      <c r="Z289" s="315" t="str">
        <f t="shared" ca="1" si="139"/>
        <v/>
      </c>
      <c r="AA289" s="316" t="str">
        <f t="shared" ca="1" si="140"/>
        <v/>
      </c>
      <c r="AC289" s="310" t="e">
        <f t="shared" ca="1" si="141"/>
        <v>#N/A</v>
      </c>
      <c r="AD289" s="323" t="e">
        <f t="shared" ca="1" si="142"/>
        <v>#N/A</v>
      </c>
      <c r="AE289" s="324">
        <f t="shared" ca="1" si="121"/>
        <v>2187.609306036612</v>
      </c>
      <c r="AG289" s="306">
        <f t="shared" ca="1" si="143"/>
        <v>-10.44741797730053</v>
      </c>
      <c r="AH289" s="304">
        <f t="shared" ca="1" si="144"/>
        <v>-1.2348296195748312</v>
      </c>
    </row>
    <row r="290" spans="1:34" x14ac:dyDescent="0.25">
      <c r="A290" s="347">
        <f t="shared" ca="1" si="122"/>
        <v>0.1</v>
      </c>
      <c r="B290" s="304">
        <f t="shared" ca="1" si="123"/>
        <v>16.299999999999933</v>
      </c>
      <c r="D290" s="306">
        <f t="shared" ca="1" si="124"/>
        <v>-0.41399507828769105</v>
      </c>
      <c r="E290" s="307">
        <f t="shared" ca="1" si="125"/>
        <v>-10.91702765281725</v>
      </c>
      <c r="F290" s="304">
        <f t="shared" ca="1" si="126"/>
        <v>10.924874584965401</v>
      </c>
      <c r="G290" s="306">
        <f t="shared" ca="1" si="127"/>
        <v>16.641696343264844</v>
      </c>
      <c r="H290" s="307">
        <f t="shared" ca="1" si="128"/>
        <v>43.519089513092268</v>
      </c>
      <c r="I290" s="304">
        <f t="shared" ca="1" si="129"/>
        <v>46.59245871629841</v>
      </c>
      <c r="J290" s="306">
        <f t="shared" ca="1" si="130"/>
        <v>339.20269442851452</v>
      </c>
      <c r="K290" s="307">
        <f t="shared" ca="1" si="131"/>
        <v>2192.0158001261852</v>
      </c>
      <c r="L290" s="304">
        <f t="shared" ca="1" si="116"/>
        <v>2218.1054384114395</v>
      </c>
      <c r="M290" s="306">
        <f t="shared" ca="1" si="132"/>
        <v>1.205553890942036</v>
      </c>
      <c r="N290" s="304">
        <f t="shared" ca="1" si="133"/>
        <v>69.073149926553384</v>
      </c>
      <c r="P290" s="310">
        <f t="shared" ca="1" si="134"/>
        <v>23</v>
      </c>
      <c r="Q290" s="304">
        <f t="shared" ca="1" si="135"/>
        <v>0</v>
      </c>
      <c r="R290" s="306">
        <f t="shared" ca="1" si="136"/>
        <v>0</v>
      </c>
      <c r="S290" s="307">
        <f t="shared" ca="1" si="137"/>
        <v>2.0842999999999985</v>
      </c>
      <c r="T290" s="304">
        <f t="shared" ca="1" si="117"/>
        <v>20.446982999999985</v>
      </c>
      <c r="U290" s="311">
        <f t="shared" ca="1" si="118"/>
        <v>0</v>
      </c>
      <c r="V290" s="306">
        <f t="shared" ca="1" si="119"/>
        <v>0.98300131188269002</v>
      </c>
      <c r="W290" s="304">
        <f t="shared" ca="1" si="120"/>
        <v>2.3564154769790844</v>
      </c>
      <c r="Y290" s="314" t="str">
        <f t="shared" ca="1" si="138"/>
        <v/>
      </c>
      <c r="Z290" s="315" t="str">
        <f t="shared" ca="1" si="139"/>
        <v/>
      </c>
      <c r="AA290" s="316" t="str">
        <f t="shared" ca="1" si="140"/>
        <v/>
      </c>
      <c r="AC290" s="310" t="e">
        <f t="shared" ca="1" si="141"/>
        <v>#N/A</v>
      </c>
      <c r="AD290" s="323" t="e">
        <f t="shared" ca="1" si="142"/>
        <v>#N/A</v>
      </c>
      <c r="AE290" s="324">
        <f t="shared" ca="1" si="121"/>
        <v>2192.0158001261852</v>
      </c>
      <c r="AG290" s="306">
        <f t="shared" ca="1" si="143"/>
        <v>-10.370403281450505</v>
      </c>
      <c r="AH290" s="304">
        <f t="shared" ca="1" si="144"/>
        <v>-1.1819061506517772</v>
      </c>
    </row>
    <row r="291" spans="1:34" x14ac:dyDescent="0.25">
      <c r="A291" s="347">
        <f t="shared" ca="1" si="122"/>
        <v>0.1</v>
      </c>
      <c r="B291" s="304">
        <f t="shared" ca="1" si="123"/>
        <v>16.399999999999935</v>
      </c>
      <c r="D291" s="306">
        <f t="shared" ca="1" si="124"/>
        <v>-0.40380677595508818</v>
      </c>
      <c r="E291" s="307">
        <f t="shared" ca="1" si="125"/>
        <v>-10.865980283878624</v>
      </c>
      <c r="F291" s="304">
        <f t="shared" ca="1" si="126"/>
        <v>10.873480925717681</v>
      </c>
      <c r="G291" s="306">
        <f t="shared" ca="1" si="127"/>
        <v>16.601315665669336</v>
      </c>
      <c r="H291" s="307">
        <f t="shared" ca="1" si="128"/>
        <v>42.432491484704407</v>
      </c>
      <c r="I291" s="304">
        <f t="shared" ca="1" si="129"/>
        <v>45.564460003721216</v>
      </c>
      <c r="J291" s="306">
        <f t="shared" ca="1" si="130"/>
        <v>340.86484502896121</v>
      </c>
      <c r="K291" s="307">
        <f t="shared" ca="1" si="131"/>
        <v>2196.3133791760752</v>
      </c>
      <c r="L291" s="304">
        <f t="shared" ca="1" si="116"/>
        <v>2222.6068707993431</v>
      </c>
      <c r="M291" s="306">
        <f t="shared" ca="1" si="132"/>
        <v>1.1978638434066353</v>
      </c>
      <c r="N291" s="304">
        <f t="shared" ca="1" si="133"/>
        <v>68.632542658519952</v>
      </c>
      <c r="P291" s="310">
        <f t="shared" ca="1" si="134"/>
        <v>23</v>
      </c>
      <c r="Q291" s="304">
        <f t="shared" ca="1" si="135"/>
        <v>0</v>
      </c>
      <c r="R291" s="306">
        <f t="shared" ca="1" si="136"/>
        <v>0</v>
      </c>
      <c r="S291" s="307">
        <f t="shared" ca="1" si="137"/>
        <v>2.0842999999999985</v>
      </c>
      <c r="T291" s="304">
        <f t="shared" ca="1" si="117"/>
        <v>20.446982999999985</v>
      </c>
      <c r="U291" s="311">
        <f t="shared" ca="1" si="118"/>
        <v>0</v>
      </c>
      <c r="V291" s="306">
        <f t="shared" ca="1" si="119"/>
        <v>0.9825738057460639</v>
      </c>
      <c r="W291" s="304">
        <f t="shared" ca="1" si="120"/>
        <v>2.2526003566322026</v>
      </c>
      <c r="Y291" s="314" t="str">
        <f t="shared" ca="1" si="138"/>
        <v/>
      </c>
      <c r="Z291" s="315" t="str">
        <f t="shared" ca="1" si="139"/>
        <v/>
      </c>
      <c r="AA291" s="316" t="str">
        <f t="shared" ca="1" si="140"/>
        <v/>
      </c>
      <c r="AC291" s="310" t="e">
        <f t="shared" ca="1" si="141"/>
        <v>#N/A</v>
      </c>
      <c r="AD291" s="323" t="e">
        <f t="shared" ca="1" si="142"/>
        <v>#N/A</v>
      </c>
      <c r="AE291" s="324">
        <f t="shared" ca="1" si="121"/>
        <v>2196.3133791760752</v>
      </c>
      <c r="AG291" s="306">
        <f t="shared" ca="1" si="143"/>
        <v>-10.293459748254065</v>
      </c>
      <c r="AH291" s="304">
        <f t="shared" ca="1" si="144"/>
        <v>-1.1305548514988659</v>
      </c>
    </row>
    <row r="292" spans="1:34" x14ac:dyDescent="0.25">
      <c r="A292" s="347">
        <f t="shared" ca="1" si="122"/>
        <v>0.1</v>
      </c>
      <c r="B292" s="304">
        <f t="shared" ca="1" si="123"/>
        <v>16.499999999999936</v>
      </c>
      <c r="D292" s="306">
        <f t="shared" ca="1" si="124"/>
        <v>-0.39376780056426364</v>
      </c>
      <c r="E292" s="307">
        <f t="shared" ca="1" si="125"/>
        <v>-10.816459318097682</v>
      </c>
      <c r="F292" s="304">
        <f t="shared" ca="1" si="126"/>
        <v>10.823624405014403</v>
      </c>
      <c r="G292" s="306">
        <f t="shared" ca="1" si="127"/>
        <v>16.561938885612911</v>
      </c>
      <c r="H292" s="307">
        <f t="shared" ca="1" si="128"/>
        <v>41.35084555289464</v>
      </c>
      <c r="I292" s="304">
        <f t="shared" ca="1" si="129"/>
        <v>44.5442504436894</v>
      </c>
      <c r="J292" s="306">
        <f t="shared" ca="1" si="130"/>
        <v>342.52300775652532</v>
      </c>
      <c r="K292" s="307">
        <f t="shared" ca="1" si="131"/>
        <v>2200.5025460279553</v>
      </c>
      <c r="L292" s="304">
        <f t="shared" ca="1" si="116"/>
        <v>2227.0010026755917</v>
      </c>
      <c r="M292" s="306">
        <f t="shared" ca="1" si="132"/>
        <v>1.1898397071948483</v>
      </c>
      <c r="N292" s="304">
        <f t="shared" ca="1" si="133"/>
        <v>68.172793519346456</v>
      </c>
      <c r="P292" s="310">
        <f t="shared" ca="1" si="134"/>
        <v>23</v>
      </c>
      <c r="Q292" s="304">
        <f t="shared" ca="1" si="135"/>
        <v>0</v>
      </c>
      <c r="R292" s="306">
        <f t="shared" ca="1" si="136"/>
        <v>0</v>
      </c>
      <c r="S292" s="307">
        <f t="shared" ca="1" si="137"/>
        <v>2.0842999999999985</v>
      </c>
      <c r="T292" s="304">
        <f t="shared" ca="1" si="117"/>
        <v>20.446982999999985</v>
      </c>
      <c r="U292" s="311">
        <f t="shared" ca="1" si="118"/>
        <v>0</v>
      </c>
      <c r="V292" s="306">
        <f t="shared" ca="1" si="119"/>
        <v>0.98215724332857191</v>
      </c>
      <c r="W292" s="304">
        <f t="shared" ca="1" si="120"/>
        <v>2.1519434056339031</v>
      </c>
      <c r="Y292" s="314" t="str">
        <f t="shared" ca="1" si="138"/>
        <v/>
      </c>
      <c r="Z292" s="315" t="str">
        <f t="shared" ca="1" si="139"/>
        <v/>
      </c>
      <c r="AA292" s="316" t="str">
        <f t="shared" ca="1" si="140"/>
        <v/>
      </c>
      <c r="AC292" s="310" t="e">
        <f t="shared" ca="1" si="141"/>
        <v>#N/A</v>
      </c>
      <c r="AD292" s="323" t="e">
        <f t="shared" ca="1" si="142"/>
        <v>#N/A</v>
      </c>
      <c r="AE292" s="324">
        <f t="shared" ca="1" si="121"/>
        <v>2200.5025460279553</v>
      </c>
      <c r="AG292" s="306">
        <f t="shared" ca="1" si="143"/>
        <v>-10.216435823621252</v>
      </c>
      <c r="AH292" s="304">
        <f t="shared" ca="1" si="144"/>
        <v>-1.0807467047124715</v>
      </c>
    </row>
    <row r="293" spans="1:34" x14ac:dyDescent="0.25">
      <c r="A293" s="347">
        <f t="shared" ca="1" si="122"/>
        <v>0.1</v>
      </c>
      <c r="B293" s="304">
        <f t="shared" ca="1" si="123"/>
        <v>16.599999999999937</v>
      </c>
      <c r="D293" s="306">
        <f t="shared" ca="1" si="124"/>
        <v>-0.3838752739698304</v>
      </c>
      <c r="E293" s="307">
        <f t="shared" ca="1" si="125"/>
        <v>-10.768436525767566</v>
      </c>
      <c r="F293" s="304">
        <f t="shared" ca="1" si="126"/>
        <v>10.775276582782015</v>
      </c>
      <c r="G293" s="306">
        <f t="shared" ca="1" si="127"/>
        <v>16.523551358215929</v>
      </c>
      <c r="H293" s="307">
        <f t="shared" ca="1" si="128"/>
        <v>40.274001900317884</v>
      </c>
      <c r="I293" s="304">
        <f t="shared" ca="1" si="129"/>
        <v>43.531861648158447</v>
      </c>
      <c r="J293" s="306">
        <f t="shared" ca="1" si="130"/>
        <v>344.17728226871674</v>
      </c>
      <c r="K293" s="307">
        <f t="shared" ca="1" si="131"/>
        <v>2204.583788400616</v>
      </c>
      <c r="L293" s="304">
        <f t="shared" ca="1" si="116"/>
        <v>2231.2883457116636</v>
      </c>
      <c r="M293" s="306">
        <f t="shared" ca="1" si="132"/>
        <v>1.1814608194664962</v>
      </c>
      <c r="N293" s="304">
        <f t="shared" ca="1" si="133"/>
        <v>67.692718615497924</v>
      </c>
      <c r="P293" s="310">
        <f t="shared" ca="1" si="134"/>
        <v>23</v>
      </c>
      <c r="Q293" s="304">
        <f t="shared" ca="1" si="135"/>
        <v>0</v>
      </c>
      <c r="R293" s="306">
        <f t="shared" ca="1" si="136"/>
        <v>0</v>
      </c>
      <c r="S293" s="307">
        <f t="shared" ca="1" si="137"/>
        <v>2.0842999999999985</v>
      </c>
      <c r="T293" s="304">
        <f t="shared" ca="1" si="117"/>
        <v>20.446982999999985</v>
      </c>
      <c r="U293" s="311">
        <f t="shared" ca="1" si="118"/>
        <v>0</v>
      </c>
      <c r="V293" s="306">
        <f t="shared" ca="1" si="119"/>
        <v>0.98175156386389706</v>
      </c>
      <c r="W293" s="304">
        <f t="shared" ca="1" si="120"/>
        <v>2.0543885844891681</v>
      </c>
      <c r="Y293" s="314" t="str">
        <f t="shared" ca="1" si="138"/>
        <v/>
      </c>
      <c r="Z293" s="315" t="str">
        <f t="shared" ca="1" si="139"/>
        <v/>
      </c>
      <c r="AA293" s="316" t="str">
        <f t="shared" ca="1" si="140"/>
        <v/>
      </c>
      <c r="AC293" s="310" t="e">
        <f t="shared" ca="1" si="141"/>
        <v>#N/A</v>
      </c>
      <c r="AD293" s="323" t="e">
        <f t="shared" ca="1" si="142"/>
        <v>#N/A</v>
      </c>
      <c r="AE293" s="324">
        <f t="shared" ca="1" si="121"/>
        <v>2204.583788400616</v>
      </c>
      <c r="AG293" s="306">
        <f t="shared" ca="1" si="143"/>
        <v>-10.139168802970271</v>
      </c>
      <c r="AH293" s="304">
        <f t="shared" ca="1" si="144"/>
        <v>-1.0324537761521397</v>
      </c>
    </row>
    <row r="294" spans="1:34" x14ac:dyDescent="0.25">
      <c r="A294" s="347">
        <f t="shared" ca="1" si="122"/>
        <v>0.1</v>
      </c>
      <c r="B294" s="304">
        <f t="shared" ca="1" si="123"/>
        <v>16.699999999999939</v>
      </c>
      <c r="D294" s="306">
        <f t="shared" ca="1" si="124"/>
        <v>-0.37412654132663248</v>
      </c>
      <c r="E294" s="307">
        <f t="shared" ca="1" si="125"/>
        <v>-10.721884661456642</v>
      </c>
      <c r="F294" s="304">
        <f t="shared" ca="1" si="126"/>
        <v>10.728410010924463</v>
      </c>
      <c r="G294" s="306">
        <f t="shared" ca="1" si="127"/>
        <v>16.486138704083267</v>
      </c>
      <c r="H294" s="307">
        <f t="shared" ca="1" si="128"/>
        <v>39.201813434172223</v>
      </c>
      <c r="I294" s="304">
        <f t="shared" ca="1" si="129"/>
        <v>42.527343508593596</v>
      </c>
      <c r="J294" s="306">
        <f t="shared" ca="1" si="130"/>
        <v>345.8277667718317</v>
      </c>
      <c r="K294" s="307">
        <f t="shared" ca="1" si="131"/>
        <v>2208.5575791673405</v>
      </c>
      <c r="L294" s="304">
        <f t="shared" ca="1" si="116"/>
        <v>2235.4693969651867</v>
      </c>
      <c r="M294" s="306">
        <f t="shared" ca="1" si="132"/>
        <v>1.1727048859372136</v>
      </c>
      <c r="N294" s="304">
        <f t="shared" ca="1" si="133"/>
        <v>67.191040578572938</v>
      </c>
      <c r="P294" s="310">
        <f t="shared" ca="1" si="134"/>
        <v>23</v>
      </c>
      <c r="Q294" s="304">
        <f t="shared" ca="1" si="135"/>
        <v>0</v>
      </c>
      <c r="R294" s="306">
        <f t="shared" ca="1" si="136"/>
        <v>0</v>
      </c>
      <c r="S294" s="307">
        <f t="shared" ca="1" si="137"/>
        <v>2.0842999999999985</v>
      </c>
      <c r="T294" s="304">
        <f t="shared" ca="1" si="117"/>
        <v>20.446982999999985</v>
      </c>
      <c r="U294" s="311">
        <f t="shared" ca="1" si="118"/>
        <v>0</v>
      </c>
      <c r="V294" s="306">
        <f t="shared" ca="1" si="119"/>
        <v>0.98135670845927803</v>
      </c>
      <c r="W294" s="304">
        <f t="shared" ca="1" si="120"/>
        <v>1.9598819665287213</v>
      </c>
      <c r="Y294" s="314" t="str">
        <f t="shared" ca="1" si="138"/>
        <v/>
      </c>
      <c r="Z294" s="315" t="str">
        <f t="shared" ca="1" si="139"/>
        <v/>
      </c>
      <c r="AA294" s="316" t="str">
        <f t="shared" ca="1" si="140"/>
        <v/>
      </c>
      <c r="AC294" s="310" t="e">
        <f t="shared" ca="1" si="141"/>
        <v>#N/A</v>
      </c>
      <c r="AD294" s="323" t="e">
        <f t="shared" ca="1" si="142"/>
        <v>#N/A</v>
      </c>
      <c r="AE294" s="324">
        <f t="shared" ca="1" si="121"/>
        <v>2208.5575791673405</v>
      </c>
      <c r="AG294" s="306">
        <f t="shared" ca="1" si="143"/>
        <v>-10.061483377178405</v>
      </c>
      <c r="AH294" s="304">
        <f t="shared" ca="1" si="144"/>
        <v>-0.98564917933558971</v>
      </c>
    </row>
    <row r="295" spans="1:34" x14ac:dyDescent="0.25">
      <c r="A295" s="347">
        <f t="shared" ca="1" si="122"/>
        <v>0.1</v>
      </c>
      <c r="B295" s="304">
        <f t="shared" ca="1" si="123"/>
        <v>16.79999999999994</v>
      </c>
      <c r="D295" s="306">
        <f t="shared" ca="1" si="124"/>
        <v>-0.36451917827670388</v>
      </c>
      <c r="E295" s="307">
        <f t="shared" ca="1" si="125"/>
        <v>-10.676777422929352</v>
      </c>
      <c r="F295" s="304">
        <f t="shared" ca="1" si="126"/>
        <v>10.682998191992052</v>
      </c>
      <c r="G295" s="306">
        <f t="shared" ca="1" si="127"/>
        <v>16.449686786255597</v>
      </c>
      <c r="H295" s="307">
        <f t="shared" ca="1" si="128"/>
        <v>38.134135691879287</v>
      </c>
      <c r="I295" s="304">
        <f t="shared" ca="1" si="129"/>
        <v>41.530765708478981</v>
      </c>
      <c r="J295" s="306">
        <f t="shared" ca="1" si="130"/>
        <v>347.47455804634865</v>
      </c>
      <c r="K295" s="307">
        <f t="shared" ca="1" si="131"/>
        <v>2212.4243766236432</v>
      </c>
      <c r="L295" s="304">
        <f t="shared" ca="1" si="116"/>
        <v>2239.5446391550272</v>
      </c>
      <c r="M295" s="306">
        <f t="shared" ca="1" si="132"/>
        <v>1.163547830725999</v>
      </c>
      <c r="N295" s="304">
        <f t="shared" ca="1" si="133"/>
        <v>66.666379962202072</v>
      </c>
      <c r="P295" s="310">
        <f t="shared" ca="1" si="134"/>
        <v>23</v>
      </c>
      <c r="Q295" s="304">
        <f t="shared" ca="1" si="135"/>
        <v>0</v>
      </c>
      <c r="R295" s="306">
        <f t="shared" ca="1" si="136"/>
        <v>0</v>
      </c>
      <c r="S295" s="307">
        <f t="shared" ca="1" si="137"/>
        <v>2.0842999999999985</v>
      </c>
      <c r="T295" s="304">
        <f t="shared" ca="1" si="117"/>
        <v>20.446982999999985</v>
      </c>
      <c r="U295" s="311">
        <f t="shared" ca="1" si="118"/>
        <v>0</v>
      </c>
      <c r="V295" s="306">
        <f t="shared" ca="1" si="119"/>
        <v>0.9809726200606721</v>
      </c>
      <c r="W295" s="304">
        <f t="shared" ca="1" si="120"/>
        <v>1.8683716703383106</v>
      </c>
      <c r="Y295" s="314" t="str">
        <f t="shared" ca="1" si="138"/>
        <v/>
      </c>
      <c r="Z295" s="315" t="str">
        <f t="shared" ca="1" si="139"/>
        <v/>
      </c>
      <c r="AA295" s="316" t="str">
        <f t="shared" ca="1" si="140"/>
        <v/>
      </c>
      <c r="AC295" s="310" t="e">
        <f t="shared" ca="1" si="141"/>
        <v>#N/A</v>
      </c>
      <c r="AD295" s="323" t="e">
        <f t="shared" ca="1" si="142"/>
        <v>#N/A</v>
      </c>
      <c r="AE295" s="324">
        <f t="shared" ca="1" si="121"/>
        <v>2212.4243766236432</v>
      </c>
      <c r="AG295" s="306">
        <f t="shared" ca="1" si="143"/>
        <v>-9.9831899977348737</v>
      </c>
      <c r="AH295" s="304">
        <f t="shared" ca="1" si="144"/>
        <v>-0.94030704146654642</v>
      </c>
    </row>
    <row r="296" spans="1:34" x14ac:dyDescent="0.25">
      <c r="A296" s="347">
        <f t="shared" ca="1" si="122"/>
        <v>0.1</v>
      </c>
      <c r="B296" s="304">
        <f t="shared" ca="1" si="123"/>
        <v>16.899999999999942</v>
      </c>
      <c r="D296" s="306">
        <f t="shared" ca="1" si="124"/>
        <v>-0.35505099968878318</v>
      </c>
      <c r="E296" s="307">
        <f t="shared" ca="1" si="125"/>
        <v>-10.633089410491532</v>
      </c>
      <c r="F296" s="304">
        <f t="shared" ca="1" si="126"/>
        <v>10.639015538285822</v>
      </c>
      <c r="G296" s="306">
        <f t="shared" ca="1" si="127"/>
        <v>16.414181686286717</v>
      </c>
      <c r="H296" s="307">
        <f t="shared" ca="1" si="128"/>
        <v>37.070826750830136</v>
      </c>
      <c r="I296" s="304">
        <f t="shared" ca="1" si="129"/>
        <v>40.542219431359371</v>
      </c>
      <c r="J296" s="306">
        <f t="shared" ca="1" si="130"/>
        <v>349.11775146997576</v>
      </c>
      <c r="K296" s="307">
        <f t="shared" ca="1" si="131"/>
        <v>2216.1846247457788</v>
      </c>
      <c r="L296" s="304">
        <f t="shared" ca="1" si="116"/>
        <v>2243.514540927034</v>
      </c>
      <c r="M296" s="306">
        <f t="shared" ca="1" si="132"/>
        <v>1.1539636315375568</v>
      </c>
      <c r="N296" s="304">
        <f t="shared" ca="1" si="133"/>
        <v>66.117245798691627</v>
      </c>
      <c r="P296" s="310">
        <f t="shared" ca="1" si="134"/>
        <v>23</v>
      </c>
      <c r="Q296" s="304">
        <f t="shared" ca="1" si="135"/>
        <v>0</v>
      </c>
      <c r="R296" s="306">
        <f t="shared" ca="1" si="136"/>
        <v>0</v>
      </c>
      <c r="S296" s="307">
        <f t="shared" ca="1" si="137"/>
        <v>2.0842999999999985</v>
      </c>
      <c r="T296" s="304">
        <f t="shared" ca="1" si="117"/>
        <v>20.446982999999985</v>
      </c>
      <c r="U296" s="311">
        <f t="shared" ca="1" si="118"/>
        <v>0</v>
      </c>
      <c r="V296" s="306">
        <f t="shared" ca="1" si="119"/>
        <v>0.98059924341917515</v>
      </c>
      <c r="W296" s="304">
        <f t="shared" ca="1" si="120"/>
        <v>1.7798077952678171</v>
      </c>
      <c r="Y296" s="314" t="str">
        <f t="shared" ca="1" si="138"/>
        <v/>
      </c>
      <c r="Z296" s="315" t="str">
        <f t="shared" ca="1" si="139"/>
        <v/>
      </c>
      <c r="AA296" s="316" t="str">
        <f t="shared" ca="1" si="140"/>
        <v/>
      </c>
      <c r="AC296" s="310" t="e">
        <f t="shared" ca="1" si="141"/>
        <v>#N/A</v>
      </c>
      <c r="AD296" s="323" t="e">
        <f t="shared" ca="1" si="142"/>
        <v>#N/A</v>
      </c>
      <c r="AE296" s="324">
        <f t="shared" ca="1" si="121"/>
        <v>2216.1846247457788</v>
      </c>
      <c r="AG296" s="306">
        <f t="shared" ca="1" si="143"/>
        <v>-9.9040830363890837</v>
      </c>
      <c r="AH296" s="304">
        <f t="shared" ca="1" si="144"/>
        <v>-0.89640247101583836</v>
      </c>
    </row>
    <row r="297" spans="1:34" x14ac:dyDescent="0.25">
      <c r="A297" s="347">
        <f t="shared" ca="1" si="122"/>
        <v>0.1</v>
      </c>
      <c r="B297" s="304">
        <f t="shared" ca="1" si="123"/>
        <v>16.999999999999943</v>
      </c>
      <c r="D297" s="306">
        <f t="shared" ca="1" si="124"/>
        <v>-0.34572007011885297</v>
      </c>
      <c r="E297" s="307">
        <f t="shared" ca="1" si="125"/>
        <v>-10.590796086494407</v>
      </c>
      <c r="F297" s="304">
        <f t="shared" ca="1" si="126"/>
        <v>10.596437331131074</v>
      </c>
      <c r="G297" s="306">
        <f t="shared" ca="1" si="127"/>
        <v>16.379609679274832</v>
      </c>
      <c r="H297" s="307">
        <f t="shared" ca="1" si="128"/>
        <v>36.011747142180695</v>
      </c>
      <c r="I297" s="304">
        <f t="shared" ca="1" si="129"/>
        <v>39.561819289281345</v>
      </c>
      <c r="J297" s="306">
        <f t="shared" ca="1" si="130"/>
        <v>350.75744103825383</v>
      </c>
      <c r="K297" s="307">
        <f t="shared" ca="1" si="131"/>
        <v>2219.8387534404292</v>
      </c>
      <c r="L297" s="304">
        <f t="shared" ca="1" si="116"/>
        <v>2247.379557110828</v>
      </c>
      <c r="M297" s="306">
        <f t="shared" ca="1" si="132"/>
        <v>1.1439241389259633</v>
      </c>
      <c r="N297" s="304">
        <f t="shared" ca="1" si="133"/>
        <v>65.542025243594551</v>
      </c>
      <c r="P297" s="310">
        <f t="shared" ca="1" si="134"/>
        <v>23</v>
      </c>
      <c r="Q297" s="304">
        <f t="shared" ca="1" si="135"/>
        <v>0</v>
      </c>
      <c r="R297" s="306">
        <f t="shared" ca="1" si="136"/>
        <v>0</v>
      </c>
      <c r="S297" s="307">
        <f t="shared" ca="1" si="137"/>
        <v>2.0842999999999985</v>
      </c>
      <c r="T297" s="304">
        <f t="shared" ca="1" si="117"/>
        <v>20.446982999999985</v>
      </c>
      <c r="U297" s="311">
        <f t="shared" ca="1" si="118"/>
        <v>0</v>
      </c>
      <c r="V297" s="306">
        <f t="shared" ca="1" si="119"/>
        <v>0.98023652505862779</v>
      </c>
      <c r="W297" s="304">
        <f t="shared" ca="1" si="120"/>
        <v>1.6941423598699816</v>
      </c>
      <c r="Y297" s="314" t="str">
        <f t="shared" ca="1" si="138"/>
        <v/>
      </c>
      <c r="Z297" s="315" t="str">
        <f t="shared" ca="1" si="139"/>
        <v/>
      </c>
      <c r="AA297" s="316" t="str">
        <f t="shared" ca="1" si="140"/>
        <v/>
      </c>
      <c r="AC297" s="310">
        <f t="shared" ca="1" si="141"/>
        <v>16.999999999999943</v>
      </c>
      <c r="AD297" s="323">
        <f t="shared" ca="1" si="142"/>
        <v>350.75744103825383</v>
      </c>
      <c r="AE297" s="324">
        <f t="shared" ca="1" si="121"/>
        <v>2219.8387534404292</v>
      </c>
      <c r="AG297" s="306">
        <f t="shared" ca="1" si="143"/>
        <v>-9.8239387114376413</v>
      </c>
      <c r="AH297" s="304">
        <f t="shared" ca="1" si="144"/>
        <v>-0.85391152678012683</v>
      </c>
    </row>
    <row r="298" spans="1:34" x14ac:dyDescent="0.25">
      <c r="A298" s="347">
        <f t="shared" ca="1" si="122"/>
        <v>0.1</v>
      </c>
      <c r="B298" s="304">
        <f t="shared" ca="1" si="123"/>
        <v>17.099999999999945</v>
      </c>
      <c r="D298" s="306">
        <f t="shared" ca="1" si="124"/>
        <v>-0.33652471618425744</v>
      </c>
      <c r="E298" s="307">
        <f t="shared" ca="1" si="125"/>
        <v>-10.549873734699284</v>
      </c>
      <c r="F298" s="304">
        <f t="shared" ca="1" si="126"/>
        <v>10.555239680021517</v>
      </c>
      <c r="G298" s="306">
        <f t="shared" ca="1" si="127"/>
        <v>16.345957207656408</v>
      </c>
      <c r="H298" s="307">
        <f t="shared" ca="1" si="128"/>
        <v>34.956759768710768</v>
      </c>
      <c r="I298" s="304">
        <f t="shared" ca="1" si="129"/>
        <v>38.589705499807721</v>
      </c>
      <c r="J298" s="306">
        <f t="shared" ca="1" si="130"/>
        <v>352.39371938260041</v>
      </c>
      <c r="K298" s="307">
        <f t="shared" ca="1" si="131"/>
        <v>2223.3871787859739</v>
      </c>
      <c r="L298" s="304">
        <f t="shared" ca="1" si="116"/>
        <v>2251.1401289680202</v>
      </c>
      <c r="M298" s="306">
        <f t="shared" ca="1" si="132"/>
        <v>1.1333988783782858</v>
      </c>
      <c r="N298" s="304">
        <f t="shared" ca="1" si="133"/>
        <v>64.938972235937072</v>
      </c>
      <c r="P298" s="310">
        <f t="shared" ca="1" si="134"/>
        <v>23</v>
      </c>
      <c r="Q298" s="304">
        <f t="shared" ca="1" si="135"/>
        <v>0</v>
      </c>
      <c r="R298" s="306">
        <f t="shared" ca="1" si="136"/>
        <v>0</v>
      </c>
      <c r="S298" s="307">
        <f t="shared" ca="1" si="137"/>
        <v>2.0842999999999985</v>
      </c>
      <c r="T298" s="304">
        <f t="shared" ca="1" si="117"/>
        <v>20.446982999999985</v>
      </c>
      <c r="U298" s="311">
        <f t="shared" ca="1" si="118"/>
        <v>0</v>
      </c>
      <c r="V298" s="306">
        <f t="shared" ca="1" si="119"/>
        <v>0.97988441324437137</v>
      </c>
      <c r="W298" s="304">
        <f t="shared" ca="1" si="120"/>
        <v>1.6113292431254354</v>
      </c>
      <c r="Y298" s="314" t="str">
        <f t="shared" ca="1" si="138"/>
        <v/>
      </c>
      <c r="Z298" s="315" t="str">
        <f t="shared" ca="1" si="139"/>
        <v/>
      </c>
      <c r="AA298" s="316" t="str">
        <f t="shared" ca="1" si="140"/>
        <v/>
      </c>
      <c r="AC298" s="310" t="e">
        <f t="shared" ca="1" si="141"/>
        <v>#N/A</v>
      </c>
      <c r="AD298" s="323" t="e">
        <f t="shared" ca="1" si="142"/>
        <v>#N/A</v>
      </c>
      <c r="AE298" s="324">
        <f t="shared" ca="1" si="121"/>
        <v>2223.3871787859739</v>
      </c>
      <c r="AG298" s="306">
        <f t="shared" ca="1" si="143"/>
        <v>-9.7425127493789851</v>
      </c>
      <c r="AH298" s="304">
        <f t="shared" ca="1" si="144"/>
        <v>-0.81281118834619914</v>
      </c>
    </row>
    <row r="299" spans="1:34" x14ac:dyDescent="0.25">
      <c r="A299" s="347">
        <f t="shared" ca="1" si="122"/>
        <v>0.1</v>
      </c>
      <c r="B299" s="304">
        <f t="shared" ca="1" si="123"/>
        <v>17.199999999999946</v>
      </c>
      <c r="D299" s="306">
        <f t="shared" ca="1" si="124"/>
        <v>-0.32746354107082987</v>
      </c>
      <c r="E299" s="307">
        <f t="shared" ca="1" si="125"/>
        <v>-10.510299419165406</v>
      </c>
      <c r="F299" s="304">
        <f t="shared" ca="1" si="126"/>
        <v>10.515399481295958</v>
      </c>
      <c r="G299" s="306">
        <f t="shared" ca="1" si="127"/>
        <v>16.313210853549325</v>
      </c>
      <c r="H299" s="307">
        <f t="shared" ca="1" si="128"/>
        <v>33.905729826794229</v>
      </c>
      <c r="I299" s="304">
        <f t="shared" ca="1" si="129"/>
        <v>37.626046343456323</v>
      </c>
      <c r="J299" s="306">
        <f t="shared" ca="1" si="130"/>
        <v>354.0266777856607</v>
      </c>
      <c r="K299" s="307">
        <f t="shared" ca="1" si="131"/>
        <v>2226.8303032657491</v>
      </c>
      <c r="L299" s="304">
        <f t="shared" ca="1" si="116"/>
        <v>2254.7966844322304</v>
      </c>
      <c r="M299" s="306">
        <f t="shared" ca="1" si="132"/>
        <v>1.1223548339949272</v>
      </c>
      <c r="N299" s="304">
        <f t="shared" ca="1" si="133"/>
        <v>64.306195104015458</v>
      </c>
      <c r="P299" s="310">
        <f t="shared" ca="1" si="134"/>
        <v>23</v>
      </c>
      <c r="Q299" s="304">
        <f t="shared" ca="1" si="135"/>
        <v>0</v>
      </c>
      <c r="R299" s="306">
        <f t="shared" ca="1" si="136"/>
        <v>0</v>
      </c>
      <c r="S299" s="307">
        <f t="shared" ca="1" si="137"/>
        <v>2.0842999999999985</v>
      </c>
      <c r="T299" s="304">
        <f t="shared" ca="1" si="117"/>
        <v>20.446982999999985</v>
      </c>
      <c r="U299" s="311">
        <f t="shared" ca="1" si="118"/>
        <v>0</v>
      </c>
      <c r="V299" s="306">
        <f t="shared" ca="1" si="119"/>
        <v>0.97954285795309814</v>
      </c>
      <c r="W299" s="304">
        <f t="shared" ca="1" si="120"/>
        <v>1.531324128316792</v>
      </c>
      <c r="Y299" s="314" t="str">
        <f t="shared" ca="1" si="138"/>
        <v/>
      </c>
      <c r="Z299" s="315" t="str">
        <f t="shared" ca="1" si="139"/>
        <v/>
      </c>
      <c r="AA299" s="316" t="str">
        <f t="shared" ca="1" si="140"/>
        <v/>
      </c>
      <c r="AC299" s="310" t="e">
        <f t="shared" ca="1" si="141"/>
        <v>#N/A</v>
      </c>
      <c r="AD299" s="323" t="e">
        <f t="shared" ca="1" si="142"/>
        <v>#N/A</v>
      </c>
      <c r="AE299" s="324">
        <f t="shared" ca="1" si="121"/>
        <v>2226.8303032657491</v>
      </c>
      <c r="AG299" s="306">
        <f t="shared" ca="1" si="143"/>
        <v>-9.6595377470360368</v>
      </c>
      <c r="AH299" s="304">
        <f t="shared" ca="1" si="144"/>
        <v>-0.77307932789206757</v>
      </c>
    </row>
    <row r="300" spans="1:34" x14ac:dyDescent="0.25">
      <c r="A300" s="347">
        <f t="shared" ca="1" si="122"/>
        <v>0.1</v>
      </c>
      <c r="B300" s="304">
        <f t="shared" ca="1" si="123"/>
        <v>17.299999999999947</v>
      </c>
      <c r="D300" s="306">
        <f t="shared" ca="1" si="124"/>
        <v>-0.31853544142223067</v>
      </c>
      <c r="E300" s="307">
        <f t="shared" ca="1" si="125"/>
        <v>-10.47205094227486</v>
      </c>
      <c r="F300" s="304">
        <f t="shared" ca="1" si="126"/>
        <v>10.476894375960933</v>
      </c>
      <c r="G300" s="306">
        <f t="shared" ca="1" si="127"/>
        <v>16.281357309407102</v>
      </c>
      <c r="H300" s="307">
        <f t="shared" ca="1" si="128"/>
        <v>32.858524732566742</v>
      </c>
      <c r="I300" s="304">
        <f t="shared" ca="1" si="129"/>
        <v>36.67104093746569</v>
      </c>
      <c r="J300" s="306">
        <f t="shared" ca="1" si="130"/>
        <v>355.65640619380849</v>
      </c>
      <c r="K300" s="307">
        <f t="shared" ca="1" si="131"/>
        <v>2230.1685159937169</v>
      </c>
      <c r="L300" s="304">
        <f t="shared" ca="1" si="116"/>
        <v>2258.3496383413071</v>
      </c>
      <c r="M300" s="306">
        <f t="shared" ca="1" si="132"/>
        <v>1.1107562126486992</v>
      </c>
      <c r="N300" s="304">
        <f t="shared" ca="1" si="133"/>
        <v>63.64164305270625</v>
      </c>
      <c r="P300" s="310">
        <f t="shared" ca="1" si="134"/>
        <v>23</v>
      </c>
      <c r="Q300" s="304">
        <f t="shared" ca="1" si="135"/>
        <v>0</v>
      </c>
      <c r="R300" s="306">
        <f t="shared" ca="1" si="136"/>
        <v>0</v>
      </c>
      <c r="S300" s="307">
        <f t="shared" ca="1" si="137"/>
        <v>2.0842999999999985</v>
      </c>
      <c r="T300" s="304">
        <f t="shared" ca="1" si="117"/>
        <v>20.446982999999985</v>
      </c>
      <c r="U300" s="311">
        <f t="shared" ca="1" si="118"/>
        <v>0</v>
      </c>
      <c r="V300" s="306">
        <f t="shared" ca="1" si="119"/>
        <v>0.97921181084373954</v>
      </c>
      <c r="W300" s="304">
        <f t="shared" ca="1" si="120"/>
        <v>1.4540844494199949</v>
      </c>
      <c r="Y300" s="314" t="str">
        <f t="shared" ca="1" si="138"/>
        <v/>
      </c>
      <c r="Z300" s="315" t="str">
        <f t="shared" ca="1" si="139"/>
        <v/>
      </c>
      <c r="AA300" s="316" t="str">
        <f t="shared" ca="1" si="140"/>
        <v/>
      </c>
      <c r="AC300" s="310" t="e">
        <f t="shared" ca="1" si="141"/>
        <v>#N/A</v>
      </c>
      <c r="AD300" s="323" t="e">
        <f t="shared" ca="1" si="142"/>
        <v>#N/A</v>
      </c>
      <c r="AE300" s="324">
        <f t="shared" ca="1" si="121"/>
        <v>2230.1685159937169</v>
      </c>
      <c r="AG300" s="306">
        <f t="shared" ca="1" si="143"/>
        <v>-9.5747201954983083</v>
      </c>
      <c r="AH300" s="304">
        <f t="shared" ca="1" si="144"/>
        <v>-0.73469468325902854</v>
      </c>
    </row>
    <row r="301" spans="1:34" x14ac:dyDescent="0.25">
      <c r="A301" s="347">
        <f t="shared" ca="1" si="122"/>
        <v>0.1</v>
      </c>
      <c r="B301" s="304">
        <f t="shared" ca="1" si="123"/>
        <v>17.399999999999949</v>
      </c>
      <c r="D301" s="306">
        <f t="shared" ca="1" si="124"/>
        <v>-0.30973962689339446</v>
      </c>
      <c r="E301" s="307">
        <f t="shared" ca="1" si="125"/>
        <v>-10.43510680144905</v>
      </c>
      <c r="F301" s="304">
        <f t="shared" ca="1" si="126"/>
        <v>10.439702706213252</v>
      </c>
      <c r="G301" s="306">
        <f t="shared" ca="1" si="127"/>
        <v>16.250383346717761</v>
      </c>
      <c r="H301" s="307">
        <f t="shared" ca="1" si="128"/>
        <v>31.815014052421837</v>
      </c>
      <c r="I301" s="304">
        <f t="shared" ca="1" si="129"/>
        <v>35.724922366200893</v>
      </c>
      <c r="J301" s="306">
        <f t="shared" ca="1" si="130"/>
        <v>357.28299322661474</v>
      </c>
      <c r="K301" s="307">
        <f t="shared" ca="1" si="131"/>
        <v>2233.4021929329665</v>
      </c>
      <c r="L301" s="304">
        <f t="shared" ca="1" si="116"/>
        <v>2261.7993926621243</v>
      </c>
      <c r="M301" s="306">
        <f t="shared" ca="1" si="132"/>
        <v>1.0985641877053107</v>
      </c>
      <c r="N301" s="304">
        <f t="shared" ca="1" si="133"/>
        <v>62.943091479731862</v>
      </c>
      <c r="P301" s="310">
        <f t="shared" ca="1" si="134"/>
        <v>23</v>
      </c>
      <c r="Q301" s="304">
        <f t="shared" ca="1" si="135"/>
        <v>0</v>
      </c>
      <c r="R301" s="306">
        <f t="shared" ca="1" si="136"/>
        <v>0</v>
      </c>
      <c r="S301" s="307">
        <f t="shared" ca="1" si="137"/>
        <v>2.0842999999999985</v>
      </c>
      <c r="T301" s="304">
        <f t="shared" ca="1" si="117"/>
        <v>20.446982999999985</v>
      </c>
      <c r="U301" s="311">
        <f t="shared" ca="1" si="118"/>
        <v>0</v>
      </c>
      <c r="V301" s="306">
        <f t="shared" ca="1" si="119"/>
        <v>0.97889122522935201</v>
      </c>
      <c r="W301" s="304">
        <f t="shared" ca="1" si="120"/>
        <v>1.3795693398858619</v>
      </c>
      <c r="Y301" s="314" t="str">
        <f t="shared" ca="1" si="138"/>
        <v/>
      </c>
      <c r="Z301" s="315" t="str">
        <f t="shared" ca="1" si="139"/>
        <v/>
      </c>
      <c r="AA301" s="316" t="str">
        <f t="shared" ca="1" si="140"/>
        <v/>
      </c>
      <c r="AC301" s="310" t="e">
        <f t="shared" ca="1" si="141"/>
        <v>#N/A</v>
      </c>
      <c r="AD301" s="323" t="e">
        <f t="shared" ca="1" si="142"/>
        <v>#N/A</v>
      </c>
      <c r="AE301" s="324">
        <f t="shared" ca="1" si="121"/>
        <v>2233.4021929329665</v>
      </c>
      <c r="AG301" s="306">
        <f t="shared" ca="1" si="143"/>
        <v>-9.4877371235256707</v>
      </c>
      <c r="AH301" s="304">
        <f t="shared" ca="1" si="144"/>
        <v>-0.69763683223144268</v>
      </c>
    </row>
    <row r="302" spans="1:34" x14ac:dyDescent="0.25">
      <c r="A302" s="347">
        <f t="shared" ca="1" si="122"/>
        <v>0.1</v>
      </c>
      <c r="B302" s="304">
        <f t="shared" ca="1" si="123"/>
        <v>17.49999999999995</v>
      </c>
      <c r="D302" s="306">
        <f t="shared" ca="1" si="124"/>
        <v>-0.30107564268549392</v>
      </c>
      <c r="E302" s="307">
        <f t="shared" ca="1" si="125"/>
        <v>-10.399446144039159</v>
      </c>
      <c r="F302" s="304">
        <f t="shared" ca="1" si="126"/>
        <v>10.403803470144435</v>
      </c>
      <c r="G302" s="306">
        <f t="shared" ca="1" si="127"/>
        <v>16.22027578244921</v>
      </c>
      <c r="H302" s="307">
        <f t="shared" ca="1" si="128"/>
        <v>30.775069438017923</v>
      </c>
      <c r="I302" s="304">
        <f t="shared" ca="1" si="129"/>
        <v>34.787961213234858</v>
      </c>
      <c r="J302" s="306">
        <f t="shared" ca="1" si="130"/>
        <v>358.90652618307308</v>
      </c>
      <c r="K302" s="307">
        <f t="shared" ca="1" si="131"/>
        <v>2236.5316971074885</v>
      </c>
      <c r="L302" s="304">
        <f t="shared" ca="1" si="116"/>
        <v>2265.1463367083602</v>
      </c>
      <c r="M302" s="306">
        <f t="shared" ca="1" si="132"/>
        <v>1.0857366217223363</v>
      </c>
      <c r="N302" s="304">
        <f t="shared" ca="1" si="133"/>
        <v>62.208126087481851</v>
      </c>
      <c r="P302" s="310">
        <f t="shared" ca="1" si="134"/>
        <v>23</v>
      </c>
      <c r="Q302" s="304">
        <f t="shared" ca="1" si="135"/>
        <v>0</v>
      </c>
      <c r="R302" s="306">
        <f t="shared" ca="1" si="136"/>
        <v>0</v>
      </c>
      <c r="S302" s="307">
        <f t="shared" ca="1" si="137"/>
        <v>2.0842999999999985</v>
      </c>
      <c r="T302" s="304">
        <f t="shared" ca="1" si="117"/>
        <v>20.446982999999985</v>
      </c>
      <c r="U302" s="311">
        <f t="shared" ca="1" si="118"/>
        <v>0</v>
      </c>
      <c r="V302" s="306">
        <f t="shared" ca="1" si="119"/>
        <v>0.97858105604993617</v>
      </c>
      <c r="W302" s="304">
        <f t="shared" ca="1" si="120"/>
        <v>1.3077395836887029</v>
      </c>
      <c r="Y302" s="314" t="str">
        <f t="shared" ca="1" si="138"/>
        <v/>
      </c>
      <c r="Z302" s="315" t="str">
        <f t="shared" ca="1" si="139"/>
        <v/>
      </c>
      <c r="AA302" s="316" t="str">
        <f t="shared" ca="1" si="140"/>
        <v/>
      </c>
      <c r="AC302" s="310" t="e">
        <f t="shared" ca="1" si="141"/>
        <v>#N/A</v>
      </c>
      <c r="AD302" s="323" t="e">
        <f t="shared" ca="1" si="142"/>
        <v>#N/A</v>
      </c>
      <c r="AE302" s="324">
        <f t="shared" ca="1" si="121"/>
        <v>2236.5316971074885</v>
      </c>
      <c r="AG302" s="306">
        <f t="shared" ca="1" si="143"/>
        <v>-9.398232314639273</v>
      </c>
      <c r="AH302" s="304">
        <f t="shared" ca="1" si="144"/>
        <v>-0.66188616796327926</v>
      </c>
    </row>
    <row r="303" spans="1:34" x14ac:dyDescent="0.25">
      <c r="A303" s="347">
        <f t="shared" ca="1" si="122"/>
        <v>0.1</v>
      </c>
      <c r="B303" s="304">
        <f t="shared" ca="1" si="123"/>
        <v>17.599999999999952</v>
      </c>
      <c r="D303" s="306">
        <f t="shared" ca="1" si="124"/>
        <v>-0.29254339541770019</v>
      </c>
      <c r="E303" s="307">
        <f t="shared" ca="1" si="125"/>
        <v>-10.365048719785321</v>
      </c>
      <c r="F303" s="304">
        <f t="shared" ca="1" si="126"/>
        <v>10.36917627402128</v>
      </c>
      <c r="G303" s="306">
        <f t="shared" ca="1" si="127"/>
        <v>16.191021442907441</v>
      </c>
      <c r="H303" s="307">
        <f t="shared" ca="1" si="128"/>
        <v>29.73856456603939</v>
      </c>
      <c r="I303" s="304">
        <f t="shared" ca="1" si="129"/>
        <v>33.860469545078402</v>
      </c>
      <c r="J303" s="306">
        <f t="shared" ca="1" si="130"/>
        <v>360.52709104434092</v>
      </c>
      <c r="K303" s="307">
        <f t="shared" ca="1" si="131"/>
        <v>2239.5573788076913</v>
      </c>
      <c r="L303" s="304">
        <f t="shared" ca="1" si="116"/>
        <v>2268.3908473516799</v>
      </c>
      <c r="M303" s="306">
        <f t="shared" ca="1" si="132"/>
        <v>1.0722277680626722</v>
      </c>
      <c r="N303" s="304">
        <f t="shared" ca="1" si="133"/>
        <v>61.434125786723236</v>
      </c>
      <c r="P303" s="310">
        <f t="shared" ca="1" si="134"/>
        <v>23</v>
      </c>
      <c r="Q303" s="304">
        <f t="shared" ca="1" si="135"/>
        <v>0</v>
      </c>
      <c r="R303" s="306">
        <f t="shared" ca="1" si="136"/>
        <v>0</v>
      </c>
      <c r="S303" s="307">
        <f t="shared" ca="1" si="137"/>
        <v>2.0842999999999985</v>
      </c>
      <c r="T303" s="304">
        <f t="shared" ca="1" si="117"/>
        <v>20.446982999999985</v>
      </c>
      <c r="U303" s="311">
        <f t="shared" ca="1" si="118"/>
        <v>0</v>
      </c>
      <c r="V303" s="306">
        <f t="shared" ca="1" si="119"/>
        <v>0.97828125984614323</v>
      </c>
      <c r="W303" s="304">
        <f t="shared" ca="1" si="120"/>
        <v>1.2385575685220671</v>
      </c>
      <c r="Y303" s="314" t="str">
        <f t="shared" ca="1" si="138"/>
        <v/>
      </c>
      <c r="Z303" s="315" t="str">
        <f t="shared" ca="1" si="139"/>
        <v/>
      </c>
      <c r="AA303" s="316" t="str">
        <f t="shared" ca="1" si="140"/>
        <v/>
      </c>
      <c r="AC303" s="310" t="e">
        <f t="shared" ca="1" si="141"/>
        <v>#N/A</v>
      </c>
      <c r="AD303" s="323" t="e">
        <f t="shared" ca="1" si="142"/>
        <v>#N/A</v>
      </c>
      <c r="AE303" s="324">
        <f t="shared" ca="1" si="121"/>
        <v>2239.5573788076913</v>
      </c>
      <c r="AG303" s="306">
        <f t="shared" ca="1" si="143"/>
        <v>-9.3058120493902372</v>
      </c>
      <c r="AH303" s="304">
        <f t="shared" ca="1" si="144"/>
        <v>-0.62742387549234935</v>
      </c>
    </row>
    <row r="304" spans="1:34" x14ac:dyDescent="0.25">
      <c r="A304" s="347">
        <f t="shared" ca="1" si="122"/>
        <v>0.1</v>
      </c>
      <c r="B304" s="304">
        <f t="shared" ca="1" si="123"/>
        <v>17.699999999999953</v>
      </c>
      <c r="D304" s="306">
        <f t="shared" ca="1" si="124"/>
        <v>-0.28414318273051214</v>
      </c>
      <c r="E304" s="307">
        <f t="shared" ca="1" si="125"/>
        <v>-10.331894830133329</v>
      </c>
      <c r="F304" s="304">
        <f t="shared" ca="1" si="126"/>
        <v>10.335801281430872</v>
      </c>
      <c r="G304" s="306">
        <f t="shared" ca="1" si="127"/>
        <v>16.162607124634391</v>
      </c>
      <c r="H304" s="307">
        <f t="shared" ca="1" si="128"/>
        <v>28.705375083026055</v>
      </c>
      <c r="I304" s="304">
        <f t="shared" ca="1" si="129"/>
        <v>32.94280540152122</v>
      </c>
      <c r="J304" s="306">
        <f t="shared" ca="1" si="130"/>
        <v>362.14477247271799</v>
      </c>
      <c r="K304" s="307">
        <f t="shared" ca="1" si="131"/>
        <v>2242.4795757901447</v>
      </c>
      <c r="L304" s="304">
        <f t="shared" ca="1" si="116"/>
        <v>2271.5332892267425</v>
      </c>
      <c r="M304" s="306">
        <f t="shared" ca="1" si="132"/>
        <v>1.0579879521294222</v>
      </c>
      <c r="N304" s="304">
        <f t="shared" ca="1" si="133"/>
        <v>60.61824443270487</v>
      </c>
      <c r="P304" s="310">
        <f t="shared" ca="1" si="134"/>
        <v>23</v>
      </c>
      <c r="Q304" s="304">
        <f t="shared" ca="1" si="135"/>
        <v>0</v>
      </c>
      <c r="R304" s="306">
        <f t="shared" ca="1" si="136"/>
        <v>0</v>
      </c>
      <c r="S304" s="307">
        <f t="shared" ca="1" si="137"/>
        <v>2.0842999999999985</v>
      </c>
      <c r="T304" s="304">
        <f t="shared" ca="1" si="117"/>
        <v>20.446982999999985</v>
      </c>
      <c r="U304" s="311">
        <f t="shared" ca="1" si="118"/>
        <v>0</v>
      </c>
      <c r="V304" s="306">
        <f t="shared" ca="1" si="119"/>
        <v>0.97799179473380804</v>
      </c>
      <c r="W304" s="304">
        <f t="shared" ca="1" si="120"/>
        <v>1.1719872410240042</v>
      </c>
      <c r="Y304" s="314" t="str">
        <f t="shared" ca="1" si="138"/>
        <v/>
      </c>
      <c r="Z304" s="315" t="str">
        <f t="shared" ca="1" si="139"/>
        <v/>
      </c>
      <c r="AA304" s="316" t="str">
        <f t="shared" ca="1" si="140"/>
        <v/>
      </c>
      <c r="AC304" s="310" t="e">
        <f t="shared" ca="1" si="141"/>
        <v>#N/A</v>
      </c>
      <c r="AD304" s="323" t="e">
        <f t="shared" ca="1" si="142"/>
        <v>#N/A</v>
      </c>
      <c r="AE304" s="324">
        <f t="shared" ca="1" si="121"/>
        <v>2242.4795757901447</v>
      </c>
      <c r="AG304" s="306">
        <f t="shared" ca="1" si="143"/>
        <v>-9.2100403228230601</v>
      </c>
      <c r="AH304" s="304">
        <f t="shared" ca="1" si="144"/>
        <v>-0.5942319092846845</v>
      </c>
    </row>
    <row r="305" spans="1:34" x14ac:dyDescent="0.25">
      <c r="A305" s="347">
        <f t="shared" ca="1" si="122"/>
        <v>0.1</v>
      </c>
      <c r="B305" s="304">
        <f t="shared" ca="1" si="123"/>
        <v>17.799999999999955</v>
      </c>
      <c r="D305" s="306">
        <f t="shared" ca="1" si="124"/>
        <v>-0.27587572705514701</v>
      </c>
      <c r="E305" s="307">
        <f t="shared" ca="1" si="125"/>
        <v>-10.299965273569667</v>
      </c>
      <c r="F305" s="304">
        <f t="shared" ca="1" si="126"/>
        <v>10.303659158450422</v>
      </c>
      <c r="G305" s="306">
        <f t="shared" ca="1" si="127"/>
        <v>16.135019551928877</v>
      </c>
      <c r="H305" s="307">
        <f t="shared" ca="1" si="128"/>
        <v>27.675378555669088</v>
      </c>
      <c r="I305" s="304">
        <f t="shared" ca="1" si="129"/>
        <v>32.035377852316891</v>
      </c>
      <c r="J305" s="306">
        <f t="shared" ca="1" si="130"/>
        <v>363.75965380654617</v>
      </c>
      <c r="K305" s="307">
        <f t="shared" ca="1" si="131"/>
        <v>2245.2986134720795</v>
      </c>
      <c r="L305" s="304">
        <f t="shared" ca="1" si="116"/>
        <v>2274.5740149305102</v>
      </c>
      <c r="M305" s="306">
        <f t="shared" ca="1" si="132"/>
        <v>1.04296323404048</v>
      </c>
      <c r="N305" s="304">
        <f t="shared" ca="1" si="133"/>
        <v>59.757391497834618</v>
      </c>
      <c r="P305" s="310">
        <f t="shared" ca="1" si="134"/>
        <v>23</v>
      </c>
      <c r="Q305" s="304">
        <f t="shared" ca="1" si="135"/>
        <v>0</v>
      </c>
      <c r="R305" s="306">
        <f t="shared" ca="1" si="136"/>
        <v>0</v>
      </c>
      <c r="S305" s="307">
        <f t="shared" ca="1" si="137"/>
        <v>2.0842999999999985</v>
      </c>
      <c r="T305" s="304">
        <f t="shared" ca="1" si="117"/>
        <v>20.446982999999985</v>
      </c>
      <c r="U305" s="311">
        <f t="shared" ca="1" si="118"/>
        <v>0</v>
      </c>
      <c r="V305" s="306">
        <f t="shared" ca="1" si="119"/>
        <v>0.97771262037925111</v>
      </c>
      <c r="W305" s="304">
        <f t="shared" ca="1" si="120"/>
        <v>1.1079940639155799</v>
      </c>
      <c r="Y305" s="314" t="str">
        <f t="shared" ca="1" si="138"/>
        <v/>
      </c>
      <c r="Z305" s="315" t="str">
        <f t="shared" ca="1" si="139"/>
        <v/>
      </c>
      <c r="AA305" s="316" t="str">
        <f t="shared" ca="1" si="140"/>
        <v/>
      </c>
      <c r="AC305" s="310" t="e">
        <f t="shared" ca="1" si="141"/>
        <v>#N/A</v>
      </c>
      <c r="AD305" s="323" t="e">
        <f t="shared" ca="1" si="142"/>
        <v>#N/A</v>
      </c>
      <c r="AE305" s="324">
        <f t="shared" ca="1" si="121"/>
        <v>2245.2986134720795</v>
      </c>
      <c r="AG305" s="306">
        <f t="shared" ca="1" si="143"/>
        <v>-9.1104334877841513</v>
      </c>
      <c r="AH305" s="304">
        <f t="shared" ca="1" si="144"/>
        <v>-0.56229297175262916</v>
      </c>
    </row>
    <row r="306" spans="1:34" x14ac:dyDescent="0.25">
      <c r="A306" s="347">
        <f t="shared" ca="1" si="122"/>
        <v>0.1</v>
      </c>
      <c r="B306" s="304">
        <f t="shared" ca="1" si="123"/>
        <v>17.899999999999956</v>
      </c>
      <c r="D306" s="306">
        <f t="shared" ca="1" si="124"/>
        <v>-0.26774221402125165</v>
      </c>
      <c r="E306" s="307">
        <f t="shared" ca="1" si="125"/>
        <v>-10.269241285981913</v>
      </c>
      <c r="F306" s="304">
        <f t="shared" ca="1" si="126"/>
        <v>10.272731013848482</v>
      </c>
      <c r="G306" s="306">
        <f t="shared" ca="1" si="127"/>
        <v>16.108245330526753</v>
      </c>
      <c r="H306" s="307">
        <f t="shared" ca="1" si="128"/>
        <v>26.648454427070895</v>
      </c>
      <c r="I306" s="304">
        <f t="shared" ca="1" si="129"/>
        <v>31.138652684085599</v>
      </c>
      <c r="J306" s="306">
        <f t="shared" ca="1" si="130"/>
        <v>365.37181705066894</v>
      </c>
      <c r="K306" s="307">
        <f t="shared" ca="1" si="131"/>
        <v>2248.0148051212163</v>
      </c>
      <c r="L306" s="304">
        <f t="shared" ca="1" si="116"/>
        <v>2277.5133652163468</v>
      </c>
      <c r="M306" s="306">
        <f t="shared" ca="1" si="132"/>
        <v>1.0270950561277319</v>
      </c>
      <c r="N306" s="304">
        <f t="shared" ca="1" si="133"/>
        <v>58.848211874871438</v>
      </c>
      <c r="P306" s="310">
        <f t="shared" ca="1" si="134"/>
        <v>23</v>
      </c>
      <c r="Q306" s="304">
        <f t="shared" ca="1" si="135"/>
        <v>0</v>
      </c>
      <c r="R306" s="306">
        <f t="shared" ca="1" si="136"/>
        <v>0</v>
      </c>
      <c r="S306" s="307">
        <f t="shared" ca="1" si="137"/>
        <v>2.0842999999999985</v>
      </c>
      <c r="T306" s="304">
        <f t="shared" ca="1" si="117"/>
        <v>20.446982999999985</v>
      </c>
      <c r="U306" s="311">
        <f t="shared" ca="1" si="118"/>
        <v>0</v>
      </c>
      <c r="V306" s="306">
        <f t="shared" ca="1" si="119"/>
        <v>0.97744369797528241</v>
      </c>
      <c r="W306" s="304">
        <f t="shared" ca="1" si="120"/>
        <v>1.046544974936733</v>
      </c>
      <c r="Y306" s="314" t="str">
        <f t="shared" ca="1" si="138"/>
        <v/>
      </c>
      <c r="Z306" s="315" t="str">
        <f t="shared" ca="1" si="139"/>
        <v/>
      </c>
      <c r="AA306" s="316" t="str">
        <f t="shared" ca="1" si="140"/>
        <v/>
      </c>
      <c r="AC306" s="310" t="e">
        <f t="shared" ca="1" si="141"/>
        <v>#N/A</v>
      </c>
      <c r="AD306" s="323" t="e">
        <f t="shared" ca="1" si="142"/>
        <v>#N/A</v>
      </c>
      <c r="AE306" s="324">
        <f t="shared" ca="1" si="121"/>
        <v>2248.0148051212163</v>
      </c>
      <c r="AG306" s="306">
        <f t="shared" ca="1" si="143"/>
        <v>-9.0064542786810975</v>
      </c>
      <c r="AH306" s="304">
        <f t="shared" ca="1" si="144"/>
        <v>-0.53159049269087011</v>
      </c>
    </row>
    <row r="307" spans="1:34" x14ac:dyDescent="0.25">
      <c r="A307" s="347">
        <f t="shared" ca="1" si="122"/>
        <v>0.1</v>
      </c>
      <c r="B307" s="304">
        <f t="shared" ca="1" si="123"/>
        <v>17.999999999999957</v>
      </c>
      <c r="D307" s="306">
        <f t="shared" ca="1" si="124"/>
        <v>-0.25974433600764169</v>
      </c>
      <c r="E307" s="307">
        <f t="shared" ca="1" si="125"/>
        <v>-10.239704474867413</v>
      </c>
      <c r="F307" s="304">
        <f t="shared" ca="1" si="126"/>
        <v>10.242998333139949</v>
      </c>
      <c r="G307" s="306">
        <f t="shared" ca="1" si="127"/>
        <v>16.082270896925987</v>
      </c>
      <c r="H307" s="307">
        <f t="shared" ca="1" si="128"/>
        <v>25.624483979584156</v>
      </c>
      <c r="I307" s="304">
        <f t="shared" ca="1" si="129"/>
        <v>30.253158784200991</v>
      </c>
      <c r="J307" s="306">
        <f t="shared" ca="1" si="130"/>
        <v>366.98134286204157</v>
      </c>
      <c r="K307" s="307">
        <f t="shared" ca="1" si="131"/>
        <v>2250.6284520415493</v>
      </c>
      <c r="L307" s="304">
        <f t="shared" ca="1" si="116"/>
        <v>2280.3516691834543</v>
      </c>
      <c r="M307" s="306">
        <f t="shared" ca="1" si="132"/>
        <v>1.0103198808154499</v>
      </c>
      <c r="N307" s="304">
        <f t="shared" ca="1" si="133"/>
        <v>57.887065128885624</v>
      </c>
      <c r="P307" s="310">
        <f t="shared" ca="1" si="134"/>
        <v>23</v>
      </c>
      <c r="Q307" s="304">
        <f t="shared" ca="1" si="135"/>
        <v>0</v>
      </c>
      <c r="R307" s="306">
        <f t="shared" ca="1" si="136"/>
        <v>0</v>
      </c>
      <c r="S307" s="307">
        <f t="shared" ca="1" si="137"/>
        <v>2.0842999999999985</v>
      </c>
      <c r="T307" s="304">
        <f t="shared" ca="1" si="117"/>
        <v>20.446982999999985</v>
      </c>
      <c r="U307" s="311">
        <f t="shared" ca="1" si="118"/>
        <v>0</v>
      </c>
      <c r="V307" s="306">
        <f t="shared" ca="1" si="119"/>
        <v>0.97718499021784389</v>
      </c>
      <c r="W307" s="304">
        <f t="shared" ca="1" si="120"/>
        <v>0.98760834746271475</v>
      </c>
      <c r="Y307" s="314" t="str">
        <f t="shared" ca="1" si="138"/>
        <v/>
      </c>
      <c r="Z307" s="315" t="str">
        <f t="shared" ca="1" si="139"/>
        <v/>
      </c>
      <c r="AA307" s="316" t="str">
        <f t="shared" ca="1" si="140"/>
        <v/>
      </c>
      <c r="AC307" s="310">
        <f t="shared" ca="1" si="141"/>
        <v>17.999999999999957</v>
      </c>
      <c r="AD307" s="323">
        <f t="shared" ca="1" si="142"/>
        <v>366.98134286204157</v>
      </c>
      <c r="AE307" s="324">
        <f t="shared" ca="1" si="121"/>
        <v>2250.6284520415493</v>
      </c>
      <c r="AG307" s="306">
        <f t="shared" ca="1" si="143"/>
        <v>-8.8975051792912829</v>
      </c>
      <c r="AH307" s="304">
        <f t="shared" ca="1" si="144"/>
        <v>-0.50210860957478953</v>
      </c>
    </row>
    <row r="308" spans="1:34" x14ac:dyDescent="0.25">
      <c r="A308" s="347">
        <f t="shared" ca="1" si="122"/>
        <v>0.1</v>
      </c>
      <c r="B308" s="304">
        <f t="shared" ca="1" si="123"/>
        <v>18.099999999999959</v>
      </c>
      <c r="D308" s="306">
        <f t="shared" ca="1" si="124"/>
        <v>-0.2518843413628773</v>
      </c>
      <c r="E308" s="307">
        <f t="shared" ca="1" si="125"/>
        <v>-10.211336745993682</v>
      </c>
      <c r="F308" s="304">
        <f t="shared" ca="1" si="126"/>
        <v>10.21444290509789</v>
      </c>
      <c r="G308" s="306">
        <f t="shared" ca="1" si="127"/>
        <v>16.057082462789701</v>
      </c>
      <c r="H308" s="307">
        <f t="shared" ca="1" si="128"/>
        <v>24.603350304984787</v>
      </c>
      <c r="I308" s="304">
        <f t="shared" ca="1" si="129"/>
        <v>29.379495289174447</v>
      </c>
      <c r="J308" s="306">
        <f t="shared" ca="1" si="130"/>
        <v>368.58831053002734</v>
      </c>
      <c r="K308" s="307">
        <f t="shared" ca="1" si="131"/>
        <v>2253.1398437557777</v>
      </c>
      <c r="L308" s="304">
        <f t="shared" ca="1" si="116"/>
        <v>2283.0892444622464</v>
      </c>
      <c r="M308" s="306">
        <f t="shared" ca="1" si="132"/>
        <v>0.99256882739202823</v>
      </c>
      <c r="N308" s="304">
        <f t="shared" ca="1" si="133"/>
        <v>56.870004685812319</v>
      </c>
      <c r="P308" s="310">
        <f t="shared" ca="1" si="134"/>
        <v>23</v>
      </c>
      <c r="Q308" s="304">
        <f t="shared" ca="1" si="135"/>
        <v>0</v>
      </c>
      <c r="R308" s="306">
        <f t="shared" ca="1" si="136"/>
        <v>0</v>
      </c>
      <c r="S308" s="307">
        <f t="shared" ca="1" si="137"/>
        <v>2.0842999999999985</v>
      </c>
      <c r="T308" s="304">
        <f t="shared" ca="1" si="117"/>
        <v>20.446982999999985</v>
      </c>
      <c r="U308" s="311">
        <f t="shared" ca="1" si="118"/>
        <v>0</v>
      </c>
      <c r="V308" s="306">
        <f t="shared" ca="1" si="119"/>
        <v>0.97693646128321021</v>
      </c>
      <c r="W308" s="304">
        <f t="shared" ca="1" si="120"/>
        <v>0.9311539526821796</v>
      </c>
      <c r="Y308" s="314" t="str">
        <f t="shared" ca="1" si="138"/>
        <v/>
      </c>
      <c r="Z308" s="315" t="str">
        <f t="shared" ca="1" si="139"/>
        <v/>
      </c>
      <c r="AA308" s="316" t="str">
        <f t="shared" ca="1" si="140"/>
        <v/>
      </c>
      <c r="AC308" s="310" t="e">
        <f t="shared" ca="1" si="141"/>
        <v>#N/A</v>
      </c>
      <c r="AD308" s="323" t="e">
        <f t="shared" ca="1" si="142"/>
        <v>#N/A</v>
      </c>
      <c r="AE308" s="324">
        <f t="shared" ca="1" si="121"/>
        <v>2253.1398437557777</v>
      </c>
      <c r="AG308" s="306">
        <f t="shared" ca="1" si="143"/>
        <v>-8.7829211146409971</v>
      </c>
      <c r="AH308" s="304">
        <f t="shared" ca="1" si="144"/>
        <v>-0.4738321486651228</v>
      </c>
    </row>
    <row r="309" spans="1:34" x14ac:dyDescent="0.25">
      <c r="A309" s="347">
        <f t="shared" ca="1" si="122"/>
        <v>0.1</v>
      </c>
      <c r="B309" s="304">
        <f t="shared" ca="1" si="123"/>
        <v>18.19999999999996</v>
      </c>
      <c r="D309" s="306">
        <f t="shared" ca="1" si="124"/>
        <v>-0.24416508982697335</v>
      </c>
      <c r="E309" s="307">
        <f t="shared" ca="1" si="125"/>
        <v>-10.184120220854705</v>
      </c>
      <c r="F309" s="304">
        <f t="shared" ca="1" si="126"/>
        <v>10.187046739065837</v>
      </c>
      <c r="G309" s="306">
        <f t="shared" ca="1" si="127"/>
        <v>16.032665953807005</v>
      </c>
      <c r="H309" s="307">
        <f t="shared" ca="1" si="128"/>
        <v>23.584938282899316</v>
      </c>
      <c r="I309" s="304">
        <f t="shared" ca="1" si="129"/>
        <v>28.518339562368144</v>
      </c>
      <c r="J309" s="306">
        <f t="shared" ca="1" si="130"/>
        <v>370.1927979508572</v>
      </c>
      <c r="K309" s="307">
        <f t="shared" ca="1" si="131"/>
        <v>2255.5492581851718</v>
      </c>
      <c r="L309" s="304">
        <f t="shared" ca="1" si="116"/>
        <v>2285.7263973963204</v>
      </c>
      <c r="M309" s="306">
        <f t="shared" ca="1" si="132"/>
        <v>0.97376732017125778</v>
      </c>
      <c r="N309" s="304">
        <f t="shared" ca="1" si="133"/>
        <v>55.792757673577427</v>
      </c>
      <c r="P309" s="310">
        <f t="shared" ca="1" si="134"/>
        <v>23</v>
      </c>
      <c r="Q309" s="304">
        <f t="shared" ca="1" si="135"/>
        <v>0</v>
      </c>
      <c r="R309" s="306">
        <f t="shared" ca="1" si="136"/>
        <v>0</v>
      </c>
      <c r="S309" s="307">
        <f t="shared" ca="1" si="137"/>
        <v>2.0842999999999985</v>
      </c>
      <c r="T309" s="304">
        <f t="shared" ca="1" si="117"/>
        <v>20.446982999999985</v>
      </c>
      <c r="U309" s="311">
        <f t="shared" ca="1" si="118"/>
        <v>0</v>
      </c>
      <c r="V309" s="306">
        <f t="shared" ca="1" si="119"/>
        <v>0.97669807680566334</v>
      </c>
      <c r="W309" s="304">
        <f t="shared" ca="1" si="120"/>
        <v>0.8771529232143126</v>
      </c>
      <c r="Y309" s="314" t="str">
        <f t="shared" ca="1" si="138"/>
        <v/>
      </c>
      <c r="Z309" s="315" t="str">
        <f t="shared" ca="1" si="139"/>
        <v/>
      </c>
      <c r="AA309" s="316" t="str">
        <f t="shared" ca="1" si="140"/>
        <v/>
      </c>
      <c r="AC309" s="310" t="e">
        <f t="shared" ca="1" si="141"/>
        <v>#N/A</v>
      </c>
      <c r="AD309" s="323" t="e">
        <f t="shared" ca="1" si="142"/>
        <v>#N/A</v>
      </c>
      <c r="AE309" s="324">
        <f t="shared" ca="1" si="121"/>
        <v>2255.5492581851718</v>
      </c>
      <c r="AG309" s="306">
        <f t="shared" ca="1" si="143"/>
        <v>-8.6619614741109618</v>
      </c>
      <c r="AH309" s="304">
        <f t="shared" ca="1" si="144"/>
        <v>-0.44674660686186263</v>
      </c>
    </row>
    <row r="310" spans="1:34" x14ac:dyDescent="0.25">
      <c r="A310" s="347">
        <f t="shared" ca="1" si="122"/>
        <v>0.1</v>
      </c>
      <c r="B310" s="304">
        <f t="shared" ca="1" si="123"/>
        <v>18.299999999999962</v>
      </c>
      <c r="D310" s="306">
        <f t="shared" ca="1" si="124"/>
        <v>-0.23659011466201138</v>
      </c>
      <c r="E310" s="307">
        <f t="shared" ca="1" si="125"/>
        <v>-10.158037142963279</v>
      </c>
      <c r="F310" s="304">
        <f t="shared" ca="1" si="126"/>
        <v>10.160791971110193</v>
      </c>
      <c r="G310" s="306">
        <f t="shared" ca="1" si="127"/>
        <v>16.009006942340804</v>
      </c>
      <c r="H310" s="307">
        <f t="shared" ca="1" si="128"/>
        <v>22.569134568602987</v>
      </c>
      <c r="I310" s="304">
        <f t="shared" ca="1" si="129"/>
        <v>27.670456057962372</v>
      </c>
      <c r="J310" s="306">
        <f t="shared" ca="1" si="130"/>
        <v>371.79488159566461</v>
      </c>
      <c r="K310" s="307">
        <f t="shared" ca="1" si="131"/>
        <v>2257.856961827747</v>
      </c>
      <c r="L310" s="304">
        <f t="shared" ca="1" si="116"/>
        <v>2288.2634232218015</v>
      </c>
      <c r="M310" s="306">
        <f t="shared" ca="1" si="132"/>
        <v>0.95383476582578697</v>
      </c>
      <c r="N310" s="304">
        <f t="shared" ca="1" si="133"/>
        <v>54.650706434666802</v>
      </c>
      <c r="P310" s="310">
        <f t="shared" ca="1" si="134"/>
        <v>23</v>
      </c>
      <c r="Q310" s="304">
        <f t="shared" ca="1" si="135"/>
        <v>0</v>
      </c>
      <c r="R310" s="306">
        <f t="shared" ca="1" si="136"/>
        <v>0</v>
      </c>
      <c r="S310" s="307">
        <f t="shared" ca="1" si="137"/>
        <v>2.0842999999999985</v>
      </c>
      <c r="T310" s="304">
        <f t="shared" ca="1" si="117"/>
        <v>20.446982999999985</v>
      </c>
      <c r="U310" s="311">
        <f t="shared" ca="1" si="118"/>
        <v>0</v>
      </c>
      <c r="V310" s="306">
        <f t="shared" ca="1" si="119"/>
        <v>0.97646980385555826</v>
      </c>
      <c r="W310" s="304">
        <f t="shared" ca="1" si="120"/>
        <v>0.82557771803692881</v>
      </c>
      <c r="Y310" s="314" t="str">
        <f t="shared" ca="1" si="138"/>
        <v/>
      </c>
      <c r="Z310" s="315" t="str">
        <f t="shared" ca="1" si="139"/>
        <v/>
      </c>
      <c r="AA310" s="316" t="str">
        <f t="shared" ca="1" si="140"/>
        <v/>
      </c>
      <c r="AC310" s="310" t="e">
        <f t="shared" ca="1" si="141"/>
        <v>#N/A</v>
      </c>
      <c r="AD310" s="323" t="e">
        <f t="shared" ca="1" si="142"/>
        <v>#N/A</v>
      </c>
      <c r="AE310" s="324">
        <f t="shared" ca="1" si="121"/>
        <v>2257.856961827747</v>
      </c>
      <c r="AG310" s="306">
        <f t="shared" ca="1" si="143"/>
        <v>-8.5338015152074114</v>
      </c>
      <c r="AH310" s="304">
        <f t="shared" ca="1" si="144"/>
        <v>-0.42083813424857902</v>
      </c>
    </row>
    <row r="311" spans="1:34" x14ac:dyDescent="0.25">
      <c r="A311" s="347">
        <f t="shared" ca="1" si="122"/>
        <v>0.1</v>
      </c>
      <c r="B311" s="304">
        <f t="shared" ca="1" si="123"/>
        <v>18.399999999999963</v>
      </c>
      <c r="D311" s="306">
        <f t="shared" ca="1" si="124"/>
        <v>-0.22916369193337999</v>
      </c>
      <c r="E311" s="307">
        <f t="shared" ca="1" si="125"/>
        <v>-10.133069770667868</v>
      </c>
      <c r="F311" s="304">
        <f t="shared" ca="1" si="126"/>
        <v>10.135660756700744</v>
      </c>
      <c r="G311" s="306">
        <f t="shared" ca="1" si="127"/>
        <v>15.986090573147466</v>
      </c>
      <c r="H311" s="307">
        <f t="shared" ca="1" si="128"/>
        <v>21.5558275915362</v>
      </c>
      <c r="I311" s="304">
        <f t="shared" ca="1" si="129"/>
        <v>26.836706112503965</v>
      </c>
      <c r="J311" s="306">
        <f t="shared" ca="1" si="130"/>
        <v>373.39463647143901</v>
      </c>
      <c r="K311" s="307">
        <f t="shared" ca="1" si="131"/>
        <v>2260.063209935754</v>
      </c>
      <c r="L311" s="304">
        <f t="shared" ca="1" si="116"/>
        <v>2290.7006062448977</v>
      </c>
      <c r="M311" s="306">
        <f t="shared" ca="1" si="132"/>
        <v>0.93268428459680452</v>
      </c>
      <c r="N311" s="304">
        <f t="shared" ca="1" si="133"/>
        <v>53.438873125575434</v>
      </c>
      <c r="P311" s="310">
        <f t="shared" ca="1" si="134"/>
        <v>23</v>
      </c>
      <c r="Q311" s="304">
        <f t="shared" ca="1" si="135"/>
        <v>0</v>
      </c>
      <c r="R311" s="306">
        <f t="shared" ca="1" si="136"/>
        <v>0</v>
      </c>
      <c r="S311" s="307">
        <f t="shared" ca="1" si="137"/>
        <v>2.0842999999999985</v>
      </c>
      <c r="T311" s="304">
        <f t="shared" ca="1" si="117"/>
        <v>20.446982999999985</v>
      </c>
      <c r="U311" s="311">
        <f t="shared" ca="1" si="118"/>
        <v>0</v>
      </c>
      <c r="V311" s="306">
        <f t="shared" ca="1" si="119"/>
        <v>0.97625161091765944</v>
      </c>
      <c r="W311" s="304">
        <f t="shared" ca="1" si="120"/>
        <v>0.77640208859000681</v>
      </c>
      <c r="Y311" s="314" t="str">
        <f t="shared" ca="1" si="138"/>
        <v/>
      </c>
      <c r="Z311" s="315" t="str">
        <f t="shared" ca="1" si="139"/>
        <v/>
      </c>
      <c r="AA311" s="316" t="str">
        <f t="shared" ca="1" si="140"/>
        <v/>
      </c>
      <c r="AC311" s="310" t="e">
        <f t="shared" ca="1" si="141"/>
        <v>#N/A</v>
      </c>
      <c r="AD311" s="323" t="e">
        <f t="shared" ca="1" si="142"/>
        <v>#N/A</v>
      </c>
      <c r="AE311" s="324">
        <f t="shared" ca="1" si="121"/>
        <v>2260.063209935754</v>
      </c>
      <c r="AG311" s="306">
        <f t="shared" ca="1" si="143"/>
        <v>-8.3975232607514556</v>
      </c>
      <c r="AH311" s="304">
        <f t="shared" ca="1" si="144"/>
        <v>-0.39609351726571485</v>
      </c>
    </row>
    <row r="312" spans="1:34" x14ac:dyDescent="0.25">
      <c r="A312" s="347">
        <f t="shared" ca="1" si="122"/>
        <v>0.1</v>
      </c>
      <c r="B312" s="304">
        <f t="shared" ca="1" si="123"/>
        <v>18.499999999999964</v>
      </c>
      <c r="D312" s="306">
        <f t="shared" ca="1" si="124"/>
        <v>-0.22189091725487889</v>
      </c>
      <c r="E312" s="307">
        <f t="shared" ca="1" si="125"/>
        <v>-10.10920025378239</v>
      </c>
      <c r="F312" s="304">
        <f t="shared" ca="1" si="126"/>
        <v>10.11163514720711</v>
      </c>
      <c r="G312" s="306">
        <f t="shared" ca="1" si="127"/>
        <v>15.963901481421978</v>
      </c>
      <c r="H312" s="307">
        <f t="shared" ca="1" si="128"/>
        <v>20.54490756615796</v>
      </c>
      <c r="I312" s="304">
        <f t="shared" ca="1" si="129"/>
        <v>26.018058678743142</v>
      </c>
      <c r="J312" s="306">
        <f t="shared" ca="1" si="130"/>
        <v>374.99213607416749</v>
      </c>
      <c r="K312" s="307">
        <f t="shared" ca="1" si="131"/>
        <v>2262.1682466936386</v>
      </c>
      <c r="L312" s="304">
        <f t="shared" ca="1" si="116"/>
        <v>2293.0382200186805</v>
      </c>
      <c r="M312" s="306">
        <f t="shared" ca="1" si="132"/>
        <v>0.91022252900820366</v>
      </c>
      <c r="N312" s="304">
        <f t="shared" ca="1" si="133"/>
        <v>52.151909329894217</v>
      </c>
      <c r="P312" s="310">
        <f t="shared" ca="1" si="134"/>
        <v>23</v>
      </c>
      <c r="Q312" s="304">
        <f t="shared" ca="1" si="135"/>
        <v>0</v>
      </c>
      <c r="R312" s="306">
        <f t="shared" ca="1" si="136"/>
        <v>0</v>
      </c>
      <c r="S312" s="307">
        <f t="shared" ca="1" si="137"/>
        <v>2.0842999999999985</v>
      </c>
      <c r="T312" s="304">
        <f t="shared" ca="1" si="117"/>
        <v>20.446982999999985</v>
      </c>
      <c r="U312" s="311">
        <f t="shared" ca="1" si="118"/>
        <v>0</v>
      </c>
      <c r="V312" s="306">
        <f t="shared" ca="1" si="119"/>
        <v>0.97604346786964213</v>
      </c>
      <c r="W312" s="304">
        <f t="shared" ca="1" si="120"/>
        <v>0.72960104590932984</v>
      </c>
      <c r="Y312" s="314" t="str">
        <f t="shared" ca="1" si="138"/>
        <v/>
      </c>
      <c r="Z312" s="315" t="str">
        <f t="shared" ca="1" si="139"/>
        <v/>
      </c>
      <c r="AA312" s="316" t="str">
        <f t="shared" ca="1" si="140"/>
        <v/>
      </c>
      <c r="AC312" s="310" t="e">
        <f t="shared" ca="1" si="141"/>
        <v>#N/A</v>
      </c>
      <c r="AD312" s="323" t="e">
        <f t="shared" ca="1" si="142"/>
        <v>#N/A</v>
      </c>
      <c r="AE312" s="324">
        <f t="shared" ca="1" si="121"/>
        <v>2262.1682466936386</v>
      </c>
      <c r="AG312" s="306">
        <f t="shared" ca="1" si="143"/>
        <v>-8.2521060942072317</v>
      </c>
      <c r="AH312" s="304">
        <f t="shared" ca="1" si="144"/>
        <v>-0.37250016244782774</v>
      </c>
    </row>
    <row r="313" spans="1:34" x14ac:dyDescent="0.25">
      <c r="A313" s="347">
        <f t="shared" ca="1" si="122"/>
        <v>0.1</v>
      </c>
      <c r="B313" s="304">
        <f t="shared" ca="1" si="123"/>
        <v>18.599999999999966</v>
      </c>
      <c r="D313" s="306">
        <f t="shared" ca="1" si="124"/>
        <v>-0.21477779009318185</v>
      </c>
      <c r="E313" s="307">
        <f t="shared" ca="1" si="125"/>
        <v>-10.086410490873003</v>
      </c>
      <c r="F313" s="304">
        <f t="shared" ca="1" si="126"/>
        <v>10.088696947054673</v>
      </c>
      <c r="G313" s="306">
        <f t="shared" ca="1" si="127"/>
        <v>15.942423702412659</v>
      </c>
      <c r="H313" s="307">
        <f t="shared" ca="1" si="128"/>
        <v>19.536266517070658</v>
      </c>
      <c r="I313" s="304">
        <f t="shared" ca="1" si="129"/>
        <v>25.215601974437671</v>
      </c>
      <c r="J313" s="306">
        <f t="shared" ca="1" si="130"/>
        <v>376.58745233335924</v>
      </c>
      <c r="K313" s="307">
        <f t="shared" ca="1" si="131"/>
        <v>2264.1723053977998</v>
      </c>
      <c r="L313" s="304">
        <f t="shared" ca="1" si="116"/>
        <v>2295.2765275202282</v>
      </c>
      <c r="M313" s="306">
        <f t="shared" ca="1" si="132"/>
        <v>0.88634963501690667</v>
      </c>
      <c r="N313" s="304">
        <f t="shared" ca="1" si="133"/>
        <v>50.784093259429675</v>
      </c>
      <c r="P313" s="310">
        <f t="shared" ca="1" si="134"/>
        <v>23</v>
      </c>
      <c r="Q313" s="304">
        <f t="shared" ca="1" si="135"/>
        <v>0</v>
      </c>
      <c r="R313" s="306">
        <f t="shared" ca="1" si="136"/>
        <v>0</v>
      </c>
      <c r="S313" s="307">
        <f t="shared" ca="1" si="137"/>
        <v>2.0842999999999985</v>
      </c>
      <c r="T313" s="304">
        <f t="shared" ca="1" si="117"/>
        <v>20.446982999999985</v>
      </c>
      <c r="U313" s="311">
        <f t="shared" ca="1" si="118"/>
        <v>0</v>
      </c>
      <c r="V313" s="306">
        <f t="shared" ca="1" si="119"/>
        <v>0.97584534596061689</v>
      </c>
      <c r="W313" s="304">
        <f t="shared" ca="1" si="120"/>
        <v>0.68515082863241206</v>
      </c>
      <c r="Y313" s="314" t="str">
        <f t="shared" ca="1" si="138"/>
        <v/>
      </c>
      <c r="Z313" s="315" t="str">
        <f t="shared" ca="1" si="139"/>
        <v/>
      </c>
      <c r="AA313" s="316" t="str">
        <f t="shared" ca="1" si="140"/>
        <v/>
      </c>
      <c r="AC313" s="310" t="e">
        <f t="shared" ca="1" si="141"/>
        <v>#N/A</v>
      </c>
      <c r="AD313" s="323" t="e">
        <f t="shared" ca="1" si="142"/>
        <v>#N/A</v>
      </c>
      <c r="AE313" s="324">
        <f t="shared" ca="1" si="121"/>
        <v>2264.1723053977998</v>
      </c>
      <c r="AG313" s="306">
        <f t="shared" ca="1" si="143"/>
        <v>-8.0964173880836565</v>
      </c>
      <c r="AH313" s="304">
        <f t="shared" ca="1" si="144"/>
        <v>-0.3500460806550546</v>
      </c>
    </row>
    <row r="314" spans="1:34" x14ac:dyDescent="0.25">
      <c r="A314" s="347">
        <f t="shared" ca="1" si="122"/>
        <v>0.1</v>
      </c>
      <c r="B314" s="304">
        <f t="shared" ca="1" si="123"/>
        <v>18.699999999999967</v>
      </c>
      <c r="D314" s="306">
        <f t="shared" ca="1" si="124"/>
        <v>-0.20783130538484498</v>
      </c>
      <c r="E314" s="307">
        <f t="shared" ca="1" si="125"/>
        <v>-10.064681963569603</v>
      </c>
      <c r="F314" s="304">
        <f t="shared" ca="1" si="126"/>
        <v>10.066827547907099</v>
      </c>
      <c r="G314" s="306">
        <f t="shared" ca="1" si="127"/>
        <v>15.921640571874175</v>
      </c>
      <c r="H314" s="307">
        <f t="shared" ca="1" si="128"/>
        <v>18.529798320713699</v>
      </c>
      <c r="I314" s="304">
        <f t="shared" ca="1" si="129"/>
        <v>24.430555955734491</v>
      </c>
      <c r="J314" s="306">
        <f t="shared" ca="1" si="130"/>
        <v>378.18065554707357</v>
      </c>
      <c r="K314" s="307">
        <f t="shared" ca="1" si="131"/>
        <v>2266.0756086396891</v>
      </c>
      <c r="L314" s="304">
        <f t="shared" ca="1" si="116"/>
        <v>2297.4157813294814</v>
      </c>
      <c r="M314" s="306">
        <f t="shared" ca="1" si="132"/>
        <v>0.86095936453956046</v>
      </c>
      <c r="N314" s="304">
        <f t="shared" ca="1" si="133"/>
        <v>49.329337920382123</v>
      </c>
      <c r="P314" s="310">
        <f t="shared" ca="1" si="134"/>
        <v>23</v>
      </c>
      <c r="Q314" s="304">
        <f t="shared" ca="1" si="135"/>
        <v>0</v>
      </c>
      <c r="R314" s="306">
        <f t="shared" ca="1" si="136"/>
        <v>0</v>
      </c>
      <c r="S314" s="307">
        <f t="shared" ca="1" si="137"/>
        <v>2.0842999999999985</v>
      </c>
      <c r="T314" s="304">
        <f t="shared" ca="1" si="117"/>
        <v>20.446982999999985</v>
      </c>
      <c r="U314" s="311">
        <f t="shared" ca="1" si="118"/>
        <v>0</v>
      </c>
      <c r="V314" s="306">
        <f t="shared" ca="1" si="119"/>
        <v>0.97565721778951486</v>
      </c>
      <c r="W314" s="304">
        <f t="shared" ca="1" si="120"/>
        <v>0.64302887170331646</v>
      </c>
      <c r="Y314" s="314" t="str">
        <f t="shared" ca="1" si="138"/>
        <v/>
      </c>
      <c r="Z314" s="315" t="str">
        <f t="shared" ca="1" si="139"/>
        <v/>
      </c>
      <c r="AA314" s="316" t="str">
        <f t="shared" ca="1" si="140"/>
        <v/>
      </c>
      <c r="AC314" s="310" t="e">
        <f t="shared" ca="1" si="141"/>
        <v>#N/A</v>
      </c>
      <c r="AD314" s="323" t="e">
        <f t="shared" ca="1" si="142"/>
        <v>#N/A</v>
      </c>
      <c r="AE314" s="324">
        <f t="shared" ca="1" si="121"/>
        <v>2266.0756086396891</v>
      </c>
      <c r="AG314" s="306">
        <f t="shared" ca="1" si="143"/>
        <v>-7.9292036803884125</v>
      </c>
      <c r="AH314" s="304">
        <f t="shared" ca="1" si="144"/>
        <v>-0.32871987172307854</v>
      </c>
    </row>
    <row r="315" spans="1:34" x14ac:dyDescent="0.25">
      <c r="A315" s="347">
        <f t="shared" ca="1" si="122"/>
        <v>0.1</v>
      </c>
      <c r="B315" s="304">
        <f t="shared" ca="1" si="123"/>
        <v>18.799999999999969</v>
      </c>
      <c r="D315" s="306">
        <f t="shared" ca="1" si="124"/>
        <v>-0.20105955170694698</v>
      </c>
      <c r="E315" s="307">
        <f t="shared" ca="1" si="125"/>
        <v>-10.043995543786119</v>
      </c>
      <c r="F315" s="304">
        <f t="shared" ca="1" si="126"/>
        <v>10.046007735758916</v>
      </c>
      <c r="G315" s="306">
        <f t="shared" ca="1" si="127"/>
        <v>15.901534616703479</v>
      </c>
      <c r="H315" s="307">
        <f t="shared" ca="1" si="128"/>
        <v>17.525398766335087</v>
      </c>
      <c r="I315" s="304">
        <f t="shared" ca="1" si="129"/>
        <v>23.664285433650399</v>
      </c>
      <c r="J315" s="306">
        <f t="shared" ca="1" si="130"/>
        <v>379.77181430650245</v>
      </c>
      <c r="K315" s="307">
        <f t="shared" ca="1" si="131"/>
        <v>2267.8783684940418</v>
      </c>
      <c r="L315" s="304">
        <f t="shared" ca="1" si="116"/>
        <v>2299.4562238113708</v>
      </c>
      <c r="M315" s="306">
        <f t="shared" ca="1" si="132"/>
        <v>0.83393951517901443</v>
      </c>
      <c r="N315" s="304">
        <f t="shared" ca="1" si="133"/>
        <v>47.781214588943577</v>
      </c>
      <c r="P315" s="310">
        <f t="shared" ca="1" si="134"/>
        <v>23</v>
      </c>
      <c r="Q315" s="304">
        <f t="shared" ca="1" si="135"/>
        <v>0</v>
      </c>
      <c r="R315" s="306">
        <f t="shared" ca="1" si="136"/>
        <v>0</v>
      </c>
      <c r="S315" s="307">
        <f t="shared" ca="1" si="137"/>
        <v>2.0842999999999985</v>
      </c>
      <c r="T315" s="304">
        <f t="shared" ca="1" si="117"/>
        <v>20.446982999999985</v>
      </c>
      <c r="U315" s="311">
        <f t="shared" ca="1" si="118"/>
        <v>0</v>
      </c>
      <c r="V315" s="306">
        <f t="shared" ca="1" si="119"/>
        <v>0.97547905728316719</v>
      </c>
      <c r="W315" s="304">
        <f t="shared" ca="1" si="120"/>
        <v>0.60321377558396216</v>
      </c>
      <c r="Y315" s="314" t="str">
        <f t="shared" ca="1" si="138"/>
        <v/>
      </c>
      <c r="Z315" s="315" t="str">
        <f t="shared" ca="1" si="139"/>
        <v/>
      </c>
      <c r="AA315" s="316" t="str">
        <f t="shared" ca="1" si="140"/>
        <v/>
      </c>
      <c r="AC315" s="310" t="e">
        <f t="shared" ca="1" si="141"/>
        <v>#N/A</v>
      </c>
      <c r="AD315" s="323" t="e">
        <f t="shared" ca="1" si="142"/>
        <v>#N/A</v>
      </c>
      <c r="AE315" s="324">
        <f t="shared" ca="1" si="121"/>
        <v>2267.8783684940418</v>
      </c>
      <c r="AG315" s="306">
        <f t="shared" ca="1" si="143"/>
        <v>-7.7490831571471883</v>
      </c>
      <c r="AH315" s="304">
        <f t="shared" ca="1" si="144"/>
        <v>-0.30851070944840808</v>
      </c>
    </row>
    <row r="316" spans="1:34" x14ac:dyDescent="0.25">
      <c r="A316" s="347">
        <f t="shared" ca="1" si="122"/>
        <v>0.1</v>
      </c>
      <c r="B316" s="304">
        <f t="shared" ca="1" si="123"/>
        <v>18.89999999999997</v>
      </c>
      <c r="D316" s="306">
        <f t="shared" ca="1" si="124"/>
        <v>-0.19447181450462411</v>
      </c>
      <c r="E316" s="307">
        <f t="shared" ca="1" si="125"/>
        <v>-10.024331269286815</v>
      </c>
      <c r="F316" s="304">
        <f t="shared" ca="1" si="126"/>
        <v>10.026217466374751</v>
      </c>
      <c r="G316" s="306">
        <f t="shared" ca="1" si="127"/>
        <v>15.882087435253016</v>
      </c>
      <c r="H316" s="307">
        <f t="shared" ca="1" si="128"/>
        <v>16.522965639406404</v>
      </c>
      <c r="I316" s="304">
        <f t="shared" ca="1" si="129"/>
        <v>22.918313524821723</v>
      </c>
      <c r="J316" s="306">
        <f t="shared" ca="1" si="130"/>
        <v>381.36099540910027</v>
      </c>
      <c r="K316" s="307">
        <f t="shared" ca="1" si="131"/>
        <v>2269.580786714329</v>
      </c>
      <c r="L316" s="304">
        <f t="shared" ca="1" si="116"/>
        <v>2301.398087303075</v>
      </c>
      <c r="M316" s="306">
        <f t="shared" ca="1" si="132"/>
        <v>0.80517269256948243</v>
      </c>
      <c r="N316" s="304">
        <f t="shared" ca="1" si="133"/>
        <v>46.132997063415885</v>
      </c>
      <c r="P316" s="310">
        <f t="shared" ca="1" si="134"/>
        <v>23</v>
      </c>
      <c r="Q316" s="304">
        <f t="shared" ca="1" si="135"/>
        <v>0</v>
      </c>
      <c r="R316" s="306">
        <f t="shared" ca="1" si="136"/>
        <v>0</v>
      </c>
      <c r="S316" s="307">
        <f t="shared" ca="1" si="137"/>
        <v>2.0842999999999985</v>
      </c>
      <c r="T316" s="304">
        <f t="shared" ca="1" si="117"/>
        <v>20.446982999999985</v>
      </c>
      <c r="U316" s="311">
        <f t="shared" ca="1" si="118"/>
        <v>0</v>
      </c>
      <c r="V316" s="306">
        <f t="shared" ca="1" si="119"/>
        <v>0.97531083967384802</v>
      </c>
      <c r="W316" s="304">
        <f t="shared" ca="1" si="120"/>
        <v>0.5656852757565819</v>
      </c>
      <c r="Y316" s="314" t="str">
        <f t="shared" ca="1" si="138"/>
        <v/>
      </c>
      <c r="Z316" s="315" t="str">
        <f t="shared" ca="1" si="139"/>
        <v/>
      </c>
      <c r="AA316" s="316" t="str">
        <f t="shared" ca="1" si="140"/>
        <v/>
      </c>
      <c r="AC316" s="310" t="e">
        <f t="shared" ca="1" si="141"/>
        <v>#N/A</v>
      </c>
      <c r="AD316" s="323" t="e">
        <f t="shared" ca="1" si="142"/>
        <v>#N/A</v>
      </c>
      <c r="AE316" s="324">
        <f t="shared" ca="1" si="121"/>
        <v>2269.580786714329</v>
      </c>
      <c r="AG316" s="306">
        <f t="shared" ca="1" si="143"/>
        <v>-7.5545405185232646</v>
      </c>
      <c r="AH316" s="304">
        <f t="shared" ca="1" si="144"/>
        <v>-0.28940832681665912</v>
      </c>
    </row>
    <row r="317" spans="1:34" x14ac:dyDescent="0.25">
      <c r="A317" s="347">
        <f t="shared" ca="1" si="122"/>
        <v>0.1</v>
      </c>
      <c r="B317" s="304">
        <f t="shared" ca="1" si="123"/>
        <v>18.999999999999972</v>
      </c>
      <c r="D317" s="306">
        <f t="shared" ca="1" si="124"/>
        <v>-0.18807868184926926</v>
      </c>
      <c r="E317" s="307">
        <f t="shared" ca="1" si="125"/>
        <v>-10.005668082698151</v>
      </c>
      <c r="F317" s="304">
        <f t="shared" ca="1" si="126"/>
        <v>10.007435604174061</v>
      </c>
      <c r="G317" s="306">
        <f t="shared" ca="1" si="127"/>
        <v>15.863279567068089</v>
      </c>
      <c r="H317" s="307">
        <f t="shared" ca="1" si="128"/>
        <v>15.52239883113659</v>
      </c>
      <c r="I317" s="304">
        <f t="shared" ca="1" si="129"/>
        <v>22.194334955024683</v>
      </c>
      <c r="J317" s="306">
        <f t="shared" ca="1" si="130"/>
        <v>382.94826375921633</v>
      </c>
      <c r="K317" s="307">
        <f t="shared" ca="1" si="131"/>
        <v>2271.183054937856</v>
      </c>
      <c r="L317" s="304">
        <f t="shared" ca="1" si="116"/>
        <v>2303.241594308563</v>
      </c>
      <c r="M317" s="306">
        <f t="shared" ca="1" si="132"/>
        <v>0.77453756230081816</v>
      </c>
      <c r="N317" s="304">
        <f t="shared" ca="1" si="133"/>
        <v>44.377733394187942</v>
      </c>
      <c r="P317" s="310">
        <f t="shared" ca="1" si="134"/>
        <v>23</v>
      </c>
      <c r="Q317" s="304">
        <f t="shared" ca="1" si="135"/>
        <v>0</v>
      </c>
      <c r="R317" s="306">
        <f t="shared" ca="1" si="136"/>
        <v>0</v>
      </c>
      <c r="S317" s="307">
        <f t="shared" ca="1" si="137"/>
        <v>2.0842999999999985</v>
      </c>
      <c r="T317" s="304">
        <f t="shared" ca="1" si="117"/>
        <v>20.446982999999985</v>
      </c>
      <c r="U317" s="311">
        <f t="shared" ca="1" si="118"/>
        <v>0</v>
      </c>
      <c r="V317" s="306">
        <f t="shared" ca="1" si="119"/>
        <v>0.97515254147605612</v>
      </c>
      <c r="W317" s="304">
        <f t="shared" ca="1" si="120"/>
        <v>0.53042421227494507</v>
      </c>
      <c r="Y317" s="314" t="str">
        <f t="shared" ca="1" si="138"/>
        <v/>
      </c>
      <c r="Z317" s="315" t="str">
        <f t="shared" ca="1" si="139"/>
        <v/>
      </c>
      <c r="AA317" s="316" t="str">
        <f t="shared" ca="1" si="140"/>
        <v/>
      </c>
      <c r="AC317" s="310">
        <f t="shared" ca="1" si="141"/>
        <v>18.999999999999972</v>
      </c>
      <c r="AD317" s="323">
        <f t="shared" ca="1" si="142"/>
        <v>382.94826375921633</v>
      </c>
      <c r="AE317" s="324">
        <f t="shared" ca="1" si="121"/>
        <v>2271.183054937856</v>
      </c>
      <c r="AG317" s="306">
        <f t="shared" ca="1" si="143"/>
        <v>-7.3439257132631157</v>
      </c>
      <c r="AH317" s="304">
        <f t="shared" ca="1" si="144"/>
        <v>-0.27140300137052359</v>
      </c>
    </row>
    <row r="318" spans="1:34" x14ac:dyDescent="0.25">
      <c r="A318" s="347">
        <f t="shared" ca="1" si="122"/>
        <v>0.1</v>
      </c>
      <c r="B318" s="304">
        <f t="shared" ca="1" si="123"/>
        <v>19.099999999999973</v>
      </c>
      <c r="D318" s="306">
        <f t="shared" ca="1" si="124"/>
        <v>-0.18189214880792401</v>
      </c>
      <c r="E318" s="307">
        <f t="shared" ca="1" si="125"/>
        <v>-9.9879835289488561</v>
      </c>
      <c r="F318" s="304">
        <f t="shared" ca="1" si="126"/>
        <v>9.9896396195434196</v>
      </c>
      <c r="G318" s="306">
        <f t="shared" ca="1" si="127"/>
        <v>15.845090352187297</v>
      </c>
      <c r="H318" s="307">
        <f t="shared" ca="1" si="128"/>
        <v>14.523600478241704</v>
      </c>
      <c r="I318" s="304">
        <f t="shared" ca="1" si="129"/>
        <v>21.494228507219365</v>
      </c>
      <c r="J318" s="306">
        <f t="shared" ca="1" si="130"/>
        <v>384.53368225517909</v>
      </c>
      <c r="K318" s="307">
        <f t="shared" ca="1" si="131"/>
        <v>2272.6853549033249</v>
      </c>
      <c r="L318" s="304">
        <f t="shared" ca="1" si="116"/>
        <v>2304.9869577029667</v>
      </c>
      <c r="M318" s="306">
        <f t="shared" ca="1" si="132"/>
        <v>0.74191072010664671</v>
      </c>
      <c r="N318" s="304">
        <f t="shared" ca="1" si="133"/>
        <v>42.508353037622562</v>
      </c>
      <c r="P318" s="310">
        <f t="shared" ca="1" si="134"/>
        <v>23</v>
      </c>
      <c r="Q318" s="304">
        <f t="shared" ca="1" si="135"/>
        <v>0</v>
      </c>
      <c r="R318" s="306">
        <f t="shared" ca="1" si="136"/>
        <v>0</v>
      </c>
      <c r="S318" s="307">
        <f t="shared" ca="1" si="137"/>
        <v>2.0842999999999985</v>
      </c>
      <c r="T318" s="304">
        <f t="shared" ca="1" si="117"/>
        <v>20.446982999999985</v>
      </c>
      <c r="U318" s="311">
        <f t="shared" ca="1" si="118"/>
        <v>0</v>
      </c>
      <c r="V318" s="306">
        <f t="shared" ca="1" si="119"/>
        <v>0.97500414046223949</v>
      </c>
      <c r="W318" s="304">
        <f t="shared" ca="1" si="120"/>
        <v>0.49741249909048191</v>
      </c>
      <c r="Y318" s="314" t="str">
        <f t="shared" ca="1" si="138"/>
        <v/>
      </c>
      <c r="Z318" s="315" t="str">
        <f t="shared" ca="1" si="139"/>
        <v/>
      </c>
      <c r="AA318" s="316" t="str">
        <f t="shared" ca="1" si="140"/>
        <v/>
      </c>
      <c r="AC318" s="310" t="e">
        <f t="shared" ca="1" si="141"/>
        <v>#N/A</v>
      </c>
      <c r="AD318" s="323" t="e">
        <f t="shared" ca="1" si="142"/>
        <v>#N/A</v>
      </c>
      <c r="AE318" s="324">
        <f t="shared" ca="1" si="121"/>
        <v>2272.6853549033249</v>
      </c>
      <c r="AG318" s="306">
        <f t="shared" ca="1" si="143"/>
        <v>-7.1154585250146987</v>
      </c>
      <c r="AH318" s="304">
        <f t="shared" ca="1" si="144"/>
        <v>-0.25448554060113487</v>
      </c>
    </row>
    <row r="319" spans="1:34" x14ac:dyDescent="0.25">
      <c r="A319" s="347">
        <f t="shared" ca="1" si="122"/>
        <v>0.1</v>
      </c>
      <c r="B319" s="304">
        <f t="shared" ca="1" si="123"/>
        <v>19.199999999999974</v>
      </c>
      <c r="D319" s="306">
        <f t="shared" ca="1" si="124"/>
        <v>-0.17592571467799459</v>
      </c>
      <c r="E319" s="307">
        <f t="shared" ca="1" si="125"/>
        <v>-9.9712534063890423</v>
      </c>
      <c r="F319" s="304">
        <f t="shared" ca="1" si="126"/>
        <v>9.9728052398264566</v>
      </c>
      <c r="G319" s="306">
        <f t="shared" ca="1" si="127"/>
        <v>15.827497780719497</v>
      </c>
      <c r="H319" s="307">
        <f t="shared" ca="1" si="128"/>
        <v>13.5264751376028</v>
      </c>
      <c r="I319" s="304">
        <f t="shared" ca="1" si="129"/>
        <v>20.820067618691041</v>
      </c>
      <c r="J319" s="306">
        <f t="shared" ca="1" si="130"/>
        <v>386.11731166182443</v>
      </c>
      <c r="K319" s="307">
        <f t="shared" ca="1" si="131"/>
        <v>2274.0878586841172</v>
      </c>
      <c r="L319" s="304">
        <f t="shared" ca="1" si="116"/>
        <v>2306.6343809497566</v>
      </c>
      <c r="M319" s="306">
        <f t="shared" ca="1" si="132"/>
        <v>0.7071693376249788</v>
      </c>
      <c r="N319" s="304">
        <f t="shared" ca="1" si="133"/>
        <v>40.517818446973259</v>
      </c>
      <c r="P319" s="310">
        <f t="shared" ca="1" si="134"/>
        <v>23</v>
      </c>
      <c r="Q319" s="304">
        <f t="shared" ca="1" si="135"/>
        <v>0</v>
      </c>
      <c r="R319" s="306">
        <f t="shared" ca="1" si="136"/>
        <v>0</v>
      </c>
      <c r="S319" s="307">
        <f t="shared" ca="1" si="137"/>
        <v>2.0842999999999985</v>
      </c>
      <c r="T319" s="304">
        <f t="shared" ca="1" si="117"/>
        <v>20.446982999999985</v>
      </c>
      <c r="U319" s="311">
        <f t="shared" ca="1" si="118"/>
        <v>0</v>
      </c>
      <c r="V319" s="306">
        <f t="shared" ca="1" si="119"/>
        <v>0.97486561563714547</v>
      </c>
      <c r="W319" s="304">
        <f t="shared" ca="1" si="120"/>
        <v>0.46663309284376009</v>
      </c>
      <c r="Y319" s="314" t="str">
        <f t="shared" ca="1" si="138"/>
        <v/>
      </c>
      <c r="Z319" s="315" t="str">
        <f t="shared" ca="1" si="139"/>
        <v/>
      </c>
      <c r="AA319" s="316" t="str">
        <f t="shared" ca="1" si="140"/>
        <v/>
      </c>
      <c r="AC319" s="310" t="e">
        <f t="shared" ca="1" si="141"/>
        <v>#N/A</v>
      </c>
      <c r="AD319" s="323" t="e">
        <f t="shared" ca="1" si="142"/>
        <v>#N/A</v>
      </c>
      <c r="AE319" s="324">
        <f t="shared" ca="1" si="121"/>
        <v>2274.0878586841172</v>
      </c>
      <c r="AG319" s="306">
        <f t="shared" ca="1" si="143"/>
        <v>-6.867241573079486</v>
      </c>
      <c r="AH319" s="304">
        <f t="shared" ca="1" si="144"/>
        <v>-0.23864726723143609</v>
      </c>
    </row>
    <row r="320" spans="1:34" x14ac:dyDescent="0.25">
      <c r="A320" s="347">
        <f t="shared" ca="1" si="122"/>
        <v>0.1</v>
      </c>
      <c r="B320" s="304">
        <f t="shared" ca="1" si="123"/>
        <v>19.299999999999976</v>
      </c>
      <c r="D320" s="306">
        <f t="shared" ca="1" si="124"/>
        <v>-0.17019446503252542</v>
      </c>
      <c r="E320" s="307">
        <f t="shared" ca="1" si="125"/>
        <v>-9.9554513677218424</v>
      </c>
      <c r="F320" s="304">
        <f t="shared" ca="1" si="126"/>
        <v>9.9569060501243261</v>
      </c>
      <c r="G320" s="306">
        <f t="shared" ca="1" si="127"/>
        <v>15.810478334216244</v>
      </c>
      <c r="H320" s="307">
        <f t="shared" ca="1" si="128"/>
        <v>12.530930000830615</v>
      </c>
      <c r="I320" s="304">
        <f t="shared" ca="1" si="129"/>
        <v>20.174127783932519</v>
      </c>
      <c r="J320" s="306">
        <f t="shared" ca="1" si="130"/>
        <v>387.69921046757122</v>
      </c>
      <c r="K320" s="307">
        <f t="shared" ca="1" si="131"/>
        <v>2275.390728941039</v>
      </c>
      <c r="L320" s="304">
        <f t="shared" ca="1" si="116"/>
        <v>2308.1840583341723</v>
      </c>
      <c r="M320" s="306">
        <f t="shared" ca="1" si="132"/>
        <v>0.67019475114170313</v>
      </c>
      <c r="N320" s="304">
        <f t="shared" ca="1" si="133"/>
        <v>38.399330692240099</v>
      </c>
      <c r="P320" s="310">
        <f t="shared" ca="1" si="134"/>
        <v>23</v>
      </c>
      <c r="Q320" s="304">
        <f t="shared" ca="1" si="135"/>
        <v>0</v>
      </c>
      <c r="R320" s="306">
        <f t="shared" ca="1" si="136"/>
        <v>0</v>
      </c>
      <c r="S320" s="307">
        <f t="shared" ca="1" si="137"/>
        <v>2.0842999999999985</v>
      </c>
      <c r="T320" s="304">
        <f t="shared" ca="1" si="117"/>
        <v>20.446982999999985</v>
      </c>
      <c r="U320" s="311">
        <f t="shared" ca="1" si="118"/>
        <v>0</v>
      </c>
      <c r="V320" s="306">
        <f t="shared" ca="1" si="119"/>
        <v>0.9747369472104177</v>
      </c>
      <c r="W320" s="304">
        <f t="shared" ca="1" si="120"/>
        <v>0.43806996077228111</v>
      </c>
      <c r="Y320" s="314" t="str">
        <f t="shared" ca="1" si="138"/>
        <v/>
      </c>
      <c r="Z320" s="315" t="str">
        <f t="shared" ca="1" si="139"/>
        <v/>
      </c>
      <c r="AA320" s="316" t="str">
        <f t="shared" ca="1" si="140"/>
        <v/>
      </c>
      <c r="AC320" s="310" t="e">
        <f t="shared" ca="1" si="141"/>
        <v>#N/A</v>
      </c>
      <c r="AD320" s="323" t="e">
        <f t="shared" ca="1" si="142"/>
        <v>#N/A</v>
      </c>
      <c r="AE320" s="324">
        <f t="shared" ca="1" si="121"/>
        <v>2275.390728941039</v>
      </c>
      <c r="AG320" s="306">
        <f t="shared" ca="1" si="143"/>
        <v>-6.597284910034884</v>
      </c>
      <c r="AH320" s="304">
        <f t="shared" ca="1" si="144"/>
        <v>-0.22388000424303622</v>
      </c>
    </row>
    <row r="321" spans="1:34" x14ac:dyDescent="0.25">
      <c r="A321" s="347">
        <f t="shared" ca="1" si="122"/>
        <v>0.1</v>
      </c>
      <c r="B321" s="304">
        <f t="shared" ca="1" si="123"/>
        <v>19.399999999999977</v>
      </c>
      <c r="D321" s="306">
        <f t="shared" ca="1" si="124"/>
        <v>-0.1647151277296737</v>
      </c>
      <c r="E321" s="307">
        <f t="shared" ca="1" si="125"/>
        <v>-9.9405484686817829</v>
      </c>
      <c r="F321" s="304">
        <f t="shared" ca="1" si="126"/>
        <v>9.9419130418403245</v>
      </c>
      <c r="G321" s="306">
        <f t="shared" ca="1" si="127"/>
        <v>15.794006821443276</v>
      </c>
      <c r="H321" s="307">
        <f t="shared" ca="1" si="128"/>
        <v>11.536875153962438</v>
      </c>
      <c r="I321" s="304">
        <f t="shared" ca="1" si="129"/>
        <v>19.558889022485722</v>
      </c>
      <c r="J321" s="306">
        <f t="shared" ca="1" si="130"/>
        <v>389.27943472535418</v>
      </c>
      <c r="K321" s="307">
        <f t="shared" ca="1" si="131"/>
        <v>2276.5941191987786</v>
      </c>
      <c r="L321" s="304">
        <f t="shared" ca="1" si="116"/>
        <v>2309.6361752169005</v>
      </c>
      <c r="M321" s="306">
        <f t="shared" ca="1" si="132"/>
        <v>0.63087715415671908</v>
      </c>
      <c r="N321" s="304">
        <f t="shared" ca="1" si="133"/>
        <v>36.146598324404223</v>
      </c>
      <c r="P321" s="310">
        <f t="shared" ca="1" si="134"/>
        <v>23</v>
      </c>
      <c r="Q321" s="304">
        <f t="shared" ca="1" si="135"/>
        <v>0</v>
      </c>
      <c r="R321" s="306">
        <f t="shared" ca="1" si="136"/>
        <v>0</v>
      </c>
      <c r="S321" s="307">
        <f t="shared" ca="1" si="137"/>
        <v>2.0842999999999985</v>
      </c>
      <c r="T321" s="304">
        <f t="shared" ca="1" si="117"/>
        <v>20.446982999999985</v>
      </c>
      <c r="U321" s="311">
        <f t="shared" ca="1" si="118"/>
        <v>0</v>
      </c>
      <c r="V321" s="306">
        <f t="shared" ca="1" si="119"/>
        <v>0.97461811656702124</v>
      </c>
      <c r="W321" s="304">
        <f t="shared" ca="1" si="120"/>
        <v>0.41170804734358557</v>
      </c>
      <c r="Y321" s="314" t="str">
        <f t="shared" ca="1" si="138"/>
        <v/>
      </c>
      <c r="Z321" s="315" t="str">
        <f t="shared" ca="1" si="139"/>
        <v/>
      </c>
      <c r="AA321" s="316" t="str">
        <f t="shared" ca="1" si="140"/>
        <v/>
      </c>
      <c r="AC321" s="310" t="e">
        <f t="shared" ca="1" si="141"/>
        <v>#N/A</v>
      </c>
      <c r="AD321" s="323" t="e">
        <f t="shared" ca="1" si="142"/>
        <v>#N/A</v>
      </c>
      <c r="AE321" s="324">
        <f t="shared" ca="1" si="121"/>
        <v>2276.5941191987786</v>
      </c>
      <c r="AG321" s="306">
        <f t="shared" ca="1" si="143"/>
        <v>-6.3035459748839875</v>
      </c>
      <c r="AH321" s="304">
        <f t="shared" ca="1" si="144"/>
        <v>-0.21017605947909679</v>
      </c>
    </row>
    <row r="322" spans="1:34" x14ac:dyDescent="0.25">
      <c r="A322" s="347">
        <f t="shared" ca="1" si="122"/>
        <v>0.1</v>
      </c>
      <c r="B322" s="304">
        <f t="shared" ca="1" si="123"/>
        <v>19.499999999999979</v>
      </c>
      <c r="D322" s="306">
        <f t="shared" ca="1" si="124"/>
        <v>-0.15950608885946066</v>
      </c>
      <c r="E322" s="307">
        <f t="shared" ca="1" si="125"/>
        <v>-9.9265126654858751</v>
      </c>
      <c r="F322" s="304">
        <f t="shared" ca="1" si="126"/>
        <v>9.92779410999416</v>
      </c>
      <c r="G322" s="306">
        <f t="shared" ca="1" si="127"/>
        <v>15.778056212557329</v>
      </c>
      <c r="H322" s="307">
        <f t="shared" ca="1" si="128"/>
        <v>10.54422388741385</v>
      </c>
      <c r="I322" s="304">
        <f t="shared" ca="1" si="129"/>
        <v>18.977031254506795</v>
      </c>
      <c r="J322" s="306">
        <f t="shared" ca="1" si="130"/>
        <v>390.85803787705419</v>
      </c>
      <c r="K322" s="307">
        <f t="shared" ca="1" si="131"/>
        <v>2277.6981741508475</v>
      </c>
      <c r="L322" s="304">
        <f t="shared" ca="1" si="116"/>
        <v>2310.9909083125372</v>
      </c>
      <c r="M322" s="306">
        <f t="shared" ca="1" si="132"/>
        <v>0.58912152020394426</v>
      </c>
      <c r="N322" s="304">
        <f t="shared" ca="1" si="133"/>
        <v>33.754176728017065</v>
      </c>
      <c r="P322" s="310">
        <f t="shared" ca="1" si="134"/>
        <v>23</v>
      </c>
      <c r="Q322" s="304">
        <f t="shared" ca="1" si="135"/>
        <v>0</v>
      </c>
      <c r="R322" s="306">
        <f t="shared" ca="1" si="136"/>
        <v>0</v>
      </c>
      <c r="S322" s="307">
        <f t="shared" ca="1" si="137"/>
        <v>2.0842999999999985</v>
      </c>
      <c r="T322" s="304">
        <f t="shared" ca="1" si="117"/>
        <v>20.446982999999985</v>
      </c>
      <c r="U322" s="311">
        <f t="shared" ca="1" si="118"/>
        <v>0</v>
      </c>
      <c r="V322" s="306">
        <f t="shared" ca="1" si="119"/>
        <v>0.9745091062350173</v>
      </c>
      <c r="W322" s="304">
        <f t="shared" ca="1" si="120"/>
        <v>0.38753323918027244</v>
      </c>
      <c r="Y322" s="314" t="str">
        <f t="shared" ca="1" si="138"/>
        <v/>
      </c>
      <c r="Z322" s="315" t="str">
        <f t="shared" ca="1" si="139"/>
        <v/>
      </c>
      <c r="AA322" s="316" t="str">
        <f t="shared" ca="1" si="140"/>
        <v/>
      </c>
      <c r="AC322" s="310" t="e">
        <f t="shared" ca="1" si="141"/>
        <v>#N/A</v>
      </c>
      <c r="AD322" s="323" t="e">
        <f t="shared" ca="1" si="142"/>
        <v>#N/A</v>
      </c>
      <c r="AE322" s="324">
        <f t="shared" ca="1" si="121"/>
        <v>2277.6981741508475</v>
      </c>
      <c r="AG322" s="306">
        <f t="shared" ca="1" si="143"/>
        <v>-5.9839890423679574</v>
      </c>
      <c r="AH322" s="304">
        <f t="shared" ca="1" si="144"/>
        <v>-0.19752820963565026</v>
      </c>
    </row>
    <row r="323" spans="1:34" x14ac:dyDescent="0.25">
      <c r="A323" s="347">
        <f t="shared" ca="1" si="122"/>
        <v>0.1</v>
      </c>
      <c r="B323" s="304">
        <f t="shared" ca="1" si="123"/>
        <v>19.59999999999998</v>
      </c>
      <c r="D323" s="306">
        <f t="shared" ca="1" si="124"/>
        <v>-0.15458735128018306</v>
      </c>
      <c r="E323" s="307">
        <f t="shared" ca="1" si="125"/>
        <v>-9.9133082668803834</v>
      </c>
      <c r="F323" s="304">
        <f t="shared" ca="1" si="126"/>
        <v>9.9145135051284683</v>
      </c>
      <c r="G323" s="306">
        <f t="shared" ca="1" si="127"/>
        <v>15.762597477429312</v>
      </c>
      <c r="H323" s="307">
        <f t="shared" ca="1" si="128"/>
        <v>9.5528930607258111</v>
      </c>
      <c r="I323" s="304">
        <f t="shared" ca="1" si="129"/>
        <v>18.431420050151434</v>
      </c>
      <c r="J323" s="306">
        <f t="shared" ca="1" si="130"/>
        <v>392.43507056155352</v>
      </c>
      <c r="K323" s="307">
        <f t="shared" ca="1" si="131"/>
        <v>2278.7030299982544</v>
      </c>
      <c r="L323" s="304">
        <f t="shared" ca="1" si="116"/>
        <v>2312.2484259979237</v>
      </c>
      <c r="M323" s="306">
        <f t="shared" ca="1" si="132"/>
        <v>0.54485480643880146</v>
      </c>
      <c r="N323" s="304">
        <f t="shared" ca="1" si="133"/>
        <v>31.217880856360715</v>
      </c>
      <c r="P323" s="310">
        <f t="shared" ca="1" si="134"/>
        <v>23</v>
      </c>
      <c r="Q323" s="304">
        <f t="shared" ca="1" si="135"/>
        <v>0</v>
      </c>
      <c r="R323" s="306">
        <f t="shared" ca="1" si="136"/>
        <v>0</v>
      </c>
      <c r="S323" s="307">
        <f t="shared" ca="1" si="137"/>
        <v>2.0842999999999985</v>
      </c>
      <c r="T323" s="304">
        <f t="shared" ca="1" si="117"/>
        <v>20.446982999999985</v>
      </c>
      <c r="U323" s="311">
        <f t="shared" ca="1" si="118"/>
        <v>0</v>
      </c>
      <c r="V323" s="306">
        <f t="shared" ca="1" si="119"/>
        <v>0.97440989985016369</v>
      </c>
      <c r="W323" s="304">
        <f t="shared" ca="1" si="120"/>
        <v>0.36553232780425776</v>
      </c>
      <c r="Y323" s="314" t="str">
        <f t="shared" ca="1" si="138"/>
        <v/>
      </c>
      <c r="Z323" s="315" t="str">
        <f t="shared" ca="1" si="139"/>
        <v/>
      </c>
      <c r="AA323" s="316" t="str">
        <f t="shared" ca="1" si="140"/>
        <v/>
      </c>
      <c r="AC323" s="310" t="e">
        <f t="shared" ca="1" si="141"/>
        <v>#N/A</v>
      </c>
      <c r="AD323" s="323" t="e">
        <f t="shared" ca="1" si="142"/>
        <v>#N/A</v>
      </c>
      <c r="AE323" s="324">
        <f t="shared" ca="1" si="121"/>
        <v>2278.7030299982544</v>
      </c>
      <c r="AG323" s="306">
        <f t="shared" ca="1" si="143"/>
        <v>-5.6366682604152372</v>
      </c>
      <c r="AH323" s="304">
        <f t="shared" ca="1" si="144"/>
        <v>-0.18592968343341779</v>
      </c>
    </row>
    <row r="324" spans="1:34" x14ac:dyDescent="0.25">
      <c r="A324" s="347">
        <f t="shared" ca="1" si="122"/>
        <v>0.1</v>
      </c>
      <c r="B324" s="304">
        <f t="shared" ca="1" si="123"/>
        <v>19.699999999999982</v>
      </c>
      <c r="D324" s="306">
        <f t="shared" ca="1" si="124"/>
        <v>-0.14998041541310833</v>
      </c>
      <c r="E324" s="307">
        <f t="shared" ca="1" si="125"/>
        <v>-9.9008953534908333</v>
      </c>
      <c r="F324" s="304">
        <f t="shared" ca="1" si="126"/>
        <v>9.9020312525150036</v>
      </c>
      <c r="G324" s="306">
        <f t="shared" ca="1" si="127"/>
        <v>15.747599435888</v>
      </c>
      <c r="H324" s="307">
        <f t="shared" ca="1" si="128"/>
        <v>8.5628035253767276</v>
      </c>
      <c r="I324" s="304">
        <f t="shared" ca="1" si="129"/>
        <v>17.92507997771235</v>
      </c>
      <c r="J324" s="306">
        <f t="shared" ca="1" si="130"/>
        <v>394.01058040721938</v>
      </c>
      <c r="K324" s="307">
        <f t="shared" ca="1" si="131"/>
        <v>2279.6088148275594</v>
      </c>
      <c r="L324" s="304">
        <f t="shared" ref="L324:L387" ca="1" si="145">SQRT(pos_x^2+pos_z^2)</f>
        <v>2313.4088886559471</v>
      </c>
      <c r="M324" s="306">
        <f t="shared" ca="1" si="132"/>
        <v>0.49803435693212683</v>
      </c>
      <c r="N324" s="304">
        <f t="shared" ca="1" si="133"/>
        <v>28.535266704722883</v>
      </c>
      <c r="P324" s="310">
        <f t="shared" ca="1" si="134"/>
        <v>23</v>
      </c>
      <c r="Q324" s="304">
        <f t="shared" ca="1" si="135"/>
        <v>0</v>
      </c>
      <c r="R324" s="306">
        <f t="shared" ca="1" si="136"/>
        <v>0</v>
      </c>
      <c r="S324" s="307">
        <f t="shared" ca="1" si="137"/>
        <v>2.0842999999999985</v>
      </c>
      <c r="T324" s="304">
        <f t="shared" ref="T324:T387" ca="1" si="146">m*g</f>
        <v>20.446982999999985</v>
      </c>
      <c r="U324" s="311">
        <f t="shared" ref="U324:U387" ca="1" si="147">IF(pos_xz&lt;L_rampe,Poids*COS(Beta),0)</f>
        <v>0</v>
      </c>
      <c r="V324" s="306">
        <f t="shared" ref="V324:V387" ca="1" si="148">Rho_moyen*(20000-Alt_rampe-pos_z)/(20000+Alt_rampe+pos_z)</f>
        <v>0.97432048211678868</v>
      </c>
      <c r="W324" s="304">
        <f t="shared" ref="W324:W387" ca="1" si="149">1/2*Rho*Sref*Cx*vit_xz^2</f>
        <v>0.34569296969651964</v>
      </c>
      <c r="Y324" s="314" t="str">
        <f t="shared" ca="1" si="138"/>
        <v/>
      </c>
      <c r="Z324" s="315" t="str">
        <f t="shared" ca="1" si="139"/>
        <v/>
      </c>
      <c r="AA324" s="316" t="str">
        <f t="shared" ca="1" si="140"/>
        <v/>
      </c>
      <c r="AC324" s="310" t="e">
        <f t="shared" ca="1" si="141"/>
        <v>#N/A</v>
      </c>
      <c r="AD324" s="323" t="e">
        <f t="shared" ca="1" si="142"/>
        <v>#N/A</v>
      </c>
      <c r="AE324" s="324">
        <f t="shared" ref="AE324:AE387" ca="1" si="150">IF(t&lt;T_para, pos_z, NA())</f>
        <v>2279.6088148275594</v>
      </c>
      <c r="AG324" s="306">
        <f t="shared" ca="1" si="143"/>
        <v>-5.2598375584301742</v>
      </c>
      <c r="AH324" s="304">
        <f t="shared" ca="1" si="144"/>
        <v>-0.17537414374334695</v>
      </c>
    </row>
    <row r="325" spans="1:34" x14ac:dyDescent="0.25">
      <c r="A325" s="347">
        <f t="shared" ref="A325:A388" ca="1" si="151">IF(B324+0.01&lt;=T_ini+ROUNDUP(Temps_fin_propu,0), 0.01, IF(K324&gt;0, 0.1, 0.0001))</f>
        <v>0.1</v>
      </c>
      <c r="B325" s="304">
        <f t="shared" ref="B325:B388" ca="1" si="152">B324+pas</f>
        <v>19.799999999999983</v>
      </c>
      <c r="D325" s="306">
        <f t="shared" ref="D325:D388" ca="1" si="153">IF(AND(L324&lt;L_rampe,Poussee&lt;Poids*SIN(M324)),0,(-W324+Poussee)/m*COS(M324)-U324/m*SIN(M324))</f>
        <v>-0.14570806009027273</v>
      </c>
      <c r="E325" s="307">
        <f t="shared" ref="E325:E388" ca="1" si="154">IF(AND(L324&lt;L_rampe,Poussee&lt;Poids*SIN(M324)),0,(-W324+Poussee)/m*SIN(M324)+U324/m*COS(M324)-Poids/m)</f>
        <v>-9.889229186371951</v>
      </c>
      <c r="F325" s="304">
        <f t="shared" ref="F325:F388" ca="1" si="155">SQRT(acc_x^2+acc_z^2)</f>
        <v>9.8903025605572914</v>
      </c>
      <c r="G325" s="306">
        <f t="shared" ref="G325:G388" ca="1" si="156">G324+acc_x*pas</f>
        <v>15.733028629878973</v>
      </c>
      <c r="H325" s="307">
        <f t="shared" ref="H325:H388" ca="1" si="157">H324+acc_z*pas</f>
        <v>7.5738806067395323</v>
      </c>
      <c r="I325" s="304">
        <f t="shared" ref="I325:I388" ca="1" si="158">SQRT(vit_x^2+vit_z^2)</f>
        <v>17.461152805978667</v>
      </c>
      <c r="J325" s="306">
        <f t="shared" ref="J325:J388" ca="1" si="159">J324+0.5*(vit_x+G324)*pas*(K324&gt;=0)</f>
        <v>395.58461181050774</v>
      </c>
      <c r="K325" s="307">
        <f t="shared" ref="K325:K388" ca="1" si="160">K324+0.5*(vit_z+H324)*pas</f>
        <v>2280.4156490341652</v>
      </c>
      <c r="L325" s="304">
        <f t="shared" ca="1" si="145"/>
        <v>2314.4724490607318</v>
      </c>
      <c r="M325" s="306">
        <f t="shared" ref="M325:M388" ca="1" si="161">IF(AND(L324&gt;L_rampe,G325&gt;0),ATAN2(G325,H325),$M$4)</f>
        <v>0.44865722712668821</v>
      </c>
      <c r="N325" s="304">
        <f t="shared" ref="N325:N388" ca="1" si="162">DEGREES(Beta)</f>
        <v>25.706165562401626</v>
      </c>
      <c r="P325" s="310">
        <f t="shared" ref="P325:P388" ca="1" si="163">MATCH(t-pas/2-T_ini,CdP_t)</f>
        <v>23</v>
      </c>
      <c r="Q325" s="304">
        <f t="shared" ref="Q325:Q388" ca="1" si="164">(INDEX(CdP,2,i_P+1)-INDEX(CdP,2,i_P+0))/(INDEX(CdP,1,i_P+1)-INDEX(CdP,1,i_P+0))*(t-pas/2-T_ini-INDEX(CdP,1,i_P+0))+INDEX(CdP,2,i_P+0)</f>
        <v>0</v>
      </c>
      <c r="R325" s="306">
        <f t="shared" ref="R325:R388" ca="1" si="165">Poussee/(g*ISP)</f>
        <v>0</v>
      </c>
      <c r="S325" s="307">
        <f t="shared" ref="S325:S388" ca="1" si="166">S324-Débit*pas</f>
        <v>2.0842999999999985</v>
      </c>
      <c r="T325" s="304">
        <f t="shared" ca="1" si="146"/>
        <v>20.446982999999985</v>
      </c>
      <c r="U325" s="311">
        <f t="shared" ca="1" si="147"/>
        <v>0</v>
      </c>
      <c r="V325" s="306">
        <f t="shared" ca="1" si="148"/>
        <v>0.97424083876433887</v>
      </c>
      <c r="W325" s="304">
        <f t="shared" ca="1" si="149"/>
        <v>0.32800364315268249</v>
      </c>
      <c r="Y325" s="314" t="str">
        <f t="shared" ref="Y325:Y388" ca="1" si="167">IF(AND(pos_z&lt;=0,K324&gt;0),"Impact balistique","") &amp; IF(AND(H326&lt;0,vit_z&gt;=0),"Apogée","") &amp; IF(AND(Poussee=0,Q324&gt;0),"Fin de propulsion","") &amp; IF(AND(L326&gt;L_rampe,pos_xz&lt;=L_rampe),"Sortie de rampe","")</f>
        <v/>
      </c>
      <c r="Z325" s="315" t="str">
        <f t="shared" ref="Z325:Z388" ca="1" si="168">IF(ABS(t-T_para)&lt;pas/2,"Para","")</f>
        <v/>
      </c>
      <c r="AA325" s="316" t="str">
        <f t="shared" ref="AA325:AA388" ca="1" si="169">IF(ABS(t-T_satellite)&lt;pas/2,"Satellite","")</f>
        <v/>
      </c>
      <c r="AC325" s="310" t="e">
        <f t="shared" ref="AC325:AC388" ca="1" si="170">IF(ABS(t-ROUND(t,0))&lt;0.001,t,NA())</f>
        <v>#N/A</v>
      </c>
      <c r="AD325" s="323" t="e">
        <f t="shared" ref="AD325:AD388" ca="1" si="171">IF(ABS(t-ROUND(t,0))&lt;0.001,pos_x,NA())</f>
        <v>#N/A</v>
      </c>
      <c r="AE325" s="324">
        <f t="shared" ca="1" si="150"/>
        <v>2280.4156490341652</v>
      </c>
      <c r="AG325" s="306">
        <f t="shared" ref="AG325:AG388" ca="1" si="172">IF(AND(L324&lt;L_rampe,Poussee&lt;Poids*SIN(M324)),0,(-W324+Poussee)/m-Poids*SIN(M324)/m)</f>
        <v>-4.8520887389817915</v>
      </c>
      <c r="AH325" s="304">
        <f t="shared" ref="AH325:AH388" ca="1" si="173">IF(AND(L324&lt;L_rampe,Poussee&lt;Poids*SIN(M324)), g*SIN(M324), (-W324+Poussee)/m)</f>
        <v>-0.16585566842418073</v>
      </c>
    </row>
    <row r="326" spans="1:34" x14ac:dyDescent="0.25">
      <c r="A326" s="347">
        <f t="shared" ca="1" si="151"/>
        <v>0.1</v>
      </c>
      <c r="B326" s="304">
        <f t="shared" ca="1" si="152"/>
        <v>19.899999999999984</v>
      </c>
      <c r="D326" s="306">
        <f t="shared" ca="1" si="153"/>
        <v>-0.1417940015824474</v>
      </c>
      <c r="E326" s="307">
        <f t="shared" ca="1" si="154"/>
        <v>-9.8782596379884406</v>
      </c>
      <c r="F326" s="304">
        <f t="shared" ca="1" si="155"/>
        <v>9.879277251621005</v>
      </c>
      <c r="G326" s="306">
        <f t="shared" ca="1" si="156"/>
        <v>15.718849229720728</v>
      </c>
      <c r="H326" s="307">
        <f t="shared" ca="1" si="157"/>
        <v>6.5860546429406881</v>
      </c>
      <c r="I326" s="304">
        <f t="shared" ca="1" si="158"/>
        <v>17.042838286696632</v>
      </c>
      <c r="J326" s="306">
        <f t="shared" ca="1" si="159"/>
        <v>397.1572057034877</v>
      </c>
      <c r="K326" s="307">
        <f t="shared" ca="1" si="160"/>
        <v>2281.1236457966493</v>
      </c>
      <c r="L326" s="304">
        <f t="shared" ca="1" si="145"/>
        <v>2315.4392528103172</v>
      </c>
      <c r="M326" s="306">
        <f t="shared" ca="1" si="161"/>
        <v>0.3967698883920614</v>
      </c>
      <c r="N326" s="304">
        <f t="shared" ca="1" si="162"/>
        <v>22.73324004274183</v>
      </c>
      <c r="P326" s="310">
        <f t="shared" ca="1" si="163"/>
        <v>23</v>
      </c>
      <c r="Q326" s="304">
        <f t="shared" ca="1" si="164"/>
        <v>0</v>
      </c>
      <c r="R326" s="306">
        <f t="shared" ca="1" si="165"/>
        <v>0</v>
      </c>
      <c r="S326" s="307">
        <f t="shared" ca="1" si="166"/>
        <v>2.0842999999999985</v>
      </c>
      <c r="T326" s="304">
        <f t="shared" ca="1" si="146"/>
        <v>20.446982999999985</v>
      </c>
      <c r="U326" s="311">
        <f t="shared" ca="1" si="147"/>
        <v>0</v>
      </c>
      <c r="V326" s="306">
        <f t="shared" ca="1" si="148"/>
        <v>0.9741709564990404</v>
      </c>
      <c r="W326" s="304">
        <f t="shared" ca="1" si="149"/>
        <v>0.31245360142299256</v>
      </c>
      <c r="Y326" s="314" t="str">
        <f t="shared" ca="1" si="167"/>
        <v/>
      </c>
      <c r="Z326" s="315" t="str">
        <f t="shared" ca="1" si="168"/>
        <v/>
      </c>
      <c r="AA326" s="316" t="str">
        <f t="shared" ca="1" si="169"/>
        <v/>
      </c>
      <c r="AC326" s="310" t="e">
        <f t="shared" ca="1" si="170"/>
        <v>#N/A</v>
      </c>
      <c r="AD326" s="323" t="e">
        <f t="shared" ca="1" si="171"/>
        <v>#N/A</v>
      </c>
      <c r="AE326" s="324">
        <f t="shared" ca="1" si="150"/>
        <v>2281.1236457966493</v>
      </c>
      <c r="AG326" s="306">
        <f t="shared" ca="1" si="172"/>
        <v>-4.4125155448246991</v>
      </c>
      <c r="AH326" s="304">
        <f t="shared" ca="1" si="173"/>
        <v>-0.15736872962274276</v>
      </c>
    </row>
    <row r="327" spans="1:34" x14ac:dyDescent="0.25">
      <c r="A327" s="347">
        <f t="shared" ca="1" si="151"/>
        <v>0.1</v>
      </c>
      <c r="B327" s="304">
        <f t="shared" ca="1" si="152"/>
        <v>19.999999999999986</v>
      </c>
      <c r="D327" s="306">
        <f t="shared" ca="1" si="153"/>
        <v>-0.13826241282090285</v>
      </c>
      <c r="E327" s="307">
        <f t="shared" ca="1" si="154"/>
        <v>-9.8679306915280769</v>
      </c>
      <c r="F327" s="304">
        <f t="shared" ca="1" si="155"/>
        <v>9.8688992611942723</v>
      </c>
      <c r="G327" s="306">
        <f t="shared" ca="1" si="156"/>
        <v>15.705022988438637</v>
      </c>
      <c r="H327" s="307">
        <f t="shared" ca="1" si="157"/>
        <v>5.5992615737878806</v>
      </c>
      <c r="I327" s="304">
        <f t="shared" ca="1" si="158"/>
        <v>16.673316323967576</v>
      </c>
      <c r="J327" s="306">
        <f t="shared" ca="1" si="159"/>
        <v>398.72839931439569</v>
      </c>
      <c r="K327" s="307">
        <f t="shared" ca="1" si="160"/>
        <v>2281.7329116074857</v>
      </c>
      <c r="L327" s="304">
        <f t="shared" ca="1" si="145"/>
        <v>2316.3094388126547</v>
      </c>
      <c r="M327" s="306">
        <f t="shared" ca="1" si="161"/>
        <v>0.34247746550457903</v>
      </c>
      <c r="N327" s="304">
        <f t="shared" ca="1" si="162"/>
        <v>19.622513351749618</v>
      </c>
      <c r="P327" s="310">
        <f t="shared" ca="1" si="163"/>
        <v>23</v>
      </c>
      <c r="Q327" s="304">
        <f t="shared" ca="1" si="164"/>
        <v>0</v>
      </c>
      <c r="R327" s="306">
        <f t="shared" ca="1" si="165"/>
        <v>0</v>
      </c>
      <c r="S327" s="307">
        <f t="shared" ca="1" si="166"/>
        <v>2.0842999999999985</v>
      </c>
      <c r="T327" s="304">
        <f t="shared" ca="1" si="146"/>
        <v>20.446982999999985</v>
      </c>
      <c r="U327" s="311">
        <f t="shared" ca="1" si="147"/>
        <v>0</v>
      </c>
      <c r="V327" s="306">
        <f t="shared" ca="1" si="148"/>
        <v>0.97411082295012397</v>
      </c>
      <c r="W327" s="304">
        <f t="shared" ca="1" si="149"/>
        <v>0.29903282166781253</v>
      </c>
      <c r="Y327" s="314" t="str">
        <f t="shared" ca="1" si="167"/>
        <v/>
      </c>
      <c r="Z327" s="315" t="str">
        <f t="shared" ca="1" si="168"/>
        <v/>
      </c>
      <c r="AA327" s="316" t="str">
        <f t="shared" ca="1" si="169"/>
        <v/>
      </c>
      <c r="AC327" s="310">
        <f t="shared" ca="1" si="170"/>
        <v>19.999999999999986</v>
      </c>
      <c r="AD327" s="323">
        <f t="shared" ca="1" si="171"/>
        <v>398.72839931439569</v>
      </c>
      <c r="AE327" s="324">
        <f t="shared" ca="1" si="150"/>
        <v>2281.7329116074857</v>
      </c>
      <c r="AG327" s="306">
        <f t="shared" ca="1" si="172"/>
        <v>-3.9408962074616278</v>
      </c>
      <c r="AH327" s="304">
        <f t="shared" ca="1" si="173"/>
        <v>-0.14990817129155726</v>
      </c>
    </row>
    <row r="328" spans="1:34" x14ac:dyDescent="0.25">
      <c r="A328" s="347">
        <f t="shared" ca="1" si="151"/>
        <v>0.1</v>
      </c>
      <c r="B328" s="304">
        <f t="shared" ca="1" si="152"/>
        <v>20.099999999999987</v>
      </c>
      <c r="D328" s="306">
        <f t="shared" ca="1" si="153"/>
        <v>-0.13513729362820717</v>
      </c>
      <c r="E328" s="307">
        <f t="shared" ca="1" si="154"/>
        <v>-9.8581800667184734</v>
      </c>
      <c r="F328" s="304">
        <f t="shared" ca="1" si="155"/>
        <v>9.8591062635501903</v>
      </c>
      <c r="G328" s="306">
        <f t="shared" ca="1" si="156"/>
        <v>15.691509259075817</v>
      </c>
      <c r="H328" s="307">
        <f t="shared" ca="1" si="157"/>
        <v>4.6134435671160334</v>
      </c>
      <c r="I328" s="304">
        <f t="shared" ca="1" si="158"/>
        <v>16.355651144929276</v>
      </c>
      <c r="J328" s="306">
        <f t="shared" ca="1" si="159"/>
        <v>400.29822592677141</v>
      </c>
      <c r="K328" s="307">
        <f t="shared" ca="1" si="160"/>
        <v>2282.2435468645308</v>
      </c>
      <c r="L328" s="304">
        <f t="shared" ca="1" si="145"/>
        <v>2317.0831398300998</v>
      </c>
      <c r="M328" s="306">
        <f t="shared" ca="1" si="161"/>
        <v>0.28595136109295183</v>
      </c>
      <c r="N328" s="304">
        <f t="shared" ca="1" si="162"/>
        <v>16.383806136647554</v>
      </c>
      <c r="P328" s="310">
        <f t="shared" ca="1" si="163"/>
        <v>23</v>
      </c>
      <c r="Q328" s="304">
        <f t="shared" ca="1" si="164"/>
        <v>0</v>
      </c>
      <c r="R328" s="306">
        <f t="shared" ca="1" si="165"/>
        <v>0</v>
      </c>
      <c r="S328" s="307">
        <f t="shared" ca="1" si="166"/>
        <v>2.0842999999999985</v>
      </c>
      <c r="T328" s="304">
        <f t="shared" ca="1" si="146"/>
        <v>20.446982999999985</v>
      </c>
      <c r="U328" s="311">
        <f t="shared" ca="1" si="147"/>
        <v>0</v>
      </c>
      <c r="V328" s="306">
        <f t="shared" ca="1" si="148"/>
        <v>0.9740604266101871</v>
      </c>
      <c r="W328" s="304">
        <f t="shared" ca="1" si="149"/>
        <v>0.28773194934732926</v>
      </c>
      <c r="Y328" s="314" t="str">
        <f t="shared" ca="1" si="167"/>
        <v/>
      </c>
      <c r="Z328" s="315" t="str">
        <f t="shared" ca="1" si="168"/>
        <v/>
      </c>
      <c r="AA328" s="316" t="str">
        <f t="shared" ca="1" si="169"/>
        <v/>
      </c>
      <c r="AC328" s="310" t="e">
        <f t="shared" ca="1" si="170"/>
        <v>#N/A</v>
      </c>
      <c r="AD328" s="323" t="e">
        <f t="shared" ca="1" si="171"/>
        <v>#N/A</v>
      </c>
      <c r="AE328" s="324">
        <f t="shared" ca="1" si="150"/>
        <v>2282.2435468645308</v>
      </c>
      <c r="AG328" s="306">
        <f t="shared" ca="1" si="172"/>
        <v>-3.4378801447968161</v>
      </c>
      <c r="AH328" s="304">
        <f t="shared" ca="1" si="173"/>
        <v>-0.14346918469884987</v>
      </c>
    </row>
    <row r="329" spans="1:34" x14ac:dyDescent="0.25">
      <c r="A329" s="347">
        <f t="shared" ca="1" si="151"/>
        <v>0.1</v>
      </c>
      <c r="B329" s="304">
        <f t="shared" ca="1" si="152"/>
        <v>20.199999999999989</v>
      </c>
      <c r="D329" s="306">
        <f t="shared" ca="1" si="153"/>
        <v>-0.13244169740135123</v>
      </c>
      <c r="E329" s="307">
        <f t="shared" ca="1" si="154"/>
        <v>-9.8489390393751197</v>
      </c>
      <c r="F329" s="304">
        <f t="shared" ca="1" si="155"/>
        <v>9.8498294911403335</v>
      </c>
      <c r="G329" s="306">
        <f t="shared" ca="1" si="156"/>
        <v>15.678265089335682</v>
      </c>
      <c r="H329" s="307">
        <f t="shared" ca="1" si="157"/>
        <v>3.6285496631785215</v>
      </c>
      <c r="I329" s="304">
        <f t="shared" ca="1" si="158"/>
        <v>16.092680599254898</v>
      </c>
      <c r="J329" s="306">
        <f t="shared" ca="1" si="159"/>
        <v>401.86671464419197</v>
      </c>
      <c r="K329" s="307">
        <f t="shared" ca="1" si="160"/>
        <v>2282.6556465260455</v>
      </c>
      <c r="L329" s="304">
        <f t="shared" ca="1" si="145"/>
        <v>2317.7604830862388</v>
      </c>
      <c r="M329" s="306">
        <f t="shared" ca="1" si="161"/>
        <v>0.22743391265268709</v>
      </c>
      <c r="N329" s="304">
        <f t="shared" ca="1" si="162"/>
        <v>13.031003313145984</v>
      </c>
      <c r="P329" s="310">
        <f t="shared" ca="1" si="163"/>
        <v>23</v>
      </c>
      <c r="Q329" s="304">
        <f t="shared" ca="1" si="164"/>
        <v>0</v>
      </c>
      <c r="R329" s="306">
        <f t="shared" ca="1" si="165"/>
        <v>0</v>
      </c>
      <c r="S329" s="307">
        <f t="shared" ca="1" si="166"/>
        <v>2.0842999999999985</v>
      </c>
      <c r="T329" s="304">
        <f t="shared" ca="1" si="146"/>
        <v>20.446982999999985</v>
      </c>
      <c r="U329" s="311">
        <f t="shared" ca="1" si="147"/>
        <v>0</v>
      </c>
      <c r="V329" s="306">
        <f t="shared" ca="1" si="148"/>
        <v>0.97401975676940011</v>
      </c>
      <c r="W329" s="304">
        <f t="shared" ca="1" si="149"/>
        <v>0.27854223780554049</v>
      </c>
      <c r="Y329" s="314" t="str">
        <f t="shared" ca="1" si="167"/>
        <v/>
      </c>
      <c r="Z329" s="315" t="str">
        <f t="shared" ca="1" si="168"/>
        <v/>
      </c>
      <c r="AA329" s="316" t="str">
        <f t="shared" ca="1" si="169"/>
        <v/>
      </c>
      <c r="AC329" s="310" t="e">
        <f t="shared" ca="1" si="170"/>
        <v>#N/A</v>
      </c>
      <c r="AD329" s="323" t="e">
        <f t="shared" ca="1" si="171"/>
        <v>#N/A</v>
      </c>
      <c r="AE329" s="324">
        <f t="shared" ca="1" si="150"/>
        <v>2282.6556465260455</v>
      </c>
      <c r="AG329" s="306">
        <f t="shared" ca="1" si="172"/>
        <v>-2.9051570099008481</v>
      </c>
      <c r="AH329" s="304">
        <f t="shared" ca="1" si="173"/>
        <v>-0.13804728174798708</v>
      </c>
    </row>
    <row r="330" spans="1:34" x14ac:dyDescent="0.25">
      <c r="A330" s="347">
        <f t="shared" ca="1" si="151"/>
        <v>0.1</v>
      </c>
      <c r="B330" s="304">
        <f t="shared" ca="1" si="152"/>
        <v>20.29999999999999</v>
      </c>
      <c r="D330" s="306">
        <f t="shared" ca="1" si="153"/>
        <v>-0.13019683994640507</v>
      </c>
      <c r="E330" s="307">
        <f t="shared" ca="1" si="154"/>
        <v>-9.8401325240415662</v>
      </c>
      <c r="F330" s="304">
        <f t="shared" ca="1" si="155"/>
        <v>9.8409938170813156</v>
      </c>
      <c r="G330" s="306">
        <f t="shared" ca="1" si="156"/>
        <v>15.665245405341041</v>
      </c>
      <c r="H330" s="307">
        <f t="shared" ca="1" si="157"/>
        <v>2.6445364107743647</v>
      </c>
      <c r="I330" s="304">
        <f t="shared" ca="1" si="158"/>
        <v>15.886896689960251</v>
      </c>
      <c r="J330" s="306">
        <f t="shared" ca="1" si="159"/>
        <v>403.43389016892581</v>
      </c>
      <c r="K330" s="307">
        <f t="shared" ca="1" si="160"/>
        <v>2282.9693008297431</v>
      </c>
      <c r="L330" s="304">
        <f t="shared" ca="1" si="145"/>
        <v>2318.3415909369091</v>
      </c>
      <c r="M330" s="306">
        <f t="shared" ca="1" si="161"/>
        <v>0.16723871370269264</v>
      </c>
      <c r="N330" s="304">
        <f t="shared" ca="1" si="162"/>
        <v>9.5820724663609766</v>
      </c>
      <c r="P330" s="310">
        <f t="shared" ca="1" si="163"/>
        <v>23</v>
      </c>
      <c r="Q330" s="304">
        <f t="shared" ca="1" si="164"/>
        <v>0</v>
      </c>
      <c r="R330" s="306">
        <f t="shared" ca="1" si="165"/>
        <v>0</v>
      </c>
      <c r="S330" s="307">
        <f t="shared" ca="1" si="166"/>
        <v>2.0842999999999985</v>
      </c>
      <c r="T330" s="304">
        <f t="shared" ca="1" si="146"/>
        <v>20.446982999999985</v>
      </c>
      <c r="U330" s="311">
        <f t="shared" ca="1" si="147"/>
        <v>0</v>
      </c>
      <c r="V330" s="306">
        <f t="shared" ca="1" si="148"/>
        <v>0.97398880344350725</v>
      </c>
      <c r="W330" s="304">
        <f t="shared" ca="1" si="149"/>
        <v>0.27145548300802236</v>
      </c>
      <c r="Y330" s="314" t="str">
        <f t="shared" ca="1" si="167"/>
        <v/>
      </c>
      <c r="Z330" s="315" t="str">
        <f t="shared" ca="1" si="168"/>
        <v/>
      </c>
      <c r="AA330" s="316" t="str">
        <f t="shared" ca="1" si="169"/>
        <v/>
      </c>
      <c r="AC330" s="310" t="e">
        <f t="shared" ca="1" si="170"/>
        <v>#N/A</v>
      </c>
      <c r="AD330" s="323" t="e">
        <f t="shared" ca="1" si="171"/>
        <v>#N/A</v>
      </c>
      <c r="AE330" s="324">
        <f t="shared" ca="1" si="150"/>
        <v>2282.9693008297431</v>
      </c>
      <c r="AG330" s="306">
        <f t="shared" ca="1" si="172"/>
        <v>-2.3455800227566987</v>
      </c>
      <c r="AH330" s="304">
        <f t="shared" ca="1" si="173"/>
        <v>-0.1336382659912396</v>
      </c>
    </row>
    <row r="331" spans="1:34" x14ac:dyDescent="0.25">
      <c r="A331" s="347">
        <f t="shared" ca="1" si="151"/>
        <v>0.1</v>
      </c>
      <c r="B331" s="304">
        <f t="shared" ca="1" si="152"/>
        <v>20.399999999999991</v>
      </c>
      <c r="D331" s="306">
        <f t="shared" ca="1" si="153"/>
        <v>-0.1284211400514032</v>
      </c>
      <c r="E331" s="307">
        <f t="shared" ca="1" si="154"/>
        <v>-9.8316794804033716</v>
      </c>
      <c r="F331" s="304">
        <f t="shared" ca="1" si="155"/>
        <v>9.8325181614170845</v>
      </c>
      <c r="G331" s="306">
        <f t="shared" ca="1" si="156"/>
        <v>15.652403291335901</v>
      </c>
      <c r="H331" s="307">
        <f t="shared" ca="1" si="157"/>
        <v>1.6613684627340275</v>
      </c>
      <c r="I331" s="304">
        <f t="shared" ca="1" si="158"/>
        <v>15.740326361406556</v>
      </c>
      <c r="J331" s="306">
        <f t="shared" ca="1" si="159"/>
        <v>404.99977260375965</v>
      </c>
      <c r="K331" s="307">
        <f t="shared" ca="1" si="160"/>
        <v>2283.1845960734186</v>
      </c>
      <c r="L331" s="304">
        <f t="shared" ca="1" si="145"/>
        <v>2318.8265816045919</v>
      </c>
      <c r="M331" s="306">
        <f t="shared" ca="1" si="161"/>
        <v>0.10574550594813803</v>
      </c>
      <c r="N331" s="304">
        <f t="shared" ca="1" si="162"/>
        <v>6.0587711933038522</v>
      </c>
      <c r="P331" s="310">
        <f t="shared" ca="1" si="163"/>
        <v>23</v>
      </c>
      <c r="Q331" s="304">
        <f t="shared" ca="1" si="164"/>
        <v>0</v>
      </c>
      <c r="R331" s="306">
        <f t="shared" ca="1" si="165"/>
        <v>0</v>
      </c>
      <c r="S331" s="307">
        <f t="shared" ca="1" si="166"/>
        <v>2.0842999999999985</v>
      </c>
      <c r="T331" s="304">
        <f t="shared" ca="1" si="146"/>
        <v>20.446982999999985</v>
      </c>
      <c r="U331" s="311">
        <f t="shared" ca="1" si="147"/>
        <v>0</v>
      </c>
      <c r="V331" s="306">
        <f t="shared" ca="1" si="148"/>
        <v>0.97396755729584683</v>
      </c>
      <c r="W331" s="304">
        <f t="shared" ca="1" si="149"/>
        <v>0.26646395364681669</v>
      </c>
      <c r="Y331" s="314" t="str">
        <f t="shared" ca="1" si="167"/>
        <v/>
      </c>
      <c r="Z331" s="315" t="str">
        <f t="shared" ca="1" si="168"/>
        <v/>
      </c>
      <c r="AA331" s="316" t="str">
        <f t="shared" ca="1" si="169"/>
        <v/>
      </c>
      <c r="AC331" s="310" t="e">
        <f t="shared" ca="1" si="170"/>
        <v>#N/A</v>
      </c>
      <c r="AD331" s="323" t="e">
        <f t="shared" ca="1" si="171"/>
        <v>#N/A</v>
      </c>
      <c r="AE331" s="324">
        <f t="shared" ca="1" si="150"/>
        <v>2283.1845960734186</v>
      </c>
      <c r="AG331" s="306">
        <f t="shared" ca="1" si="172"/>
        <v>-1.76321301672661</v>
      </c>
      <c r="AH331" s="304">
        <f t="shared" ca="1" si="173"/>
        <v>-0.13023820131843908</v>
      </c>
    </row>
    <row r="332" spans="1:34" x14ac:dyDescent="0.25">
      <c r="A332" s="347">
        <f t="shared" ca="1" si="151"/>
        <v>0.1</v>
      </c>
      <c r="B332" s="304">
        <f t="shared" ca="1" si="152"/>
        <v>20.499999999999993</v>
      </c>
      <c r="D332" s="306">
        <f t="shared" ca="1" si="153"/>
        <v>-0.12712926474689906</v>
      </c>
      <c r="E332" s="307">
        <f t="shared" ca="1" si="154"/>
        <v>-9.8234936819100476</v>
      </c>
      <c r="F332" s="304">
        <f t="shared" ca="1" si="155"/>
        <v>9.824316259591896</v>
      </c>
      <c r="G332" s="306">
        <f t="shared" ca="1" si="156"/>
        <v>15.639690364861211</v>
      </c>
      <c r="H332" s="307">
        <f t="shared" ca="1" si="157"/>
        <v>0.67901909454302267</v>
      </c>
      <c r="I332" s="304">
        <f t="shared" ca="1" si="158"/>
        <v>15.654423708316017</v>
      </c>
      <c r="J332" s="306">
        <f t="shared" ca="1" si="159"/>
        <v>406.56437728656948</v>
      </c>
      <c r="K332" s="307">
        <f t="shared" ca="1" si="160"/>
        <v>2283.3016154512825</v>
      </c>
      <c r="L332" s="304">
        <f t="shared" ca="1" si="145"/>
        <v>2319.2155699720656</v>
      </c>
      <c r="M332" s="306">
        <f t="shared" ca="1" si="161"/>
        <v>4.3389153741680744E-2</v>
      </c>
      <c r="N332" s="304">
        <f t="shared" ca="1" si="162"/>
        <v>2.4860153860425709</v>
      </c>
      <c r="P332" s="310">
        <f t="shared" ca="1" si="163"/>
        <v>23</v>
      </c>
      <c r="Q332" s="304">
        <f t="shared" ca="1" si="164"/>
        <v>0</v>
      </c>
      <c r="R332" s="306">
        <f t="shared" ca="1" si="165"/>
        <v>0</v>
      </c>
      <c r="S332" s="307">
        <f t="shared" ca="1" si="166"/>
        <v>2.0842999999999985</v>
      </c>
      <c r="T332" s="304">
        <f t="shared" ca="1" si="146"/>
        <v>20.446982999999985</v>
      </c>
      <c r="U332" s="311">
        <f t="shared" ca="1" si="147"/>
        <v>0</v>
      </c>
      <c r="V332" s="306">
        <f t="shared" ca="1" si="148"/>
        <v>0.97395600955395734</v>
      </c>
      <c r="W332" s="304">
        <f t="shared" ca="1" si="149"/>
        <v>0.26356031711972333</v>
      </c>
      <c r="Y332" s="314" t="str">
        <f t="shared" ca="1" si="167"/>
        <v>Apogée</v>
      </c>
      <c r="Z332" s="315" t="str">
        <f t="shared" ca="1" si="168"/>
        <v/>
      </c>
      <c r="AA332" s="316" t="str">
        <f t="shared" ca="1" si="169"/>
        <v/>
      </c>
      <c r="AC332" s="310" t="e">
        <f t="shared" ca="1" si="170"/>
        <v>#N/A</v>
      </c>
      <c r="AD332" s="323" t="e">
        <f t="shared" ca="1" si="171"/>
        <v>#N/A</v>
      </c>
      <c r="AE332" s="324">
        <f t="shared" ca="1" si="150"/>
        <v>2283.3016154512825</v>
      </c>
      <c r="AG332" s="306">
        <f t="shared" ca="1" si="172"/>
        <v>-1.1632745534321685</v>
      </c>
      <c r="AH332" s="304">
        <f t="shared" ca="1" si="173"/>
        <v>-0.12784337842288387</v>
      </c>
    </row>
    <row r="333" spans="1:34" x14ac:dyDescent="0.25">
      <c r="A333" s="347">
        <f t="shared" ca="1" si="151"/>
        <v>0.1</v>
      </c>
      <c r="B333" s="304">
        <f t="shared" ca="1" si="152"/>
        <v>20.599999999999994</v>
      </c>
      <c r="D333" s="306">
        <f t="shared" ca="1" si="153"/>
        <v>-0.12633126913270257</v>
      </c>
      <c r="E333" s="307">
        <f t="shared" ca="1" si="154"/>
        <v>-9.815484849250705</v>
      </c>
      <c r="F333" s="304">
        <f t="shared" ca="1" si="155"/>
        <v>9.8162977957797732</v>
      </c>
      <c r="G333" s="306">
        <f t="shared" ca="1" si="156"/>
        <v>15.627057237947941</v>
      </c>
      <c r="H333" s="307">
        <f t="shared" ca="1" si="157"/>
        <v>-0.30252939038204785</v>
      </c>
      <c r="I333" s="304">
        <f t="shared" ca="1" si="158"/>
        <v>15.629985347086736</v>
      </c>
      <c r="J333" s="306">
        <f t="shared" ca="1" si="159"/>
        <v>408.12771466670995</v>
      </c>
      <c r="K333" s="307">
        <f t="shared" ca="1" si="160"/>
        <v>2283.3204399364904</v>
      </c>
      <c r="L333" s="304">
        <f t="shared" ca="1" si="145"/>
        <v>2319.5086684276134</v>
      </c>
      <c r="M333" s="306">
        <f t="shared" ca="1" si="161"/>
        <v>-1.9356914095045159E-2</v>
      </c>
      <c r="N333" s="304">
        <f t="shared" ca="1" si="162"/>
        <v>-1.1090694820433828</v>
      </c>
      <c r="P333" s="310">
        <f t="shared" ca="1" si="163"/>
        <v>23</v>
      </c>
      <c r="Q333" s="304">
        <f t="shared" ca="1" si="164"/>
        <v>0</v>
      </c>
      <c r="R333" s="306">
        <f t="shared" ca="1" si="165"/>
        <v>0</v>
      </c>
      <c r="S333" s="307">
        <f t="shared" ca="1" si="166"/>
        <v>2.0842999999999985</v>
      </c>
      <c r="T333" s="304">
        <f t="shared" ca="1" si="146"/>
        <v>20.446982999999985</v>
      </c>
      <c r="U333" s="311">
        <f t="shared" ca="1" si="147"/>
        <v>0</v>
      </c>
      <c r="V333" s="306">
        <f t="shared" ca="1" si="148"/>
        <v>0.97395415192169865</v>
      </c>
      <c r="W333" s="304">
        <f t="shared" ca="1" si="149"/>
        <v>0.26273756219948652</v>
      </c>
      <c r="Y333" s="314" t="str">
        <f t="shared" ca="1" si="167"/>
        <v/>
      </c>
      <c r="Z333" s="315" t="str">
        <f t="shared" ca="1" si="168"/>
        <v/>
      </c>
      <c r="AA333" s="316" t="str">
        <f t="shared" ca="1" si="169"/>
        <v/>
      </c>
      <c r="AC333" s="310" t="e">
        <f t="shared" ca="1" si="170"/>
        <v>#N/A</v>
      </c>
      <c r="AD333" s="323" t="e">
        <f t="shared" ca="1" si="171"/>
        <v>#N/A</v>
      </c>
      <c r="AE333" s="324">
        <f t="shared" ca="1" si="150"/>
        <v>2283.3204399364904</v>
      </c>
      <c r="AG333" s="306">
        <f t="shared" ca="1" si="172"/>
        <v>-0.55196433471289286</v>
      </c>
      <c r="AH333" s="304">
        <f t="shared" ca="1" si="173"/>
        <v>-0.12645027928787772</v>
      </c>
    </row>
    <row r="334" spans="1:34" x14ac:dyDescent="0.25">
      <c r="A334" s="347">
        <f t="shared" ca="1" si="151"/>
        <v>0.1</v>
      </c>
      <c r="B334" s="304">
        <f t="shared" ca="1" si="152"/>
        <v>20.699999999999996</v>
      </c>
      <c r="D334" s="306">
        <f t="shared" ca="1" si="153"/>
        <v>-0.12603192493960388</v>
      </c>
      <c r="E334" s="307">
        <f t="shared" ca="1" si="154"/>
        <v>-9.8075601061133852</v>
      </c>
      <c r="F334" s="304">
        <f t="shared" ca="1" si="155"/>
        <v>9.8083698584999723</v>
      </c>
      <c r="G334" s="306">
        <f t="shared" ca="1" si="156"/>
        <v>15.61445404545398</v>
      </c>
      <c r="H334" s="307">
        <f t="shared" ca="1" si="157"/>
        <v>-1.2832854009933863</v>
      </c>
      <c r="I334" s="304">
        <f t="shared" ca="1" si="158"/>
        <v>15.667099174958871</v>
      </c>
      <c r="J334" s="306">
        <f t="shared" ca="1" si="159"/>
        <v>409.68979023088002</v>
      </c>
      <c r="K334" s="307">
        <f t="shared" ca="1" si="160"/>
        <v>2283.2411491969215</v>
      </c>
      <c r="L334" s="304">
        <f t="shared" ca="1" si="145"/>
        <v>2319.7059877504953</v>
      </c>
      <c r="M334" s="306">
        <f t="shared" ca="1" si="161"/>
        <v>-8.2001441455739454E-2</v>
      </c>
      <c r="N334" s="304">
        <f t="shared" ca="1" si="162"/>
        <v>-4.6983365094029761</v>
      </c>
      <c r="P334" s="310">
        <f t="shared" ca="1" si="163"/>
        <v>23</v>
      </c>
      <c r="Q334" s="304">
        <f t="shared" ca="1" si="164"/>
        <v>0</v>
      </c>
      <c r="R334" s="306">
        <f t="shared" ca="1" si="165"/>
        <v>0</v>
      </c>
      <c r="S334" s="307">
        <f t="shared" ca="1" si="166"/>
        <v>2.0842999999999985</v>
      </c>
      <c r="T334" s="304">
        <f t="shared" ca="1" si="146"/>
        <v>20.446982999999985</v>
      </c>
      <c r="U334" s="311">
        <f t="shared" ca="1" si="147"/>
        <v>0</v>
      </c>
      <c r="V334" s="306">
        <f t="shared" ca="1" si="148"/>
        <v>0.97396197648814387</v>
      </c>
      <c r="W334" s="304">
        <f t="shared" ca="1" si="149"/>
        <v>0.26398891949543923</v>
      </c>
      <c r="Y334" s="314" t="str">
        <f t="shared" ca="1" si="167"/>
        <v/>
      </c>
      <c r="Z334" s="315" t="str">
        <f t="shared" ca="1" si="168"/>
        <v/>
      </c>
      <c r="AA334" s="316" t="str">
        <f t="shared" ca="1" si="169"/>
        <v/>
      </c>
      <c r="AC334" s="310" t="e">
        <f t="shared" ca="1" si="170"/>
        <v>#N/A</v>
      </c>
      <c r="AD334" s="323" t="e">
        <f t="shared" ca="1" si="171"/>
        <v>#N/A</v>
      </c>
      <c r="AE334" s="324">
        <f t="shared" ca="1" si="150"/>
        <v>2283.2411491969215</v>
      </c>
      <c r="AG334" s="306">
        <f t="shared" ca="1" si="172"/>
        <v>6.3823929008593877E-2</v>
      </c>
      <c r="AH334" s="304">
        <f t="shared" ca="1" si="173"/>
        <v>-0.1260555400851541</v>
      </c>
    </row>
    <row r="335" spans="1:34" x14ac:dyDescent="0.25">
      <c r="A335" s="347">
        <f t="shared" ca="1" si="151"/>
        <v>0.1</v>
      </c>
      <c r="B335" s="304">
        <f t="shared" ca="1" si="152"/>
        <v>20.799999999999997</v>
      </c>
      <c r="D335" s="306">
        <f t="shared" ca="1" si="153"/>
        <v>-0.12623031942669771</v>
      </c>
      <c r="E335" s="307">
        <f t="shared" ca="1" si="154"/>
        <v>-9.799625668267911</v>
      </c>
      <c r="F335" s="304">
        <f t="shared" ca="1" si="155"/>
        <v>9.8004386295572434</v>
      </c>
      <c r="G335" s="306">
        <f t="shared" ca="1" si="156"/>
        <v>15.60183101351131</v>
      </c>
      <c r="H335" s="307">
        <f t="shared" ca="1" si="157"/>
        <v>-2.2632479678201776</v>
      </c>
      <c r="I335" s="304">
        <f t="shared" ca="1" si="158"/>
        <v>15.765133121480627</v>
      </c>
      <c r="J335" s="306">
        <f t="shared" ca="1" si="159"/>
        <v>411.25060448382828</v>
      </c>
      <c r="K335" s="307">
        <f t="shared" ca="1" si="160"/>
        <v>2283.0638225284806</v>
      </c>
      <c r="L335" s="304">
        <f t="shared" ca="1" si="145"/>
        <v>2319.8076380223147</v>
      </c>
      <c r="M335" s="306">
        <f t="shared" ca="1" si="161"/>
        <v>-0.14405809595486599</v>
      </c>
      <c r="N335" s="304">
        <f t="shared" ca="1" si="162"/>
        <v>-8.2539209029044578</v>
      </c>
      <c r="P335" s="310">
        <f t="shared" ca="1" si="163"/>
        <v>23</v>
      </c>
      <c r="Q335" s="304">
        <f t="shared" ca="1" si="164"/>
        <v>0</v>
      </c>
      <c r="R335" s="306">
        <f t="shared" ca="1" si="165"/>
        <v>0</v>
      </c>
      <c r="S335" s="307">
        <f t="shared" ca="1" si="166"/>
        <v>2.0842999999999985</v>
      </c>
      <c r="T335" s="304">
        <f t="shared" ca="1" si="146"/>
        <v>20.446982999999985</v>
      </c>
      <c r="U335" s="311">
        <f t="shared" ca="1" si="147"/>
        <v>0</v>
      </c>
      <c r="V335" s="306">
        <f t="shared" ca="1" si="148"/>
        <v>0.97397947563477927</v>
      </c>
      <c r="W335" s="304">
        <f t="shared" ca="1" si="149"/>
        <v>0.26730778103702008</v>
      </c>
      <c r="Y335" s="314" t="str">
        <f t="shared" ca="1" si="167"/>
        <v/>
      </c>
      <c r="Z335" s="315" t="str">
        <f t="shared" ca="1" si="168"/>
        <v/>
      </c>
      <c r="AA335" s="316" t="str">
        <f t="shared" ca="1" si="169"/>
        <v/>
      </c>
      <c r="AC335" s="310" t="e">
        <f t="shared" ca="1" si="170"/>
        <v>#N/A</v>
      </c>
      <c r="AD335" s="323" t="e">
        <f t="shared" ca="1" si="171"/>
        <v>#N/A</v>
      </c>
      <c r="AE335" s="324">
        <f t="shared" ca="1" si="150"/>
        <v>2283.0638225284806</v>
      </c>
      <c r="AG335" s="306">
        <f t="shared" ca="1" si="172"/>
        <v>0.67687699650276556</v>
      </c>
      <c r="AH335" s="304">
        <f t="shared" ca="1" si="173"/>
        <v>-0.12665591301417234</v>
      </c>
    </row>
    <row r="336" spans="1:34" x14ac:dyDescent="0.25">
      <c r="A336" s="347">
        <f t="shared" ca="1" si="151"/>
        <v>0.1</v>
      </c>
      <c r="B336" s="304">
        <f t="shared" ca="1" si="152"/>
        <v>20.9</v>
      </c>
      <c r="D336" s="306">
        <f t="shared" ca="1" si="153"/>
        <v>-0.1269197767791202</v>
      </c>
      <c r="E336" s="307">
        <f t="shared" ca="1" si="154"/>
        <v>-9.7915886400370074</v>
      </c>
      <c r="F336" s="304">
        <f t="shared" ca="1" si="155"/>
        <v>9.7924111803702072</v>
      </c>
      <c r="G336" s="306">
        <f t="shared" ca="1" si="156"/>
        <v>15.589139035833398</v>
      </c>
      <c r="H336" s="307">
        <f t="shared" ca="1" si="157"/>
        <v>-3.2424068318238781</v>
      </c>
      <c r="I336" s="304">
        <f t="shared" ca="1" si="158"/>
        <v>15.922765398686336</v>
      </c>
      <c r="J336" s="306">
        <f t="shared" ca="1" si="159"/>
        <v>412.81015298629552</v>
      </c>
      <c r="K336" s="307">
        <f t="shared" ca="1" si="160"/>
        <v>2282.7885397884984</v>
      </c>
      <c r="L336" s="304">
        <f t="shared" ca="1" si="145"/>
        <v>2319.8137295477568</v>
      </c>
      <c r="M336" s="306">
        <f t="shared" ca="1" si="161"/>
        <v>-0.20506765571600097</v>
      </c>
      <c r="N336" s="304">
        <f t="shared" ca="1" si="162"/>
        <v>-11.749511187168668</v>
      </c>
      <c r="P336" s="310">
        <f t="shared" ca="1" si="163"/>
        <v>23</v>
      </c>
      <c r="Q336" s="304">
        <f t="shared" ca="1" si="164"/>
        <v>0</v>
      </c>
      <c r="R336" s="306">
        <f t="shared" ca="1" si="165"/>
        <v>0</v>
      </c>
      <c r="S336" s="307">
        <f t="shared" ca="1" si="166"/>
        <v>2.0842999999999985</v>
      </c>
      <c r="T336" s="304">
        <f t="shared" ca="1" si="146"/>
        <v>20.446982999999985</v>
      </c>
      <c r="U336" s="311">
        <f t="shared" ca="1" si="147"/>
        <v>0</v>
      </c>
      <c r="V336" s="306">
        <f t="shared" ca="1" si="148"/>
        <v>0.97400664194271891</v>
      </c>
      <c r="W336" s="304">
        <f t="shared" ca="1" si="149"/>
        <v>0.27268762044054673</v>
      </c>
      <c r="Y336" s="314" t="str">
        <f t="shared" ca="1" si="167"/>
        <v/>
      </c>
      <c r="Z336" s="315" t="str">
        <f t="shared" ca="1" si="168"/>
        <v/>
      </c>
      <c r="AA336" s="316" t="str">
        <f t="shared" ca="1" si="169"/>
        <v/>
      </c>
      <c r="AC336" s="310" t="e">
        <f t="shared" ca="1" si="170"/>
        <v>#N/A</v>
      </c>
      <c r="AD336" s="323" t="e">
        <f t="shared" ca="1" si="171"/>
        <v>#N/A</v>
      </c>
      <c r="AE336" s="324">
        <f t="shared" ca="1" si="150"/>
        <v>2282.7885397884984</v>
      </c>
      <c r="AG336" s="306">
        <f t="shared" ca="1" si="172"/>
        <v>1.280078767886685</v>
      </c>
      <c r="AH336" s="304">
        <f t="shared" ca="1" si="173"/>
        <v>-0.1282482277201076</v>
      </c>
    </row>
    <row r="337" spans="1:34" x14ac:dyDescent="0.25">
      <c r="A337" s="347">
        <f t="shared" ca="1" si="151"/>
        <v>0.1</v>
      </c>
      <c r="B337" s="304">
        <f t="shared" ca="1" si="152"/>
        <v>21</v>
      </c>
      <c r="D337" s="306">
        <f t="shared" ca="1" si="153"/>
        <v>-0.12808811300602363</v>
      </c>
      <c r="E337" s="307">
        <f t="shared" ca="1" si="154"/>
        <v>-9.7833587742253432</v>
      </c>
      <c r="F337" s="304">
        <f t="shared" ca="1" si="155"/>
        <v>9.7841972317561883</v>
      </c>
      <c r="G337" s="306">
        <f t="shared" ca="1" si="156"/>
        <v>15.576330224532796</v>
      </c>
      <c r="H337" s="307">
        <f t="shared" ca="1" si="157"/>
        <v>-4.2207427092464123</v>
      </c>
      <c r="I337" s="304">
        <f t="shared" ca="1" si="158"/>
        <v>16.138052307554052</v>
      </c>
      <c r="J337" s="306">
        <f t="shared" ca="1" si="159"/>
        <v>414.3684264493138</v>
      </c>
      <c r="K337" s="307">
        <f t="shared" ca="1" si="160"/>
        <v>2282.4153823114448</v>
      </c>
      <c r="L337" s="304">
        <f t="shared" ca="1" si="145"/>
        <v>2319.7243737672757</v>
      </c>
      <c r="M337" s="306">
        <f t="shared" ca="1" si="161"/>
        <v>-0.264617171096449</v>
      </c>
      <c r="N337" s="304">
        <f t="shared" ca="1" si="162"/>
        <v>-15.161447090517722</v>
      </c>
      <c r="P337" s="310">
        <f t="shared" ca="1" si="163"/>
        <v>23</v>
      </c>
      <c r="Q337" s="304">
        <f t="shared" ca="1" si="164"/>
        <v>0</v>
      </c>
      <c r="R337" s="306">
        <f t="shared" ca="1" si="165"/>
        <v>0</v>
      </c>
      <c r="S337" s="307">
        <f t="shared" ca="1" si="166"/>
        <v>2.0842999999999985</v>
      </c>
      <c r="T337" s="304">
        <f t="shared" ca="1" si="146"/>
        <v>20.446982999999985</v>
      </c>
      <c r="U337" s="311">
        <f t="shared" ca="1" si="147"/>
        <v>0</v>
      </c>
      <c r="V337" s="306">
        <f t="shared" ca="1" si="148"/>
        <v>0.97404346810166276</v>
      </c>
      <c r="W337" s="304">
        <f t="shared" ca="1" si="149"/>
        <v>0.28012191513621443</v>
      </c>
      <c r="Y337" s="314" t="str">
        <f t="shared" ca="1" si="167"/>
        <v/>
      </c>
      <c r="Z337" s="315" t="str">
        <f t="shared" ca="1" si="168"/>
        <v>Para</v>
      </c>
      <c r="AA337" s="316" t="str">
        <f t="shared" ca="1" si="169"/>
        <v/>
      </c>
      <c r="AC337" s="310">
        <f t="shared" ca="1" si="170"/>
        <v>21</v>
      </c>
      <c r="AD337" s="323">
        <f t="shared" ca="1" si="171"/>
        <v>414.3684264493138</v>
      </c>
      <c r="AE337" s="324" t="e">
        <f t="shared" ca="1" si="150"/>
        <v>#N/A</v>
      </c>
      <c r="AG337" s="306">
        <f t="shared" ca="1" si="172"/>
        <v>1.8668142863987849</v>
      </c>
      <c r="AH337" s="304">
        <f t="shared" ca="1" si="173"/>
        <v>-0.13082935299167439</v>
      </c>
    </row>
    <row r="338" spans="1:34" x14ac:dyDescent="0.25">
      <c r="A338" s="347">
        <f t="shared" ca="1" si="151"/>
        <v>0.1</v>
      </c>
      <c r="B338" s="304">
        <f t="shared" ca="1" si="152"/>
        <v>21.1</v>
      </c>
      <c r="D338" s="306">
        <f t="shared" ca="1" si="153"/>
        <v>-0.12971819154915981</v>
      </c>
      <c r="E338" s="307">
        <f t="shared" ca="1" si="154"/>
        <v>-9.7748500575331008</v>
      </c>
      <c r="F338" s="304">
        <f t="shared" ca="1" si="155"/>
        <v>9.7757107391981304</v>
      </c>
      <c r="G338" s="306">
        <f t="shared" ca="1" si="156"/>
        <v>15.56335840537788</v>
      </c>
      <c r="H338" s="307">
        <f t="shared" ca="1" si="157"/>
        <v>-5.1982277149997227</v>
      </c>
      <c r="I338" s="304">
        <f t="shared" ca="1" si="158"/>
        <v>16.408525108346499</v>
      </c>
      <c r="J338" s="306">
        <f t="shared" ca="1" si="159"/>
        <v>415.92541088080935</v>
      </c>
      <c r="K338" s="307">
        <f t="shared" ca="1" si="160"/>
        <v>2281.9444337902323</v>
      </c>
      <c r="L338" s="304">
        <f t="shared" ca="1" si="145"/>
        <v>2319.5396841448078</v>
      </c>
      <c r="M338" s="306">
        <f t="shared" ca="1" si="161"/>
        <v>-0.32235424991270961</v>
      </c>
      <c r="N338" s="304">
        <f t="shared" ca="1" si="162"/>
        <v>-18.469538028103646</v>
      </c>
      <c r="P338" s="310">
        <f t="shared" ca="1" si="163"/>
        <v>23</v>
      </c>
      <c r="Q338" s="304">
        <f t="shared" ca="1" si="164"/>
        <v>0</v>
      </c>
      <c r="R338" s="306">
        <f t="shared" ca="1" si="165"/>
        <v>0</v>
      </c>
      <c r="S338" s="307">
        <f t="shared" ca="1" si="166"/>
        <v>2.0842999999999985</v>
      </c>
      <c r="T338" s="304">
        <f t="shared" ca="1" si="146"/>
        <v>20.446982999999985</v>
      </c>
      <c r="U338" s="311">
        <f t="shared" ca="1" si="147"/>
        <v>0</v>
      </c>
      <c r="V338" s="306">
        <f t="shared" ca="1" si="148"/>
        <v>0.97408994682224603</v>
      </c>
      <c r="W338" s="304">
        <f t="shared" ca="1" si="149"/>
        <v>0.28960407202884103</v>
      </c>
      <c r="Y338" s="314" t="str">
        <f t="shared" ca="1" si="167"/>
        <v/>
      </c>
      <c r="Z338" s="315" t="str">
        <f t="shared" ca="1" si="168"/>
        <v/>
      </c>
      <c r="AA338" s="316" t="str">
        <f t="shared" ca="1" si="169"/>
        <v/>
      </c>
      <c r="AC338" s="310" t="e">
        <f t="shared" ca="1" si="170"/>
        <v>#N/A</v>
      </c>
      <c r="AD338" s="323" t="e">
        <f t="shared" ca="1" si="171"/>
        <v>#N/A</v>
      </c>
      <c r="AE338" s="324" t="e">
        <f t="shared" ca="1" si="150"/>
        <v>#N/A</v>
      </c>
      <c r="AG338" s="306">
        <f t="shared" ca="1" si="172"/>
        <v>2.431309118278453</v>
      </c>
      <c r="AH338" s="304">
        <f t="shared" ca="1" si="173"/>
        <v>-0.13439615944739944</v>
      </c>
    </row>
    <row r="339" spans="1:34" x14ac:dyDescent="0.25">
      <c r="A339" s="347">
        <f t="shared" ca="1" si="151"/>
        <v>0.1</v>
      </c>
      <c r="B339" s="304">
        <f t="shared" ca="1" si="152"/>
        <v>21.200000000000003</v>
      </c>
      <c r="D339" s="306">
        <f t="shared" ca="1" si="153"/>
        <v>-0.13178871044095453</v>
      </c>
      <c r="E339" s="307">
        <f t="shared" ca="1" si="154"/>
        <v>-9.7659820117680063</v>
      </c>
      <c r="F339" s="304">
        <f t="shared" ca="1" si="155"/>
        <v>9.7668711939072868</v>
      </c>
      <c r="G339" s="306">
        <f t="shared" ca="1" si="156"/>
        <v>15.550179534333784</v>
      </c>
      <c r="H339" s="307">
        <f t="shared" ca="1" si="157"/>
        <v>-6.1748259161765233</v>
      </c>
      <c r="I339" s="304">
        <f t="shared" ca="1" si="158"/>
        <v>16.731304750230883</v>
      </c>
      <c r="J339" s="306">
        <f t="shared" ca="1" si="159"/>
        <v>417.48108777779493</v>
      </c>
      <c r="K339" s="307">
        <f t="shared" ca="1" si="160"/>
        <v>2281.3757811086734</v>
      </c>
      <c r="L339" s="304">
        <f t="shared" ca="1" si="145"/>
        <v>2319.2597770153607</v>
      </c>
      <c r="M339" s="306">
        <f t="shared" ca="1" si="161"/>
        <v>-0.37799552658349928</v>
      </c>
      <c r="N339" s="304">
        <f t="shared" ca="1" si="162"/>
        <v>-21.657548348059624</v>
      </c>
      <c r="P339" s="310">
        <f t="shared" ca="1" si="163"/>
        <v>23</v>
      </c>
      <c r="Q339" s="304">
        <f t="shared" ca="1" si="164"/>
        <v>0</v>
      </c>
      <c r="R339" s="306">
        <f t="shared" ca="1" si="165"/>
        <v>0</v>
      </c>
      <c r="S339" s="307">
        <f t="shared" ca="1" si="166"/>
        <v>2.0842999999999985</v>
      </c>
      <c r="T339" s="304">
        <f t="shared" ca="1" si="146"/>
        <v>20.446982999999985</v>
      </c>
      <c r="U339" s="311">
        <f t="shared" ca="1" si="147"/>
        <v>0</v>
      </c>
      <c r="V339" s="306">
        <f t="shared" ca="1" si="148"/>
        <v>0.97414607075317083</v>
      </c>
      <c r="W339" s="304">
        <f t="shared" ca="1" si="149"/>
        <v>0.30112735776038263</v>
      </c>
      <c r="Y339" s="314" t="str">
        <f t="shared" ca="1" si="167"/>
        <v/>
      </c>
      <c r="Z339" s="315" t="str">
        <f t="shared" ca="1" si="168"/>
        <v/>
      </c>
      <c r="AA339" s="316" t="str">
        <f t="shared" ca="1" si="169"/>
        <v/>
      </c>
      <c r="AC339" s="310" t="e">
        <f t="shared" ca="1" si="170"/>
        <v>#N/A</v>
      </c>
      <c r="AD339" s="323" t="e">
        <f t="shared" ca="1" si="171"/>
        <v>#N/A</v>
      </c>
      <c r="AE339" s="324" t="e">
        <f t="shared" ca="1" si="150"/>
        <v>#N/A</v>
      </c>
      <c r="AG339" s="306">
        <f t="shared" ca="1" si="172"/>
        <v>2.9688666776398085</v>
      </c>
      <c r="AH339" s="304">
        <f t="shared" ca="1" si="173"/>
        <v>-0.13894548386932842</v>
      </c>
    </row>
    <row r="340" spans="1:34" x14ac:dyDescent="0.25">
      <c r="A340" s="347">
        <f t="shared" ca="1" si="151"/>
        <v>0.1</v>
      </c>
      <c r="B340" s="304">
        <f t="shared" ca="1" si="152"/>
        <v>21.300000000000004</v>
      </c>
      <c r="D340" s="306">
        <f t="shared" ca="1" si="153"/>
        <v>-0.13427513038739003</v>
      </c>
      <c r="E340" s="307">
        <f t="shared" ca="1" si="154"/>
        <v>-9.7566806442212854</v>
      </c>
      <c r="F340" s="304">
        <f t="shared" ca="1" si="155"/>
        <v>9.7576045730477752</v>
      </c>
      <c r="G340" s="306">
        <f t="shared" ca="1" si="156"/>
        <v>15.536752021295046</v>
      </c>
      <c r="H340" s="307">
        <f t="shared" ca="1" si="157"/>
        <v>-7.150493980598652</v>
      </c>
      <c r="I340" s="304">
        <f t="shared" ca="1" si="158"/>
        <v>17.103222723738156</v>
      </c>
      <c r="J340" s="306">
        <f t="shared" ca="1" si="159"/>
        <v>419.03543435557634</v>
      </c>
      <c r="K340" s="307">
        <f t="shared" ca="1" si="160"/>
        <v>2280.7095151138346</v>
      </c>
      <c r="L340" s="304">
        <f t="shared" ca="1" si="145"/>
        <v>2318.8847723801086</v>
      </c>
      <c r="M340" s="306">
        <f t="shared" ca="1" si="161"/>
        <v>-0.43132933111046307</v>
      </c>
      <c r="N340" s="304">
        <f t="shared" ca="1" si="162"/>
        <v>-24.71335025283037</v>
      </c>
      <c r="P340" s="310">
        <f t="shared" ca="1" si="163"/>
        <v>23</v>
      </c>
      <c r="Q340" s="304">
        <f t="shared" ca="1" si="164"/>
        <v>0</v>
      </c>
      <c r="R340" s="306">
        <f t="shared" ca="1" si="165"/>
        <v>0</v>
      </c>
      <c r="S340" s="307">
        <f t="shared" ca="1" si="166"/>
        <v>2.0842999999999985</v>
      </c>
      <c r="T340" s="304">
        <f t="shared" ca="1" si="146"/>
        <v>20.446982999999985</v>
      </c>
      <c r="U340" s="311">
        <f t="shared" ca="1" si="147"/>
        <v>0</v>
      </c>
      <c r="V340" s="306">
        <f t="shared" ca="1" si="148"/>
        <v>0.97421183240423637</v>
      </c>
      <c r="W340" s="304">
        <f t="shared" ca="1" si="149"/>
        <v>0.31468483446677498</v>
      </c>
      <c r="Y340" s="314" t="str">
        <f t="shared" ca="1" si="167"/>
        <v/>
      </c>
      <c r="Z340" s="315" t="str">
        <f t="shared" ca="1" si="168"/>
        <v/>
      </c>
      <c r="AA340" s="316" t="str">
        <f t="shared" ca="1" si="169"/>
        <v/>
      </c>
      <c r="AC340" s="310" t="e">
        <f t="shared" ca="1" si="170"/>
        <v>#N/A</v>
      </c>
      <c r="AD340" s="323" t="e">
        <f t="shared" ca="1" si="171"/>
        <v>#N/A</v>
      </c>
      <c r="AE340" s="324" t="e">
        <f t="shared" ca="1" si="150"/>
        <v>#N/A</v>
      </c>
      <c r="AG340" s="306">
        <f t="shared" ca="1" si="172"/>
        <v>3.4759872575073927</v>
      </c>
      <c r="AH340" s="304">
        <f t="shared" ca="1" si="173"/>
        <v>-0.1444740957445583</v>
      </c>
    </row>
    <row r="341" spans="1:34" x14ac:dyDescent="0.25">
      <c r="A341" s="347">
        <f t="shared" ca="1" si="151"/>
        <v>0.1</v>
      </c>
      <c r="B341" s="304">
        <f t="shared" ca="1" si="152"/>
        <v>21.400000000000006</v>
      </c>
      <c r="D341" s="306">
        <f t="shared" ca="1" si="153"/>
        <v>-0.13715064926168863</v>
      </c>
      <c r="E341" s="307">
        <f t="shared" ca="1" si="154"/>
        <v>-9.7468790278279052</v>
      </c>
      <c r="F341" s="304">
        <f t="shared" ca="1" si="155"/>
        <v>9.7478439197447315</v>
      </c>
      <c r="G341" s="306">
        <f t="shared" ca="1" si="156"/>
        <v>15.523036956368877</v>
      </c>
      <c r="H341" s="307">
        <f t="shared" ca="1" si="157"/>
        <v>-8.1251818833814422</v>
      </c>
      <c r="I341" s="304">
        <f t="shared" ca="1" si="158"/>
        <v>17.52093767430339</v>
      </c>
      <c r="J341" s="306">
        <f t="shared" ca="1" si="159"/>
        <v>420.58842380445952</v>
      </c>
      <c r="K341" s="307">
        <f t="shared" ca="1" si="160"/>
        <v>2279.9457313206358</v>
      </c>
      <c r="L341" s="304">
        <f t="shared" ca="1" si="145"/>
        <v>2318.414794639973</v>
      </c>
      <c r="M341" s="306">
        <f t="shared" ca="1" si="161"/>
        <v>-0.48221334622550432</v>
      </c>
      <c r="N341" s="304">
        <f t="shared" ca="1" si="162"/>
        <v>-27.628789563602123</v>
      </c>
      <c r="P341" s="310">
        <f t="shared" ca="1" si="163"/>
        <v>23</v>
      </c>
      <c r="Q341" s="304">
        <f t="shared" ca="1" si="164"/>
        <v>0</v>
      </c>
      <c r="R341" s="306">
        <f t="shared" ca="1" si="165"/>
        <v>0</v>
      </c>
      <c r="S341" s="307">
        <f t="shared" ca="1" si="166"/>
        <v>2.0842999999999985</v>
      </c>
      <c r="T341" s="304">
        <f t="shared" ca="1" si="146"/>
        <v>20.446982999999985</v>
      </c>
      <c r="U341" s="311">
        <f t="shared" ca="1" si="147"/>
        <v>0</v>
      </c>
      <c r="V341" s="306">
        <f t="shared" ca="1" si="148"/>
        <v>0.97428722407599611</v>
      </c>
      <c r="W341" s="304">
        <f t="shared" ca="1" si="149"/>
        <v>0.33026930161514584</v>
      </c>
      <c r="Y341" s="314" t="str">
        <f t="shared" ca="1" si="167"/>
        <v/>
      </c>
      <c r="Z341" s="315" t="str">
        <f t="shared" ca="1" si="168"/>
        <v/>
      </c>
      <c r="AA341" s="316" t="str">
        <f t="shared" ca="1" si="169"/>
        <v/>
      </c>
      <c r="AC341" s="310" t="e">
        <f t="shared" ca="1" si="170"/>
        <v>#N/A</v>
      </c>
      <c r="AD341" s="323" t="e">
        <f t="shared" ca="1" si="171"/>
        <v>#N/A</v>
      </c>
      <c r="AE341" s="324" t="e">
        <f t="shared" ca="1" si="150"/>
        <v>#N/A</v>
      </c>
      <c r="AG341" s="306">
        <f t="shared" ca="1" si="172"/>
        <v>3.9503738729422975</v>
      </c>
      <c r="AH341" s="304">
        <f t="shared" ca="1" si="173"/>
        <v>-0.15097866644282262</v>
      </c>
    </row>
    <row r="342" spans="1:34" x14ac:dyDescent="0.25">
      <c r="A342" s="347">
        <f t="shared" ca="1" si="151"/>
        <v>0.1</v>
      </c>
      <c r="B342" s="304">
        <f t="shared" ca="1" si="152"/>
        <v>21.500000000000007</v>
      </c>
      <c r="D342" s="306">
        <f t="shared" ca="1" si="153"/>
        <v>-0.14038713989215518</v>
      </c>
      <c r="E342" s="307">
        <f t="shared" ca="1" si="154"/>
        <v>-9.7365175333333553</v>
      </c>
      <c r="F342" s="304">
        <f t="shared" ca="1" si="155"/>
        <v>9.7375295751003978</v>
      </c>
      <c r="G342" s="306">
        <f t="shared" ca="1" si="156"/>
        <v>15.508998242379661</v>
      </c>
      <c r="H342" s="307">
        <f t="shared" ca="1" si="157"/>
        <v>-9.0988336367147777</v>
      </c>
      <c r="I342" s="304">
        <f t="shared" ca="1" si="158"/>
        <v>17.981040015270189</v>
      </c>
      <c r="J342" s="306">
        <f t="shared" ca="1" si="159"/>
        <v>422.14002556439698</v>
      </c>
      <c r="K342" s="307">
        <f t="shared" ca="1" si="160"/>
        <v>2279.084530544631</v>
      </c>
      <c r="L342" s="304">
        <f t="shared" ca="1" si="145"/>
        <v>2317.8499732621503</v>
      </c>
      <c r="M342" s="306">
        <f t="shared" ca="1" si="161"/>
        <v>-0.53056850413139134</v>
      </c>
      <c r="N342" s="304">
        <f t="shared" ca="1" si="162"/>
        <v>-30.399336029298105</v>
      </c>
      <c r="P342" s="310">
        <f t="shared" ca="1" si="163"/>
        <v>23</v>
      </c>
      <c r="Q342" s="304">
        <f t="shared" ca="1" si="164"/>
        <v>0</v>
      </c>
      <c r="R342" s="306">
        <f t="shared" ca="1" si="165"/>
        <v>0</v>
      </c>
      <c r="S342" s="307">
        <f t="shared" ca="1" si="166"/>
        <v>2.0842999999999985</v>
      </c>
      <c r="T342" s="304">
        <f t="shared" ca="1" si="146"/>
        <v>20.446982999999985</v>
      </c>
      <c r="U342" s="311">
        <f t="shared" ca="1" si="147"/>
        <v>0</v>
      </c>
      <c r="V342" s="306">
        <f t="shared" ca="1" si="148"/>
        <v>0.97437223779644033</v>
      </c>
      <c r="W342" s="304">
        <f t="shared" ca="1" si="149"/>
        <v>0.34787324420709903</v>
      </c>
      <c r="Y342" s="314" t="str">
        <f t="shared" ca="1" si="167"/>
        <v/>
      </c>
      <c r="Z342" s="315" t="str">
        <f t="shared" ca="1" si="168"/>
        <v/>
      </c>
      <c r="AA342" s="316" t="str">
        <f t="shared" ca="1" si="169"/>
        <v/>
      </c>
      <c r="AC342" s="310" t="e">
        <f t="shared" ca="1" si="170"/>
        <v>#N/A</v>
      </c>
      <c r="AD342" s="323" t="e">
        <f t="shared" ca="1" si="171"/>
        <v>#N/A</v>
      </c>
      <c r="AE342" s="324" t="e">
        <f t="shared" ca="1" si="150"/>
        <v>#N/A</v>
      </c>
      <c r="AG342" s="306">
        <f t="shared" ca="1" si="172"/>
        <v>4.3908461144263384</v>
      </c>
      <c r="AH342" s="304">
        <f t="shared" ca="1" si="173"/>
        <v>-0.15845574131130166</v>
      </c>
    </row>
    <row r="343" spans="1:34" x14ac:dyDescent="0.25">
      <c r="A343" s="347">
        <f t="shared" ca="1" si="151"/>
        <v>0.1</v>
      </c>
      <c r="B343" s="304">
        <f t="shared" ca="1" si="152"/>
        <v>21.600000000000009</v>
      </c>
      <c r="D343" s="306">
        <f t="shared" ca="1" si="153"/>
        <v>-0.14395598917821975</v>
      </c>
      <c r="E343" s="307">
        <f t="shared" ca="1" si="154"/>
        <v>-9.7255437652341659</v>
      </c>
      <c r="F343" s="304">
        <f t="shared" ca="1" si="155"/>
        <v>9.7266091139875375</v>
      </c>
      <c r="G343" s="306">
        <f t="shared" ca="1" si="156"/>
        <v>15.494602643461839</v>
      </c>
      <c r="H343" s="307">
        <f t="shared" ca="1" si="157"/>
        <v>-10.071388013238195</v>
      </c>
      <c r="I343" s="304">
        <f t="shared" ca="1" si="158"/>
        <v>18.480139815271222</v>
      </c>
      <c r="J343" s="306">
        <f t="shared" ca="1" si="159"/>
        <v>423.69020560868904</v>
      </c>
      <c r="K343" s="307">
        <f t="shared" ca="1" si="160"/>
        <v>2278.1260194621332</v>
      </c>
      <c r="L343" s="304">
        <f t="shared" ca="1" si="145"/>
        <v>2317.1904433773061</v>
      </c>
      <c r="M343" s="306">
        <f t="shared" ca="1" si="161"/>
        <v>-0.57637051549662488</v>
      </c>
      <c r="N343" s="304">
        <f t="shared" ca="1" si="162"/>
        <v>-33.023597973736216</v>
      </c>
      <c r="P343" s="310">
        <f t="shared" ca="1" si="163"/>
        <v>23</v>
      </c>
      <c r="Q343" s="304">
        <f t="shared" ca="1" si="164"/>
        <v>0</v>
      </c>
      <c r="R343" s="306">
        <f t="shared" ca="1" si="165"/>
        <v>0</v>
      </c>
      <c r="S343" s="307">
        <f t="shared" ca="1" si="166"/>
        <v>2.0842999999999985</v>
      </c>
      <c r="T343" s="304">
        <f t="shared" ca="1" si="146"/>
        <v>20.446982999999985</v>
      </c>
      <c r="U343" s="311">
        <f t="shared" ca="1" si="147"/>
        <v>0</v>
      </c>
      <c r="V343" s="306">
        <f t="shared" ca="1" si="148"/>
        <v>0.97446686526477533</v>
      </c>
      <c r="W343" s="304">
        <f t="shared" ca="1" si="149"/>
        <v>0.36748878736841001</v>
      </c>
      <c r="Y343" s="314" t="str">
        <f t="shared" ca="1" si="167"/>
        <v/>
      </c>
      <c r="Z343" s="315" t="str">
        <f t="shared" ca="1" si="168"/>
        <v/>
      </c>
      <c r="AA343" s="316" t="str">
        <f t="shared" ca="1" si="169"/>
        <v/>
      </c>
      <c r="AC343" s="310" t="e">
        <f t="shared" ca="1" si="170"/>
        <v>#N/A</v>
      </c>
      <c r="AD343" s="323" t="e">
        <f t="shared" ca="1" si="171"/>
        <v>#N/A</v>
      </c>
      <c r="AE343" s="324" t="e">
        <f t="shared" ca="1" si="150"/>
        <v>#N/A</v>
      </c>
      <c r="AG343" s="306">
        <f t="shared" ca="1" si="172"/>
        <v>4.7971914577830477</v>
      </c>
      <c r="AH343" s="304">
        <f t="shared" ca="1" si="173"/>
        <v>-0.16690171482372945</v>
      </c>
    </row>
    <row r="344" spans="1:34" x14ac:dyDescent="0.25">
      <c r="A344" s="347">
        <f t="shared" ca="1" si="151"/>
        <v>0.1</v>
      </c>
      <c r="B344" s="304">
        <f t="shared" ca="1" si="152"/>
        <v>21.70000000000001</v>
      </c>
      <c r="D344" s="306">
        <f t="shared" ca="1" si="153"/>
        <v>-0.1478288011084905</v>
      </c>
      <c r="E344" s="307">
        <f t="shared" ca="1" si="154"/>
        <v>-9.7139122686941803</v>
      </c>
      <c r="F344" s="304">
        <f t="shared" ca="1" si="155"/>
        <v>9.7150370518245825</v>
      </c>
      <c r="G344" s="306">
        <f t="shared" ca="1" si="156"/>
        <v>15.47981976335099</v>
      </c>
      <c r="H344" s="307">
        <f t="shared" ca="1" si="157"/>
        <v>-11.042779240107613</v>
      </c>
      <c r="I344" s="304">
        <f t="shared" ca="1" si="158"/>
        <v>19.014936056994344</v>
      </c>
      <c r="J344" s="306">
        <f t="shared" ca="1" si="159"/>
        <v>425.23892672902969</v>
      </c>
      <c r="K344" s="307">
        <f t="shared" ca="1" si="160"/>
        <v>2277.0703110994659</v>
      </c>
      <c r="L344" s="304">
        <f t="shared" ca="1" si="145"/>
        <v>2316.4363463078962</v>
      </c>
      <c r="M344" s="306">
        <f t="shared" ca="1" si="161"/>
        <v>-0.61964031242543693</v>
      </c>
      <c r="N344" s="304">
        <f t="shared" ca="1" si="162"/>
        <v>-35.502774718145282</v>
      </c>
      <c r="P344" s="310">
        <f t="shared" ca="1" si="163"/>
        <v>23</v>
      </c>
      <c r="Q344" s="304">
        <f t="shared" ca="1" si="164"/>
        <v>0</v>
      </c>
      <c r="R344" s="306">
        <f t="shared" ca="1" si="165"/>
        <v>0</v>
      </c>
      <c r="S344" s="307">
        <f t="shared" ca="1" si="166"/>
        <v>2.0842999999999985</v>
      </c>
      <c r="T344" s="304">
        <f t="shared" ca="1" si="146"/>
        <v>20.446982999999985</v>
      </c>
      <c r="U344" s="311">
        <f t="shared" ca="1" si="147"/>
        <v>0</v>
      </c>
      <c r="V344" s="306">
        <f t="shared" ca="1" si="148"/>
        <v>0.97457109780211715</v>
      </c>
      <c r="W344" s="304">
        <f t="shared" ca="1" si="149"/>
        <v>0.38910765713249007</v>
      </c>
      <c r="Y344" s="314" t="str">
        <f t="shared" ca="1" si="167"/>
        <v/>
      </c>
      <c r="Z344" s="315" t="str">
        <f t="shared" ca="1" si="168"/>
        <v/>
      </c>
      <c r="AA344" s="316" t="str">
        <f t="shared" ca="1" si="169"/>
        <v/>
      </c>
      <c r="AC344" s="310" t="e">
        <f t="shared" ca="1" si="170"/>
        <v>#N/A</v>
      </c>
      <c r="AD344" s="323" t="e">
        <f t="shared" ca="1" si="171"/>
        <v>#N/A</v>
      </c>
      <c r="AE344" s="324" t="e">
        <f t="shared" ca="1" si="150"/>
        <v>#N/A</v>
      </c>
      <c r="AG344" s="306">
        <f t="shared" ca="1" si="172"/>
        <v>5.1699842104650422</v>
      </c>
      <c r="AH344" s="304">
        <f t="shared" ca="1" si="173"/>
        <v>-0.17631280879355671</v>
      </c>
    </row>
    <row r="345" spans="1:34" x14ac:dyDescent="0.25">
      <c r="A345" s="347">
        <f t="shared" ca="1" si="151"/>
        <v>0.1</v>
      </c>
      <c r="B345" s="304">
        <f t="shared" ca="1" si="152"/>
        <v>21.800000000000011</v>
      </c>
      <c r="D345" s="306">
        <f t="shared" ca="1" si="153"/>
        <v>-0.15197794896280492</v>
      </c>
      <c r="E345" s="307">
        <f t="shared" ca="1" si="154"/>
        <v>-9.7015840775010886</v>
      </c>
      <c r="F345" s="304">
        <f t="shared" ca="1" si="155"/>
        <v>9.7027743923989895</v>
      </c>
      <c r="G345" s="306">
        <f t="shared" ca="1" si="156"/>
        <v>15.464621968454709</v>
      </c>
      <c r="H345" s="307">
        <f t="shared" ca="1" si="157"/>
        <v>-12.012937647857722</v>
      </c>
      <c r="I345" s="304">
        <f t="shared" ca="1" si="158"/>
        <v>19.582267579586624</v>
      </c>
      <c r="J345" s="306">
        <f t="shared" ca="1" si="159"/>
        <v>426.78614881561998</v>
      </c>
      <c r="K345" s="307">
        <f t="shared" ca="1" si="160"/>
        <v>2275.9175252550676</v>
      </c>
      <c r="L345" s="304">
        <f t="shared" ca="1" si="145"/>
        <v>2315.5878300302106</v>
      </c>
      <c r="M345" s="306">
        <f t="shared" ca="1" si="161"/>
        <v>-0.6604344277926284</v>
      </c>
      <c r="N345" s="304">
        <f t="shared" ca="1" si="162"/>
        <v>-37.840105357655126</v>
      </c>
      <c r="P345" s="310">
        <f t="shared" ca="1" si="163"/>
        <v>23</v>
      </c>
      <c r="Q345" s="304">
        <f t="shared" ca="1" si="164"/>
        <v>0</v>
      </c>
      <c r="R345" s="306">
        <f t="shared" ca="1" si="165"/>
        <v>0</v>
      </c>
      <c r="S345" s="307">
        <f t="shared" ca="1" si="166"/>
        <v>2.0842999999999985</v>
      </c>
      <c r="T345" s="304">
        <f t="shared" ca="1" si="146"/>
        <v>20.446982999999985</v>
      </c>
      <c r="U345" s="311">
        <f t="shared" ca="1" si="147"/>
        <v>0</v>
      </c>
      <c r="V345" s="306">
        <f t="shared" ca="1" si="148"/>
        <v>0.97468492630872827</v>
      </c>
      <c r="W345" s="304">
        <f t="shared" ca="1" si="149"/>
        <v>0.4127211470705428</v>
      </c>
      <c r="Y345" s="314" t="str">
        <f t="shared" ca="1" si="167"/>
        <v/>
      </c>
      <c r="Z345" s="315" t="str">
        <f t="shared" ca="1" si="168"/>
        <v/>
      </c>
      <c r="AA345" s="316" t="str">
        <f t="shared" ca="1" si="169"/>
        <v/>
      </c>
      <c r="AC345" s="310" t="e">
        <f t="shared" ca="1" si="170"/>
        <v>#N/A</v>
      </c>
      <c r="AD345" s="323" t="e">
        <f t="shared" ca="1" si="171"/>
        <v>#N/A</v>
      </c>
      <c r="AE345" s="324" t="e">
        <f t="shared" ca="1" si="150"/>
        <v>#N/A</v>
      </c>
      <c r="AG345" s="306">
        <f t="shared" ca="1" si="172"/>
        <v>5.5103977039511527</v>
      </c>
      <c r="AH345" s="304">
        <f t="shared" ca="1" si="173"/>
        <v>-0.18668505355874412</v>
      </c>
    </row>
    <row r="346" spans="1:34" x14ac:dyDescent="0.25">
      <c r="A346" s="347">
        <f t="shared" ca="1" si="151"/>
        <v>0.1</v>
      </c>
      <c r="B346" s="304">
        <f t="shared" ca="1" si="152"/>
        <v>21.900000000000013</v>
      </c>
      <c r="D346" s="306">
        <f t="shared" ca="1" si="153"/>
        <v>-0.15637697973204959</v>
      </c>
      <c r="E346" s="307">
        <f t="shared" ca="1" si="154"/>
        <v>-9.6885261669562084</v>
      </c>
      <c r="F346" s="304">
        <f t="shared" ca="1" si="155"/>
        <v>9.6897880806334076</v>
      </c>
      <c r="G346" s="306">
        <f t="shared" ca="1" si="156"/>
        <v>15.448984270481505</v>
      </c>
      <c r="H346" s="307">
        <f t="shared" ca="1" si="157"/>
        <v>-12.981790264553343</v>
      </c>
      <c r="I346" s="304">
        <f t="shared" ca="1" si="158"/>
        <v>20.179147490972877</v>
      </c>
      <c r="J346" s="306">
        <f t="shared" ca="1" si="159"/>
        <v>428.33182912756678</v>
      </c>
      <c r="K346" s="307">
        <f t="shared" ca="1" si="160"/>
        <v>2274.6677888594472</v>
      </c>
      <c r="L346" s="304">
        <f t="shared" ca="1" si="145"/>
        <v>2314.6450495742311</v>
      </c>
      <c r="M346" s="306">
        <f t="shared" ca="1" si="161"/>
        <v>-0.6988360231072257</v>
      </c>
      <c r="N346" s="304">
        <f t="shared" ca="1" si="162"/>
        <v>-40.040354695750906</v>
      </c>
      <c r="P346" s="310">
        <f t="shared" ca="1" si="163"/>
        <v>23</v>
      </c>
      <c r="Q346" s="304">
        <f t="shared" ca="1" si="164"/>
        <v>0</v>
      </c>
      <c r="R346" s="306">
        <f t="shared" ca="1" si="165"/>
        <v>0</v>
      </c>
      <c r="S346" s="307">
        <f t="shared" ca="1" si="166"/>
        <v>2.0842999999999985</v>
      </c>
      <c r="T346" s="304">
        <f t="shared" ca="1" si="146"/>
        <v>20.446982999999985</v>
      </c>
      <c r="U346" s="311">
        <f t="shared" ca="1" si="147"/>
        <v>0</v>
      </c>
      <c r="V346" s="306">
        <f t="shared" ca="1" si="148"/>
        <v>0.97480834122729709</v>
      </c>
      <c r="W346" s="304">
        <f t="shared" ca="1" si="149"/>
        <v>0.43832009032287195</v>
      </c>
      <c r="Y346" s="314" t="str">
        <f t="shared" ca="1" si="167"/>
        <v/>
      </c>
      <c r="Z346" s="315" t="str">
        <f t="shared" ca="1" si="168"/>
        <v/>
      </c>
      <c r="AA346" s="316" t="str">
        <f t="shared" ca="1" si="169"/>
        <v/>
      </c>
      <c r="AC346" s="310" t="e">
        <f t="shared" ca="1" si="170"/>
        <v>#N/A</v>
      </c>
      <c r="AD346" s="323" t="e">
        <f t="shared" ca="1" si="171"/>
        <v>#N/A</v>
      </c>
      <c r="AE346" s="324" t="e">
        <f t="shared" ca="1" si="150"/>
        <v>#N/A</v>
      </c>
      <c r="AG346" s="306">
        <f t="shared" ca="1" si="172"/>
        <v>5.8200282170571738</v>
      </c>
      <c r="AH346" s="304">
        <f t="shared" ca="1" si="173"/>
        <v>-0.19801427197166585</v>
      </c>
    </row>
    <row r="347" spans="1:34" x14ac:dyDescent="0.25">
      <c r="A347" s="347">
        <f t="shared" ca="1" si="151"/>
        <v>0.1</v>
      </c>
      <c r="B347" s="304">
        <f t="shared" ca="1" si="152"/>
        <v>22.000000000000014</v>
      </c>
      <c r="D347" s="306">
        <f t="shared" ca="1" si="153"/>
        <v>-0.16100088553930023</v>
      </c>
      <c r="E347" s="307">
        <f t="shared" ca="1" si="154"/>
        <v>-9.6747108643594082</v>
      </c>
      <c r="F347" s="304">
        <f t="shared" ca="1" si="155"/>
        <v>9.6760504129576752</v>
      </c>
      <c r="G347" s="306">
        <f t="shared" ca="1" si="156"/>
        <v>15.432884181927575</v>
      </c>
      <c r="H347" s="307">
        <f t="shared" ca="1" si="157"/>
        <v>-13.949261350989284</v>
      </c>
      <c r="I347" s="304">
        <f t="shared" ca="1" si="158"/>
        <v>20.802783621693365</v>
      </c>
      <c r="J347" s="306">
        <f t="shared" ca="1" si="159"/>
        <v>429.87592255018723</v>
      </c>
      <c r="K347" s="307">
        <f t="shared" ca="1" si="160"/>
        <v>2273.3212362786703</v>
      </c>
      <c r="L347" s="304">
        <f t="shared" ca="1" si="145"/>
        <v>2313.6081673662802</v>
      </c>
      <c r="M347" s="306">
        <f t="shared" ca="1" si="161"/>
        <v>-0.73494698548722015</v>
      </c>
      <c r="N347" s="304">
        <f t="shared" ca="1" si="162"/>
        <v>-42.109360434280276</v>
      </c>
      <c r="P347" s="310">
        <f t="shared" ca="1" si="163"/>
        <v>23</v>
      </c>
      <c r="Q347" s="304">
        <f t="shared" ca="1" si="164"/>
        <v>0</v>
      </c>
      <c r="R347" s="306">
        <f t="shared" ca="1" si="165"/>
        <v>0</v>
      </c>
      <c r="S347" s="307">
        <f t="shared" ca="1" si="166"/>
        <v>2.0842999999999985</v>
      </c>
      <c r="T347" s="304">
        <f t="shared" ca="1" si="146"/>
        <v>20.446982999999985</v>
      </c>
      <c r="U347" s="311">
        <f t="shared" ca="1" si="147"/>
        <v>0</v>
      </c>
      <c r="V347" s="306">
        <f t="shared" ca="1" si="148"/>
        <v>0.97494133251169823</v>
      </c>
      <c r="W347" s="304">
        <f t="shared" ca="1" si="149"/>
        <v>0.46589483653521763</v>
      </c>
      <c r="Y347" s="314" t="str">
        <f t="shared" ca="1" si="167"/>
        <v/>
      </c>
      <c r="Z347" s="315" t="str">
        <f t="shared" ca="1" si="168"/>
        <v/>
      </c>
      <c r="AA347" s="316" t="str">
        <f t="shared" ca="1" si="169"/>
        <v/>
      </c>
      <c r="AC347" s="310">
        <f t="shared" ca="1" si="170"/>
        <v>22.000000000000014</v>
      </c>
      <c r="AD347" s="323">
        <f t="shared" ca="1" si="171"/>
        <v>429.87592255018723</v>
      </c>
      <c r="AE347" s="324" t="e">
        <f t="shared" ca="1" si="150"/>
        <v>#N/A</v>
      </c>
      <c r="AG347" s="306">
        <f t="shared" ca="1" si="172"/>
        <v>6.1007417294586563</v>
      </c>
      <c r="AH347" s="304">
        <f t="shared" ca="1" si="173"/>
        <v>-0.21029606598036379</v>
      </c>
    </row>
    <row r="348" spans="1:34" x14ac:dyDescent="0.25">
      <c r="A348" s="347">
        <f t="shared" ca="1" si="151"/>
        <v>0.1</v>
      </c>
      <c r="B348" s="304">
        <f t="shared" ca="1" si="152"/>
        <v>22.100000000000016</v>
      </c>
      <c r="D348" s="306">
        <f t="shared" ca="1" si="153"/>
        <v>-0.16582626304541356</v>
      </c>
      <c r="E348" s="307">
        <f t="shared" ca="1" si="154"/>
        <v>-9.6601152568236639</v>
      </c>
      <c r="F348" s="304">
        <f t="shared" ca="1" si="155"/>
        <v>9.6615384450217316</v>
      </c>
      <c r="G348" s="306">
        <f t="shared" ca="1" si="156"/>
        <v>15.416301555623033</v>
      </c>
      <c r="H348" s="307">
        <f t="shared" ca="1" si="157"/>
        <v>-14.915272876671651</v>
      </c>
      <c r="I348" s="304">
        <f t="shared" ca="1" si="158"/>
        <v>21.450587839019288</v>
      </c>
      <c r="J348" s="306">
        <f t="shared" ca="1" si="159"/>
        <v>431.41838183706477</v>
      </c>
      <c r="K348" s="307">
        <f t="shared" ca="1" si="160"/>
        <v>2271.8780095672873</v>
      </c>
      <c r="L348" s="304">
        <f t="shared" ca="1" si="145"/>
        <v>2312.4773535198847</v>
      </c>
      <c r="M348" s="306">
        <f t="shared" ca="1" si="161"/>
        <v>-0.76888127873048007</v>
      </c>
      <c r="N348" s="304">
        <f t="shared" ca="1" si="162"/>
        <v>-44.05365221787838</v>
      </c>
      <c r="P348" s="310">
        <f t="shared" ca="1" si="163"/>
        <v>23</v>
      </c>
      <c r="Q348" s="304">
        <f t="shared" ca="1" si="164"/>
        <v>0</v>
      </c>
      <c r="R348" s="306">
        <f t="shared" ca="1" si="165"/>
        <v>0</v>
      </c>
      <c r="S348" s="307">
        <f t="shared" ca="1" si="166"/>
        <v>2.0842999999999985</v>
      </c>
      <c r="T348" s="304">
        <f t="shared" ca="1" si="146"/>
        <v>20.446982999999985</v>
      </c>
      <c r="U348" s="311">
        <f t="shared" ca="1" si="147"/>
        <v>0</v>
      </c>
      <c r="V348" s="306">
        <f t="shared" ca="1" si="148"/>
        <v>0.97508388960065084</v>
      </c>
      <c r="W348" s="304">
        <f t="shared" ca="1" si="149"/>
        <v>0.49543523319081162</v>
      </c>
      <c r="Y348" s="314" t="str">
        <f t="shared" ca="1" si="167"/>
        <v/>
      </c>
      <c r="Z348" s="315" t="str">
        <f t="shared" ca="1" si="168"/>
        <v/>
      </c>
      <c r="AA348" s="316" t="str">
        <f t="shared" ca="1" si="169"/>
        <v/>
      </c>
      <c r="AC348" s="310" t="e">
        <f t="shared" ca="1" si="170"/>
        <v>#N/A</v>
      </c>
      <c r="AD348" s="323" t="e">
        <f t="shared" ca="1" si="171"/>
        <v>#N/A</v>
      </c>
      <c r="AE348" s="324" t="e">
        <f t="shared" ca="1" si="150"/>
        <v>#N/A</v>
      </c>
      <c r="AG348" s="306">
        <f t="shared" ca="1" si="172"/>
        <v>6.3545483763220494</v>
      </c>
      <c r="AH348" s="304">
        <f t="shared" ca="1" si="173"/>
        <v>-0.22352580556312335</v>
      </c>
    </row>
    <row r="349" spans="1:34" x14ac:dyDescent="0.25">
      <c r="A349" s="347">
        <f t="shared" ca="1" si="151"/>
        <v>0.1</v>
      </c>
      <c r="B349" s="304">
        <f t="shared" ca="1" si="152"/>
        <v>22.200000000000017</v>
      </c>
      <c r="D349" s="306">
        <f t="shared" ca="1" si="153"/>
        <v>-0.17083138370199125</v>
      </c>
      <c r="E349" s="307">
        <f t="shared" ca="1" si="154"/>
        <v>-9.6447206238395609</v>
      </c>
      <c r="F349" s="304">
        <f t="shared" ca="1" si="155"/>
        <v>9.6462334241699601</v>
      </c>
      <c r="G349" s="306">
        <f t="shared" ca="1" si="156"/>
        <v>15.399218417252834</v>
      </c>
      <c r="H349" s="307">
        <f t="shared" ca="1" si="157"/>
        <v>-15.879744939055607</v>
      </c>
      <c r="I349" s="304">
        <f t="shared" ca="1" si="158"/>
        <v>22.120176924964255</v>
      </c>
      <c r="J349" s="306">
        <f t="shared" ca="1" si="159"/>
        <v>432.95915783570854</v>
      </c>
      <c r="K349" s="307">
        <f t="shared" ca="1" si="160"/>
        <v>2270.338258676501</v>
      </c>
      <c r="L349" s="304">
        <f t="shared" ca="1" si="145"/>
        <v>2311.2527860803225</v>
      </c>
      <c r="M349" s="306">
        <f t="shared" ca="1" si="161"/>
        <v>-0.80075956520266078</v>
      </c>
      <c r="N349" s="304">
        <f t="shared" ca="1" si="162"/>
        <v>-45.880143490843324</v>
      </c>
      <c r="P349" s="310">
        <f t="shared" ca="1" si="163"/>
        <v>23</v>
      </c>
      <c r="Q349" s="304">
        <f t="shared" ca="1" si="164"/>
        <v>0</v>
      </c>
      <c r="R349" s="306">
        <f t="shared" ca="1" si="165"/>
        <v>0</v>
      </c>
      <c r="S349" s="307">
        <f t="shared" ca="1" si="166"/>
        <v>2.0842999999999985</v>
      </c>
      <c r="T349" s="304">
        <f t="shared" ca="1" si="146"/>
        <v>20.446982999999985</v>
      </c>
      <c r="U349" s="311">
        <f t="shared" ca="1" si="147"/>
        <v>0</v>
      </c>
      <c r="V349" s="306">
        <f t="shared" ca="1" si="148"/>
        <v>0.97523600139569744</v>
      </c>
      <c r="W349" s="304">
        <f t="shared" ca="1" si="149"/>
        <v>0.52693061084236581</v>
      </c>
      <c r="Y349" s="314" t="str">
        <f t="shared" ca="1" si="167"/>
        <v/>
      </c>
      <c r="Z349" s="315" t="str">
        <f t="shared" ca="1" si="168"/>
        <v/>
      </c>
      <c r="AA349" s="316" t="str">
        <f t="shared" ca="1" si="169"/>
        <v/>
      </c>
      <c r="AC349" s="310" t="e">
        <f t="shared" ca="1" si="170"/>
        <v>#N/A</v>
      </c>
      <c r="AD349" s="323" t="e">
        <f t="shared" ca="1" si="171"/>
        <v>#N/A</v>
      </c>
      <c r="AE349" s="324" t="e">
        <f t="shared" ca="1" si="150"/>
        <v>#N/A</v>
      </c>
      <c r="AG349" s="306">
        <f t="shared" ca="1" si="172"/>
        <v>6.5835049769886469</v>
      </c>
      <c r="AH349" s="304">
        <f t="shared" ca="1" si="173"/>
        <v>-0.23769861977201553</v>
      </c>
    </row>
    <row r="350" spans="1:34" x14ac:dyDescent="0.25">
      <c r="A350" s="347">
        <f t="shared" ca="1" si="151"/>
        <v>0.1</v>
      </c>
      <c r="B350" s="304">
        <f t="shared" ca="1" si="152"/>
        <v>22.300000000000018</v>
      </c>
      <c r="D350" s="306">
        <f t="shared" ca="1" si="153"/>
        <v>-0.17599619669954905</v>
      </c>
      <c r="E350" s="307">
        <f t="shared" ca="1" si="154"/>
        <v>-9.6285119115719855</v>
      </c>
      <c r="F350" s="304">
        <f t="shared" ca="1" si="155"/>
        <v>9.6301202636590322</v>
      </c>
      <c r="G350" s="306">
        <f t="shared" ca="1" si="156"/>
        <v>15.381618797582879</v>
      </c>
      <c r="H350" s="307">
        <f t="shared" ca="1" si="157"/>
        <v>-16.842596130212804</v>
      </c>
      <c r="I350" s="304">
        <f t="shared" ca="1" si="158"/>
        <v>22.809367401127421</v>
      </c>
      <c r="J350" s="306">
        <f t="shared" ca="1" si="159"/>
        <v>434.49819969645034</v>
      </c>
      <c r="K350" s="307">
        <f t="shared" ca="1" si="160"/>
        <v>2268.7021416230377</v>
      </c>
      <c r="L350" s="304">
        <f t="shared" ca="1" si="145"/>
        <v>2309.9346512281281</v>
      </c>
      <c r="M350" s="306">
        <f t="shared" ca="1" si="161"/>
        <v>-0.8307050093415117</v>
      </c>
      <c r="N350" s="304">
        <f t="shared" ca="1" si="162"/>
        <v>-47.595891055644245</v>
      </c>
      <c r="P350" s="310">
        <f t="shared" ca="1" si="163"/>
        <v>23</v>
      </c>
      <c r="Q350" s="304">
        <f t="shared" ca="1" si="164"/>
        <v>0</v>
      </c>
      <c r="R350" s="306">
        <f t="shared" ca="1" si="165"/>
        <v>0</v>
      </c>
      <c r="S350" s="307">
        <f t="shared" ca="1" si="166"/>
        <v>2.0842999999999985</v>
      </c>
      <c r="T350" s="304">
        <f t="shared" ca="1" si="146"/>
        <v>20.446982999999985</v>
      </c>
      <c r="U350" s="311">
        <f t="shared" ca="1" si="147"/>
        <v>0</v>
      </c>
      <c r="V350" s="306">
        <f t="shared" ca="1" si="148"/>
        <v>0.97539765624296371</v>
      </c>
      <c r="W350" s="304">
        <f t="shared" ca="1" si="149"/>
        <v>0.56036977177908254</v>
      </c>
      <c r="Y350" s="314" t="str">
        <f t="shared" ca="1" si="167"/>
        <v/>
      </c>
      <c r="Z350" s="315" t="str">
        <f t="shared" ca="1" si="168"/>
        <v/>
      </c>
      <c r="AA350" s="316" t="str">
        <f t="shared" ca="1" si="169"/>
        <v/>
      </c>
      <c r="AC350" s="310" t="e">
        <f t="shared" ca="1" si="170"/>
        <v>#N/A</v>
      </c>
      <c r="AD350" s="323" t="e">
        <f t="shared" ca="1" si="171"/>
        <v>#N/A</v>
      </c>
      <c r="AE350" s="324" t="e">
        <f t="shared" ca="1" si="150"/>
        <v>#N/A</v>
      </c>
      <c r="AG350" s="306">
        <f t="shared" ca="1" si="172"/>
        <v>6.7896432263767892</v>
      </c>
      <c r="AH350" s="304">
        <f t="shared" ca="1" si="173"/>
        <v>-0.2528093896475393</v>
      </c>
    </row>
    <row r="351" spans="1:34" x14ac:dyDescent="0.25">
      <c r="A351" s="347">
        <f t="shared" ca="1" si="151"/>
        <v>0.1</v>
      </c>
      <c r="B351" s="304">
        <f t="shared" ca="1" si="152"/>
        <v>22.40000000000002</v>
      </c>
      <c r="D351" s="306">
        <f t="shared" ca="1" si="153"/>
        <v>-0.18130228381267152</v>
      </c>
      <c r="E351" s="307">
        <f t="shared" ca="1" si="154"/>
        <v>-9.6114772577628891</v>
      </c>
      <c r="F351" s="304">
        <f t="shared" ca="1" si="155"/>
        <v>9.6131870674927011</v>
      </c>
      <c r="G351" s="306">
        <f t="shared" ca="1" si="156"/>
        <v>15.363488569201612</v>
      </c>
      <c r="H351" s="307">
        <f t="shared" ca="1" si="157"/>
        <v>-17.803743855989094</v>
      </c>
      <c r="I351" s="304">
        <f t="shared" ca="1" si="158"/>
        <v>23.51616627568486</v>
      </c>
      <c r="J351" s="306">
        <f t="shared" ca="1" si="159"/>
        <v>436.03545506478957</v>
      </c>
      <c r="K351" s="307">
        <f t="shared" ca="1" si="160"/>
        <v>2266.9698246237276</v>
      </c>
      <c r="L351" s="304">
        <f t="shared" ca="1" si="145"/>
        <v>2308.5231434464963</v>
      </c>
      <c r="M351" s="306">
        <f t="shared" ca="1" si="161"/>
        <v>-0.85884011735376764</v>
      </c>
      <c r="N351" s="304">
        <f t="shared" ca="1" si="162"/>
        <v>-49.207914000891215</v>
      </c>
      <c r="P351" s="310">
        <f t="shared" ca="1" si="163"/>
        <v>23</v>
      </c>
      <c r="Q351" s="304">
        <f t="shared" ca="1" si="164"/>
        <v>0</v>
      </c>
      <c r="R351" s="306">
        <f t="shared" ca="1" si="165"/>
        <v>0</v>
      </c>
      <c r="S351" s="307">
        <f t="shared" ca="1" si="166"/>
        <v>2.0842999999999985</v>
      </c>
      <c r="T351" s="304">
        <f t="shared" ca="1" si="146"/>
        <v>20.446982999999985</v>
      </c>
      <c r="U351" s="311">
        <f t="shared" ca="1" si="147"/>
        <v>0</v>
      </c>
      <c r="V351" s="306">
        <f t="shared" ca="1" si="148"/>
        <v>0.9755688419182118</v>
      </c>
      <c r="W351" s="304">
        <f t="shared" ca="1" si="149"/>
        <v>0.59574098170440659</v>
      </c>
      <c r="Y351" s="314" t="str">
        <f t="shared" ca="1" si="167"/>
        <v/>
      </c>
      <c r="Z351" s="315" t="str">
        <f t="shared" ca="1" si="168"/>
        <v/>
      </c>
      <c r="AA351" s="316" t="str">
        <f t="shared" ca="1" si="169"/>
        <v/>
      </c>
      <c r="AC351" s="310" t="e">
        <f t="shared" ca="1" si="170"/>
        <v>#N/A</v>
      </c>
      <c r="AD351" s="323" t="e">
        <f t="shared" ca="1" si="171"/>
        <v>#N/A</v>
      </c>
      <c r="AE351" s="324" t="e">
        <f t="shared" ca="1" si="150"/>
        <v>#N/A</v>
      </c>
      <c r="AG351" s="306">
        <f t="shared" ca="1" si="172"/>
        <v>6.9749197447108617</v>
      </c>
      <c r="AH351" s="304">
        <f t="shared" ca="1" si="173"/>
        <v>-0.26885274278130927</v>
      </c>
    </row>
    <row r="352" spans="1:34" x14ac:dyDescent="0.25">
      <c r="A352" s="347">
        <f t="shared" ca="1" si="151"/>
        <v>0.1</v>
      </c>
      <c r="B352" s="304">
        <f t="shared" ca="1" si="152"/>
        <v>22.500000000000021</v>
      </c>
      <c r="D352" s="306">
        <f t="shared" ca="1" si="153"/>
        <v>-0.18673278201950019</v>
      </c>
      <c r="E352" s="307">
        <f t="shared" ca="1" si="154"/>
        <v>-9.5936075702717698</v>
      </c>
      <c r="F352" s="304">
        <f t="shared" ca="1" si="155"/>
        <v>9.5954247089045808</v>
      </c>
      <c r="G352" s="306">
        <f t="shared" ca="1" si="156"/>
        <v>15.344815290999662</v>
      </c>
      <c r="H352" s="307">
        <f t="shared" ca="1" si="157"/>
        <v>-18.763104613016271</v>
      </c>
      <c r="I352" s="304">
        <f t="shared" ca="1" si="158"/>
        <v>24.238759271750887</v>
      </c>
      <c r="J352" s="306">
        <f t="shared" ca="1" si="159"/>
        <v>437.57087025779964</v>
      </c>
      <c r="K352" s="307">
        <f t="shared" ca="1" si="160"/>
        <v>2265.1414822002776</v>
      </c>
      <c r="L352" s="304">
        <f t="shared" ca="1" si="145"/>
        <v>2307.0184656570564</v>
      </c>
      <c r="M352" s="306">
        <f t="shared" ca="1" si="161"/>
        <v>-0.88528444683658314</v>
      </c>
      <c r="N352" s="304">
        <f t="shared" ca="1" si="162"/>
        <v>-50.72306247230992</v>
      </c>
      <c r="P352" s="310">
        <f t="shared" ca="1" si="163"/>
        <v>23</v>
      </c>
      <c r="Q352" s="304">
        <f t="shared" ca="1" si="164"/>
        <v>0</v>
      </c>
      <c r="R352" s="306">
        <f t="shared" ca="1" si="165"/>
        <v>0</v>
      </c>
      <c r="S352" s="307">
        <f t="shared" ca="1" si="166"/>
        <v>2.0842999999999985</v>
      </c>
      <c r="T352" s="304">
        <f t="shared" ca="1" si="146"/>
        <v>20.446982999999985</v>
      </c>
      <c r="U352" s="311">
        <f t="shared" ca="1" si="147"/>
        <v>0</v>
      </c>
      <c r="V352" s="306">
        <f t="shared" ca="1" si="148"/>
        <v>0.97574954561473293</v>
      </c>
      <c r="W352" s="304">
        <f t="shared" ca="1" si="149"/>
        <v>0.63303196404502415</v>
      </c>
      <c r="Y352" s="314" t="str">
        <f t="shared" ca="1" si="167"/>
        <v/>
      </c>
      <c r="Z352" s="315" t="str">
        <f t="shared" ca="1" si="168"/>
        <v/>
      </c>
      <c r="AA352" s="316" t="str">
        <f t="shared" ca="1" si="169"/>
        <v/>
      </c>
      <c r="AC352" s="310" t="e">
        <f t="shared" ca="1" si="170"/>
        <v>#N/A</v>
      </c>
      <c r="AD352" s="323" t="e">
        <f t="shared" ca="1" si="171"/>
        <v>#N/A</v>
      </c>
      <c r="AE352" s="324" t="e">
        <f t="shared" ca="1" si="150"/>
        <v>#N/A</v>
      </c>
      <c r="AG352" s="306">
        <f t="shared" ca="1" si="172"/>
        <v>7.1411837671680152</v>
      </c>
      <c r="AH352" s="304">
        <f t="shared" ca="1" si="173"/>
        <v>-0.28582304932322938</v>
      </c>
    </row>
    <row r="353" spans="1:34" x14ac:dyDescent="0.25">
      <c r="A353" s="347">
        <f t="shared" ca="1" si="151"/>
        <v>0.1</v>
      </c>
      <c r="B353" s="304">
        <f t="shared" ca="1" si="152"/>
        <v>22.600000000000023</v>
      </c>
      <c r="D353" s="306">
        <f t="shared" ca="1" si="153"/>
        <v>-0.19227228639761962</v>
      </c>
      <c r="E353" s="307">
        <f t="shared" ca="1" si="154"/>
        <v>-9.5748961583800636</v>
      </c>
      <c r="F353" s="304">
        <f t="shared" ca="1" si="155"/>
        <v>9.5768264616144041</v>
      </c>
      <c r="G353" s="306">
        <f t="shared" ca="1" si="156"/>
        <v>15.3255880623599</v>
      </c>
      <c r="H353" s="307">
        <f t="shared" ca="1" si="157"/>
        <v>-19.720594228854278</v>
      </c>
      <c r="I353" s="304">
        <f t="shared" ca="1" si="158"/>
        <v>24.975497716687627</v>
      </c>
      <c r="J353" s="306">
        <f t="shared" ca="1" si="159"/>
        <v>439.10439042546761</v>
      </c>
      <c r="K353" s="307">
        <f t="shared" ca="1" si="160"/>
        <v>2263.2172972581839</v>
      </c>
      <c r="L353" s="304">
        <f t="shared" ca="1" si="145"/>
        <v>2305.420829328034</v>
      </c>
      <c r="M353" s="306">
        <f t="shared" ca="1" si="161"/>
        <v>-0.91015302186288205</v>
      </c>
      <c r="N353" s="304">
        <f t="shared" ca="1" si="162"/>
        <v>-52.147926863821283</v>
      </c>
      <c r="P353" s="310">
        <f t="shared" ca="1" si="163"/>
        <v>23</v>
      </c>
      <c r="Q353" s="304">
        <f t="shared" ca="1" si="164"/>
        <v>0</v>
      </c>
      <c r="R353" s="306">
        <f t="shared" ca="1" si="165"/>
        <v>0</v>
      </c>
      <c r="S353" s="307">
        <f t="shared" ca="1" si="166"/>
        <v>2.0842999999999985</v>
      </c>
      <c r="T353" s="304">
        <f t="shared" ca="1" si="146"/>
        <v>20.446982999999985</v>
      </c>
      <c r="U353" s="311">
        <f t="shared" ca="1" si="147"/>
        <v>0</v>
      </c>
      <c r="V353" s="306">
        <f t="shared" ca="1" si="148"/>
        <v>0.9759397539337038</v>
      </c>
      <c r="W353" s="304">
        <f t="shared" ca="1" si="149"/>
        <v>0.67222989655673959</v>
      </c>
      <c r="Y353" s="314" t="str">
        <f t="shared" ca="1" si="167"/>
        <v/>
      </c>
      <c r="Z353" s="315" t="str">
        <f t="shared" ca="1" si="168"/>
        <v/>
      </c>
      <c r="AA353" s="316" t="str">
        <f t="shared" ca="1" si="169"/>
        <v/>
      </c>
      <c r="AC353" s="310" t="e">
        <f t="shared" ca="1" si="170"/>
        <v>#N/A</v>
      </c>
      <c r="AD353" s="323" t="e">
        <f t="shared" ca="1" si="171"/>
        <v>#N/A</v>
      </c>
      <c r="AE353" s="324" t="e">
        <f t="shared" ca="1" si="150"/>
        <v>#N/A</v>
      </c>
      <c r="AG353" s="306">
        <f t="shared" ca="1" si="172"/>
        <v>7.2901584432188153</v>
      </c>
      <c r="AH353" s="304">
        <f t="shared" ca="1" si="173"/>
        <v>-0.30371441925107934</v>
      </c>
    </row>
    <row r="354" spans="1:34" x14ac:dyDescent="0.25">
      <c r="A354" s="347">
        <f t="shared" ca="1" si="151"/>
        <v>0.1</v>
      </c>
      <c r="B354" s="304">
        <f t="shared" ca="1" si="152"/>
        <v>22.700000000000024</v>
      </c>
      <c r="D354" s="306">
        <f t="shared" ca="1" si="153"/>
        <v>-0.19790674272946895</v>
      </c>
      <c r="E354" s="307">
        <f t="shared" ca="1" si="154"/>
        <v>-9.5553384135968269</v>
      </c>
      <c r="F354" s="304">
        <f t="shared" ca="1" si="155"/>
        <v>9.5573876805943634</v>
      </c>
      <c r="G354" s="306">
        <f t="shared" ca="1" si="156"/>
        <v>15.305797388086953</v>
      </c>
      <c r="H354" s="307">
        <f t="shared" ca="1" si="157"/>
        <v>-20.676128070213959</v>
      </c>
      <c r="I354" s="304">
        <f t="shared" ca="1" si="158"/>
        <v>25.724884949423174</v>
      </c>
      <c r="J354" s="306">
        <f t="shared" ca="1" si="159"/>
        <v>440.63595969798996</v>
      </c>
      <c r="K354" s="307">
        <f t="shared" ca="1" si="160"/>
        <v>2261.1974611432306</v>
      </c>
      <c r="L354" s="304">
        <f t="shared" ca="1" si="145"/>
        <v>2303.7304545583365</v>
      </c>
      <c r="M354" s="306">
        <f t="shared" ca="1" si="161"/>
        <v>-0.93355530366563877</v>
      </c>
      <c r="N354" s="304">
        <f t="shared" ca="1" si="162"/>
        <v>-53.488778842095051</v>
      </c>
      <c r="P354" s="310">
        <f t="shared" ca="1" si="163"/>
        <v>23</v>
      </c>
      <c r="Q354" s="304">
        <f t="shared" ca="1" si="164"/>
        <v>0</v>
      </c>
      <c r="R354" s="306">
        <f t="shared" ca="1" si="165"/>
        <v>0</v>
      </c>
      <c r="S354" s="307">
        <f t="shared" ca="1" si="166"/>
        <v>2.0842999999999985</v>
      </c>
      <c r="T354" s="304">
        <f t="shared" ca="1" si="146"/>
        <v>20.446982999999985</v>
      </c>
      <c r="U354" s="311">
        <f t="shared" ca="1" si="147"/>
        <v>0</v>
      </c>
      <c r="V354" s="306">
        <f t="shared" ca="1" si="148"/>
        <v>0.97613945287665538</v>
      </c>
      <c r="W354" s="304">
        <f t="shared" ca="1" si="149"/>
        <v>0.71332140993580295</v>
      </c>
      <c r="Y354" s="314" t="str">
        <f t="shared" ca="1" si="167"/>
        <v/>
      </c>
      <c r="Z354" s="315" t="str">
        <f t="shared" ca="1" si="168"/>
        <v/>
      </c>
      <c r="AA354" s="316" t="str">
        <f t="shared" ca="1" si="169"/>
        <v/>
      </c>
      <c r="AC354" s="310" t="e">
        <f t="shared" ca="1" si="170"/>
        <v>#N/A</v>
      </c>
      <c r="AD354" s="323" t="e">
        <f t="shared" ca="1" si="171"/>
        <v>#N/A</v>
      </c>
      <c r="AE354" s="324" t="e">
        <f t="shared" ca="1" si="150"/>
        <v>#N/A</v>
      </c>
      <c r="AG354" s="306">
        <f t="shared" ca="1" si="172"/>
        <v>7.4234322159759172</v>
      </c>
      <c r="AH354" s="304">
        <f t="shared" ca="1" si="173"/>
        <v>-0.32252070074209088</v>
      </c>
    </row>
    <row r="355" spans="1:34" x14ac:dyDescent="0.25">
      <c r="A355" s="347">
        <f t="shared" ca="1" si="151"/>
        <v>0.1</v>
      </c>
      <c r="B355" s="304">
        <f t="shared" ca="1" si="152"/>
        <v>22.800000000000026</v>
      </c>
      <c r="D355" s="306">
        <f t="shared" ca="1" si="153"/>
        <v>-0.20362333665020749</v>
      </c>
      <c r="E355" s="307">
        <f t="shared" ca="1" si="154"/>
        <v>-9.5349315354232456</v>
      </c>
      <c r="F355" s="304">
        <f t="shared" ca="1" si="155"/>
        <v>9.5371055278023036</v>
      </c>
      <c r="G355" s="306">
        <f t="shared" ca="1" si="156"/>
        <v>15.285435054421932</v>
      </c>
      <c r="H355" s="307">
        <f t="shared" ca="1" si="157"/>
        <v>-21.629621223756285</v>
      </c>
      <c r="I355" s="304">
        <f t="shared" ca="1" si="158"/>
        <v>26.485562842539689</v>
      </c>
      <c r="J355" s="306">
        <f t="shared" ca="1" si="159"/>
        <v>442.16552132011543</v>
      </c>
      <c r="K355" s="307">
        <f t="shared" ca="1" si="160"/>
        <v>2259.0821736785319</v>
      </c>
      <c r="L355" s="304">
        <f t="shared" ca="1" si="145"/>
        <v>2301.9475701406432</v>
      </c>
      <c r="M355" s="306">
        <f t="shared" ca="1" si="161"/>
        <v>-0.9555945875305436</v>
      </c>
      <c r="N355" s="304">
        <f t="shared" ca="1" si="162"/>
        <v>-54.75153679104487</v>
      </c>
      <c r="P355" s="310">
        <f t="shared" ca="1" si="163"/>
        <v>23</v>
      </c>
      <c r="Q355" s="304">
        <f t="shared" ca="1" si="164"/>
        <v>0</v>
      </c>
      <c r="R355" s="306">
        <f t="shared" ca="1" si="165"/>
        <v>0</v>
      </c>
      <c r="S355" s="307">
        <f t="shared" ca="1" si="166"/>
        <v>2.0842999999999985</v>
      </c>
      <c r="T355" s="304">
        <f t="shared" ca="1" si="146"/>
        <v>20.446982999999985</v>
      </c>
      <c r="U355" s="311">
        <f t="shared" ca="1" si="147"/>
        <v>0</v>
      </c>
      <c r="V355" s="306">
        <f t="shared" ca="1" si="148"/>
        <v>0.97634862783977361</v>
      </c>
      <c r="W355" s="304">
        <f t="shared" ca="1" si="149"/>
        <v>0.7562925881836966</v>
      </c>
      <c r="Y355" s="314" t="str">
        <f t="shared" ca="1" si="167"/>
        <v/>
      </c>
      <c r="Z355" s="315" t="str">
        <f t="shared" ca="1" si="168"/>
        <v/>
      </c>
      <c r="AA355" s="316" t="str">
        <f t="shared" ca="1" si="169"/>
        <v/>
      </c>
      <c r="AC355" s="310" t="e">
        <f t="shared" ca="1" si="170"/>
        <v>#N/A</v>
      </c>
      <c r="AD355" s="323" t="e">
        <f t="shared" ca="1" si="171"/>
        <v>#N/A</v>
      </c>
      <c r="AE355" s="324" t="e">
        <f t="shared" ca="1" si="150"/>
        <v>#N/A</v>
      </c>
      <c r="AG355" s="306">
        <f t="shared" ca="1" si="172"/>
        <v>7.5424573682001723</v>
      </c>
      <c r="AH355" s="304">
        <f t="shared" ca="1" si="173"/>
        <v>-0.34223547950669458</v>
      </c>
    </row>
    <row r="356" spans="1:34" x14ac:dyDescent="0.25">
      <c r="A356" s="347">
        <f t="shared" ca="1" si="151"/>
        <v>0.1</v>
      </c>
      <c r="B356" s="304">
        <f t="shared" ca="1" si="152"/>
        <v>22.900000000000027</v>
      </c>
      <c r="D356" s="306">
        <f t="shared" ca="1" si="153"/>
        <v>-0.2094103840772773</v>
      </c>
      <c r="E356" s="307">
        <f t="shared" ca="1" si="154"/>
        <v>-9.5136742970163297</v>
      </c>
      <c r="F356" s="304">
        <f t="shared" ca="1" si="155"/>
        <v>9.5159787378213778</v>
      </c>
      <c r="G356" s="306">
        <f t="shared" ca="1" si="156"/>
        <v>15.264494016014204</v>
      </c>
      <c r="H356" s="307">
        <f t="shared" ca="1" si="157"/>
        <v>-22.580988653457919</v>
      </c>
      <c r="I356" s="304">
        <f t="shared" ca="1" si="158"/>
        <v>27.256298834077395</v>
      </c>
      <c r="J356" s="306">
        <f t="shared" ca="1" si="159"/>
        <v>443.69301777363722</v>
      </c>
      <c r="K356" s="307">
        <f t="shared" ca="1" si="160"/>
        <v>2256.871643184671</v>
      </c>
      <c r="L356" s="304">
        <f t="shared" ca="1" si="145"/>
        <v>2300.072413606179</v>
      </c>
      <c r="M356" s="306">
        <f t="shared" ca="1" si="161"/>
        <v>-0.97636771844033488</v>
      </c>
      <c r="N356" s="304">
        <f t="shared" ca="1" si="162"/>
        <v>-55.94174951944867</v>
      </c>
      <c r="P356" s="310">
        <f t="shared" ca="1" si="163"/>
        <v>23</v>
      </c>
      <c r="Q356" s="304">
        <f t="shared" ca="1" si="164"/>
        <v>0</v>
      </c>
      <c r="R356" s="306">
        <f t="shared" ca="1" si="165"/>
        <v>0</v>
      </c>
      <c r="S356" s="307">
        <f t="shared" ca="1" si="166"/>
        <v>2.0842999999999985</v>
      </c>
      <c r="T356" s="304">
        <f t="shared" ca="1" si="146"/>
        <v>20.446982999999985</v>
      </c>
      <c r="U356" s="311">
        <f t="shared" ca="1" si="147"/>
        <v>0</v>
      </c>
      <c r="V356" s="306">
        <f t="shared" ca="1" si="148"/>
        <v>0.97656726360977186</v>
      </c>
      <c r="W356" s="304">
        <f t="shared" ca="1" si="149"/>
        <v>0.80112897050862564</v>
      </c>
      <c r="Y356" s="314" t="str">
        <f t="shared" ca="1" si="167"/>
        <v/>
      </c>
      <c r="Z356" s="315" t="str">
        <f t="shared" ca="1" si="168"/>
        <v/>
      </c>
      <c r="AA356" s="316" t="str">
        <f t="shared" ca="1" si="169"/>
        <v/>
      </c>
      <c r="AC356" s="310" t="e">
        <f t="shared" ca="1" si="170"/>
        <v>#N/A</v>
      </c>
      <c r="AD356" s="323" t="e">
        <f t="shared" ca="1" si="171"/>
        <v>#N/A</v>
      </c>
      <c r="AE356" s="324" t="e">
        <f t="shared" ca="1" si="150"/>
        <v>#N/A</v>
      </c>
      <c r="AG356" s="306">
        <f t="shared" ca="1" si="172"/>
        <v>7.6485534352982354</v>
      </c>
      <c r="AH356" s="304">
        <f t="shared" ca="1" si="173"/>
        <v>-0.36285207896353555</v>
      </c>
    </row>
    <row r="357" spans="1:34" x14ac:dyDescent="0.25">
      <c r="A357" s="347">
        <f t="shared" ca="1" si="151"/>
        <v>0.1</v>
      </c>
      <c r="B357" s="304">
        <f t="shared" ca="1" si="152"/>
        <v>23.000000000000028</v>
      </c>
      <c r="D357" s="306">
        <f t="shared" ca="1" si="153"/>
        <v>-0.21525722604125691</v>
      </c>
      <c r="E357" s="307">
        <f t="shared" ca="1" si="154"/>
        <v>-9.4915668456672737</v>
      </c>
      <c r="F357" s="304">
        <f t="shared" ca="1" si="155"/>
        <v>9.4940074183209475</v>
      </c>
      <c r="G357" s="306">
        <f t="shared" ca="1" si="156"/>
        <v>15.242968293410078</v>
      </c>
      <c r="H357" s="307">
        <f t="shared" ca="1" si="157"/>
        <v>-23.530145338024646</v>
      </c>
      <c r="I357" s="304">
        <f t="shared" ca="1" si="158"/>
        <v>28.035973712758185</v>
      </c>
      <c r="J357" s="306">
        <f t="shared" ca="1" si="159"/>
        <v>445.21839088910843</v>
      </c>
      <c r="K357" s="307">
        <f t="shared" ca="1" si="160"/>
        <v>2254.566086485097</v>
      </c>
      <c r="L357" s="304">
        <f t="shared" ca="1" si="145"/>
        <v>2298.1052312534803</v>
      </c>
      <c r="M357" s="306">
        <f t="shared" ca="1" si="161"/>
        <v>-0.99596503885246201</v>
      </c>
      <c r="N357" s="304">
        <f t="shared" ca="1" si="162"/>
        <v>-57.064593268829135</v>
      </c>
      <c r="P357" s="310">
        <f t="shared" ca="1" si="163"/>
        <v>23</v>
      </c>
      <c r="Q357" s="304">
        <f t="shared" ca="1" si="164"/>
        <v>0</v>
      </c>
      <c r="R357" s="306">
        <f t="shared" ca="1" si="165"/>
        <v>0</v>
      </c>
      <c r="S357" s="307">
        <f t="shared" ca="1" si="166"/>
        <v>2.0842999999999985</v>
      </c>
      <c r="T357" s="304">
        <f t="shared" ca="1" si="146"/>
        <v>20.446982999999985</v>
      </c>
      <c r="U357" s="311">
        <f t="shared" ca="1" si="147"/>
        <v>0</v>
      </c>
      <c r="V357" s="306">
        <f t="shared" ca="1" si="148"/>
        <v>0.97679534436113091</v>
      </c>
      <c r="W357" s="304">
        <f t="shared" ca="1" si="149"/>
        <v>0.84781555457787316</v>
      </c>
      <c r="Y357" s="314" t="str">
        <f t="shared" ca="1" si="167"/>
        <v/>
      </c>
      <c r="Z357" s="315" t="str">
        <f t="shared" ca="1" si="168"/>
        <v/>
      </c>
      <c r="AA357" s="316" t="str">
        <f t="shared" ca="1" si="169"/>
        <v/>
      </c>
      <c r="AC357" s="310">
        <f t="shared" ca="1" si="170"/>
        <v>23.000000000000028</v>
      </c>
      <c r="AD357" s="323">
        <f t="shared" ca="1" si="171"/>
        <v>445.21839088910843</v>
      </c>
      <c r="AE357" s="324" t="e">
        <f t="shared" ca="1" si="150"/>
        <v>#N/A</v>
      </c>
      <c r="AG357" s="306">
        <f t="shared" ca="1" si="172"/>
        <v>7.7429137349668737</v>
      </c>
      <c r="AH357" s="304">
        <f t="shared" ca="1" si="173"/>
        <v>-0.38436356115176618</v>
      </c>
    </row>
    <row r="358" spans="1:34" x14ac:dyDescent="0.25">
      <c r="A358" s="347">
        <f t="shared" ca="1" si="151"/>
        <v>0.1</v>
      </c>
      <c r="B358" s="304">
        <f t="shared" ca="1" si="152"/>
        <v>23.10000000000003</v>
      </c>
      <c r="D358" s="306">
        <f t="shared" ca="1" si="153"/>
        <v>-0.22115412982663979</v>
      </c>
      <c r="E358" s="307">
        <f t="shared" ca="1" si="154"/>
        <v>-9.4686105332794703</v>
      </c>
      <c r="F358" s="304">
        <f t="shared" ca="1" si="155"/>
        <v>9.4711928805230396</v>
      </c>
      <c r="G358" s="306">
        <f t="shared" ca="1" si="156"/>
        <v>15.220852880427413</v>
      </c>
      <c r="H358" s="307">
        <f t="shared" ca="1" si="157"/>
        <v>-24.477006391352592</v>
      </c>
      <c r="I358" s="304">
        <f t="shared" ca="1" si="158"/>
        <v>28.82357029047462</v>
      </c>
      <c r="J358" s="306">
        <f t="shared" ca="1" si="159"/>
        <v>446.74158194780028</v>
      </c>
      <c r="K358" s="307">
        <f t="shared" ca="1" si="160"/>
        <v>2252.165728898628</v>
      </c>
      <c r="L358" s="304">
        <f t="shared" ca="1" si="145"/>
        <v>2296.046278163119</v>
      </c>
      <c r="M358" s="306">
        <f t="shared" ca="1" si="161"/>
        <v>-1.0144705004586145</v>
      </c>
      <c r="N358" s="304">
        <f t="shared" ca="1" si="162"/>
        <v>-58.12487811680306</v>
      </c>
      <c r="P358" s="310">
        <f t="shared" ca="1" si="163"/>
        <v>23</v>
      </c>
      <c r="Q358" s="304">
        <f t="shared" ca="1" si="164"/>
        <v>0</v>
      </c>
      <c r="R358" s="306">
        <f t="shared" ca="1" si="165"/>
        <v>0</v>
      </c>
      <c r="S358" s="307">
        <f t="shared" ca="1" si="166"/>
        <v>2.0842999999999985</v>
      </c>
      <c r="T358" s="304">
        <f t="shared" ca="1" si="146"/>
        <v>20.446982999999985</v>
      </c>
      <c r="U358" s="311">
        <f t="shared" ca="1" si="147"/>
        <v>0</v>
      </c>
      <c r="V358" s="306">
        <f t="shared" ca="1" si="148"/>
        <v>0.97703285365452197</v>
      </c>
      <c r="W358" s="304">
        <f t="shared" ca="1" si="149"/>
        <v>0.89633680096189927</v>
      </c>
      <c r="Y358" s="314" t="str">
        <f t="shared" ca="1" si="167"/>
        <v/>
      </c>
      <c r="Z358" s="315" t="str">
        <f t="shared" ca="1" si="168"/>
        <v/>
      </c>
      <c r="AA358" s="316" t="str">
        <f t="shared" ca="1" si="169"/>
        <v/>
      </c>
      <c r="AC358" s="310" t="e">
        <f t="shared" ca="1" si="170"/>
        <v>#N/A</v>
      </c>
      <c r="AD358" s="323" t="e">
        <f t="shared" ca="1" si="171"/>
        <v>#N/A</v>
      </c>
      <c r="AE358" s="324" t="e">
        <f t="shared" ca="1" si="150"/>
        <v>#N/A</v>
      </c>
      <c r="AG358" s="306">
        <f t="shared" ca="1" si="172"/>
        <v>7.8266137233699649</v>
      </c>
      <c r="AH358" s="304">
        <f t="shared" ca="1" si="173"/>
        <v>-0.40676272829145216</v>
      </c>
    </row>
    <row r="359" spans="1:34" x14ac:dyDescent="0.25">
      <c r="A359" s="347">
        <f t="shared" ca="1" si="151"/>
        <v>0.1</v>
      </c>
      <c r="B359" s="304">
        <f t="shared" ca="1" si="152"/>
        <v>23.200000000000031</v>
      </c>
      <c r="D359" s="306">
        <f t="shared" ca="1" si="153"/>
        <v>-0.22709219745383777</v>
      </c>
      <c r="E359" s="307">
        <f t="shared" ca="1" si="154"/>
        <v>-9.4448077724572421</v>
      </c>
      <c r="F359" s="304">
        <f t="shared" ca="1" si="155"/>
        <v>9.4475374952848501</v>
      </c>
      <c r="G359" s="306">
        <f t="shared" ca="1" si="156"/>
        <v>15.19814366068203</v>
      </c>
      <c r="H359" s="307">
        <f t="shared" ca="1" si="157"/>
        <v>-25.421487168598318</v>
      </c>
      <c r="I359" s="304">
        <f t="shared" ca="1" si="158"/>
        <v>29.618163018559041</v>
      </c>
      <c r="J359" s="306">
        <f t="shared" ca="1" si="159"/>
        <v>448.26253177485574</v>
      </c>
      <c r="K359" s="307">
        <f t="shared" ca="1" si="160"/>
        <v>2249.6708042206305</v>
      </c>
      <c r="L359" s="304">
        <f t="shared" ca="1" si="145"/>
        <v>2293.8958182000993</v>
      </c>
      <c r="M359" s="306">
        <f t="shared" ca="1" si="161"/>
        <v>-1.031961887405036</v>
      </c>
      <c r="N359" s="304">
        <f t="shared" ca="1" si="162"/>
        <v>-59.127060766663227</v>
      </c>
      <c r="P359" s="310">
        <f t="shared" ca="1" si="163"/>
        <v>23</v>
      </c>
      <c r="Q359" s="304">
        <f t="shared" ca="1" si="164"/>
        <v>0</v>
      </c>
      <c r="R359" s="306">
        <f t="shared" ca="1" si="165"/>
        <v>0</v>
      </c>
      <c r="S359" s="307">
        <f t="shared" ca="1" si="166"/>
        <v>2.0842999999999985</v>
      </c>
      <c r="T359" s="304">
        <f t="shared" ca="1" si="146"/>
        <v>20.446982999999985</v>
      </c>
      <c r="U359" s="311">
        <f t="shared" ca="1" si="147"/>
        <v>0</v>
      </c>
      <c r="V359" s="306">
        <f t="shared" ca="1" si="148"/>
        <v>0.9772797744362578</v>
      </c>
      <c r="W359" s="304">
        <f t="shared" ca="1" si="149"/>
        <v>0.94667663863393636</v>
      </c>
      <c r="Y359" s="314" t="str">
        <f t="shared" ca="1" si="167"/>
        <v/>
      </c>
      <c r="Z359" s="315" t="str">
        <f t="shared" ca="1" si="168"/>
        <v/>
      </c>
      <c r="AA359" s="316" t="str">
        <f t="shared" ca="1" si="169"/>
        <v/>
      </c>
      <c r="AC359" s="310" t="e">
        <f t="shared" ca="1" si="170"/>
        <v>#N/A</v>
      </c>
      <c r="AD359" s="323" t="e">
        <f t="shared" ca="1" si="171"/>
        <v>#N/A</v>
      </c>
      <c r="AE359" s="324" t="e">
        <f t="shared" ca="1" si="150"/>
        <v>#N/A</v>
      </c>
      <c r="AG359" s="306">
        <f t="shared" ca="1" si="172"/>
        <v>7.9006202558831227</v>
      </c>
      <c r="AH359" s="304">
        <f t="shared" ca="1" si="173"/>
        <v>-0.43004212491575106</v>
      </c>
    </row>
    <row r="360" spans="1:34" x14ac:dyDescent="0.25">
      <c r="A360" s="347">
        <f t="shared" ca="1" si="151"/>
        <v>0.1</v>
      </c>
      <c r="B360" s="304">
        <f t="shared" ca="1" si="152"/>
        <v>23.300000000000033</v>
      </c>
      <c r="D360" s="306">
        <f t="shared" ca="1" si="153"/>
        <v>-0.23306328191804079</v>
      </c>
      <c r="E360" s="307">
        <f t="shared" ca="1" si="154"/>
        <v>-9.4201619143080926</v>
      </c>
      <c r="F360" s="304">
        <f t="shared" ca="1" si="155"/>
        <v>9.4230445708995294</v>
      </c>
      <c r="G360" s="306">
        <f t="shared" ca="1" si="156"/>
        <v>15.174837332490226</v>
      </c>
      <c r="H360" s="307">
        <f t="shared" ca="1" si="157"/>
        <v>-26.363503360029128</v>
      </c>
      <c r="I360" s="304">
        <f t="shared" ca="1" si="158"/>
        <v>30.418908551784138</v>
      </c>
      <c r="J360" s="306">
        <f t="shared" ca="1" si="159"/>
        <v>449.78118082451437</v>
      </c>
      <c r="K360" s="307">
        <f t="shared" ca="1" si="160"/>
        <v>2247.081554694199</v>
      </c>
      <c r="L360" s="304">
        <f t="shared" ca="1" si="145"/>
        <v>2291.6541240053639</v>
      </c>
      <c r="M360" s="306">
        <f t="shared" ca="1" si="161"/>
        <v>-1.0485111112542871</v>
      </c>
      <c r="N360" s="304">
        <f t="shared" ca="1" si="162"/>
        <v>-60.075261447442564</v>
      </c>
      <c r="P360" s="310">
        <f t="shared" ca="1" si="163"/>
        <v>23</v>
      </c>
      <c r="Q360" s="304">
        <f t="shared" ca="1" si="164"/>
        <v>0</v>
      </c>
      <c r="R360" s="306">
        <f t="shared" ca="1" si="165"/>
        <v>0</v>
      </c>
      <c r="S360" s="307">
        <f t="shared" ca="1" si="166"/>
        <v>2.0842999999999985</v>
      </c>
      <c r="T360" s="304">
        <f t="shared" ca="1" si="146"/>
        <v>20.446982999999985</v>
      </c>
      <c r="U360" s="311">
        <f t="shared" ca="1" si="147"/>
        <v>0</v>
      </c>
      <c r="V360" s="306">
        <f t="shared" ca="1" si="148"/>
        <v>0.97753608903864775</v>
      </c>
      <c r="W360" s="304">
        <f t="shared" ca="1" si="149"/>
        <v>0.99881847140824576</v>
      </c>
      <c r="Y360" s="314" t="str">
        <f t="shared" ca="1" si="167"/>
        <v/>
      </c>
      <c r="Z360" s="315" t="str">
        <f t="shared" ca="1" si="168"/>
        <v/>
      </c>
      <c r="AA360" s="316" t="str">
        <f t="shared" ca="1" si="169"/>
        <v/>
      </c>
      <c r="AC360" s="310" t="e">
        <f t="shared" ca="1" si="170"/>
        <v>#N/A</v>
      </c>
      <c r="AD360" s="323" t="e">
        <f t="shared" ca="1" si="171"/>
        <v>#N/A</v>
      </c>
      <c r="AE360" s="324" t="e">
        <f t="shared" ca="1" si="150"/>
        <v>#N/A</v>
      </c>
      <c r="AG360" s="306">
        <f t="shared" ca="1" si="172"/>
        <v>7.9658011147498797</v>
      </c>
      <c r="AH360" s="304">
        <f t="shared" ca="1" si="173"/>
        <v>-0.45419404050949336</v>
      </c>
    </row>
    <row r="361" spans="1:34" x14ac:dyDescent="0.25">
      <c r="A361" s="347">
        <f t="shared" ca="1" si="151"/>
        <v>0.1</v>
      </c>
      <c r="B361" s="304">
        <f t="shared" ca="1" si="152"/>
        <v>23.400000000000034</v>
      </c>
      <c r="D361" s="306">
        <f t="shared" ca="1" si="153"/>
        <v>-0.23905991118373321</v>
      </c>
      <c r="E361" s="307">
        <f t="shared" ca="1" si="154"/>
        <v>-9.3946771445617632</v>
      </c>
      <c r="F361" s="304">
        <f t="shared" ca="1" si="155"/>
        <v>9.3977182492180695</v>
      </c>
      <c r="G361" s="306">
        <f t="shared" ca="1" si="156"/>
        <v>15.150931341371852</v>
      </c>
      <c r="H361" s="307">
        <f t="shared" ca="1" si="157"/>
        <v>-27.302971074485303</v>
      </c>
      <c r="I361" s="304">
        <f t="shared" ca="1" si="158"/>
        <v>31.225037229844016</v>
      </c>
      <c r="J361" s="306">
        <f t="shared" ca="1" si="159"/>
        <v>451.29746925820746</v>
      </c>
      <c r="K361" s="307">
        <f t="shared" ca="1" si="160"/>
        <v>2244.3982309724734</v>
      </c>
      <c r="L361" s="304">
        <f t="shared" ca="1" si="145"/>
        <v>2289.3214769776723</v>
      </c>
      <c r="M361" s="306">
        <f t="shared" ca="1" si="161"/>
        <v>-1.0641845481959862</v>
      </c>
      <c r="N361" s="304">
        <f t="shared" ca="1" si="162"/>
        <v>-60.973283234666354</v>
      </c>
      <c r="P361" s="310">
        <f t="shared" ca="1" si="163"/>
        <v>23</v>
      </c>
      <c r="Q361" s="304">
        <f t="shared" ca="1" si="164"/>
        <v>0</v>
      </c>
      <c r="R361" s="306">
        <f t="shared" ca="1" si="165"/>
        <v>0</v>
      </c>
      <c r="S361" s="307">
        <f t="shared" ca="1" si="166"/>
        <v>2.0842999999999985</v>
      </c>
      <c r="T361" s="304">
        <f t="shared" ca="1" si="146"/>
        <v>20.446982999999985</v>
      </c>
      <c r="U361" s="311">
        <f t="shared" ca="1" si="147"/>
        <v>0</v>
      </c>
      <c r="V361" s="306">
        <f t="shared" ca="1" si="148"/>
        <v>0.97780177918114142</v>
      </c>
      <c r="W361" s="304">
        <f t="shared" ca="1" si="149"/>
        <v>1.0527451852165923</v>
      </c>
      <c r="Y361" s="314" t="str">
        <f t="shared" ca="1" si="167"/>
        <v/>
      </c>
      <c r="Z361" s="315" t="str">
        <f t="shared" ca="1" si="168"/>
        <v/>
      </c>
      <c r="AA361" s="316" t="str">
        <f t="shared" ca="1" si="169"/>
        <v/>
      </c>
      <c r="AC361" s="310" t="e">
        <f t="shared" ca="1" si="170"/>
        <v>#N/A</v>
      </c>
      <c r="AD361" s="323" t="e">
        <f t="shared" ca="1" si="171"/>
        <v>#N/A</v>
      </c>
      <c r="AE361" s="324" t="e">
        <f t="shared" ca="1" si="150"/>
        <v>#N/A</v>
      </c>
      <c r="AG361" s="306">
        <f t="shared" ca="1" si="172"/>
        <v>8.0229343793400538</v>
      </c>
      <c r="AH361" s="304">
        <f t="shared" ca="1" si="173"/>
        <v>-0.47921051259811276</v>
      </c>
    </row>
    <row r="362" spans="1:34" x14ac:dyDescent="0.25">
      <c r="A362" s="347">
        <f t="shared" ca="1" si="151"/>
        <v>0.1</v>
      </c>
      <c r="B362" s="304">
        <f t="shared" ca="1" si="152"/>
        <v>23.500000000000036</v>
      </c>
      <c r="D362" s="306">
        <f t="shared" ca="1" si="153"/>
        <v>-0.24507521966393278</v>
      </c>
      <c r="E362" s="307">
        <f t="shared" ca="1" si="154"/>
        <v>-9.3683583950851954</v>
      </c>
      <c r="F362" s="304">
        <f t="shared" ca="1" si="155"/>
        <v>9.3715634171709361</v>
      </c>
      <c r="G362" s="306">
        <f t="shared" ca="1" si="156"/>
        <v>15.126423819405458</v>
      </c>
      <c r="H362" s="307">
        <f t="shared" ca="1" si="157"/>
        <v>-28.239806913993821</v>
      </c>
      <c r="I362" s="304">
        <f t="shared" ca="1" si="158"/>
        <v>32.035845425147279</v>
      </c>
      <c r="J362" s="306">
        <f t="shared" ca="1" si="159"/>
        <v>452.81133701624634</v>
      </c>
      <c r="K362" s="307">
        <f t="shared" ca="1" si="160"/>
        <v>2241.6210920730496</v>
      </c>
      <c r="L362" s="304">
        <f t="shared" ca="1" si="145"/>
        <v>2286.8981672468958</v>
      </c>
      <c r="M362" s="306">
        <f t="shared" ca="1" si="161"/>
        <v>-1.0790433970233251</v>
      </c>
      <c r="N362" s="304">
        <f t="shared" ca="1" si="162"/>
        <v>-61.824632560895786</v>
      </c>
      <c r="P362" s="310">
        <f t="shared" ca="1" si="163"/>
        <v>23</v>
      </c>
      <c r="Q362" s="304">
        <f t="shared" ca="1" si="164"/>
        <v>0</v>
      </c>
      <c r="R362" s="306">
        <f t="shared" ca="1" si="165"/>
        <v>0</v>
      </c>
      <c r="S362" s="307">
        <f t="shared" ca="1" si="166"/>
        <v>2.0842999999999985</v>
      </c>
      <c r="T362" s="304">
        <f t="shared" ca="1" si="146"/>
        <v>20.446982999999985</v>
      </c>
      <c r="U362" s="311">
        <f t="shared" ca="1" si="147"/>
        <v>0</v>
      </c>
      <c r="V362" s="306">
        <f t="shared" ca="1" si="148"/>
        <v>0.97807682597217194</v>
      </c>
      <c r="W362" s="304">
        <f t="shared" ca="1" si="149"/>
        <v>1.108439156136261</v>
      </c>
      <c r="Y362" s="314" t="str">
        <f t="shared" ca="1" si="167"/>
        <v/>
      </c>
      <c r="Z362" s="315" t="str">
        <f t="shared" ca="1" si="168"/>
        <v/>
      </c>
      <c r="AA362" s="316" t="str">
        <f t="shared" ca="1" si="169"/>
        <v/>
      </c>
      <c r="AC362" s="310" t="e">
        <f t="shared" ca="1" si="170"/>
        <v>#N/A</v>
      </c>
      <c r="AD362" s="323" t="e">
        <f t="shared" ca="1" si="171"/>
        <v>#N/A</v>
      </c>
      <c r="AE362" s="324" t="e">
        <f t="shared" ca="1" si="150"/>
        <v>#N/A</v>
      </c>
      <c r="AG362" s="306">
        <f t="shared" ca="1" si="172"/>
        <v>8.0727173708187117</v>
      </c>
      <c r="AH362" s="304">
        <f t="shared" ca="1" si="173"/>
        <v>-0.50508333023873386</v>
      </c>
    </row>
    <row r="363" spans="1:34" x14ac:dyDescent="0.25">
      <c r="A363" s="347">
        <f t="shared" ca="1" si="151"/>
        <v>0.1</v>
      </c>
      <c r="B363" s="304">
        <f t="shared" ca="1" si="152"/>
        <v>23.600000000000037</v>
      </c>
      <c r="D363" s="306">
        <f t="shared" ca="1" si="153"/>
        <v>-0.25110288674966397</v>
      </c>
      <c r="E363" s="307">
        <f t="shared" ca="1" si="154"/>
        <v>-9.3412112683065303</v>
      </c>
      <c r="F363" s="304">
        <f t="shared" ca="1" si="155"/>
        <v>9.3445856312022144</v>
      </c>
      <c r="G363" s="306">
        <f t="shared" ca="1" si="156"/>
        <v>15.101313530730492</v>
      </c>
      <c r="H363" s="307">
        <f t="shared" ca="1" si="157"/>
        <v>-29.173928040824475</v>
      </c>
      <c r="I363" s="304">
        <f t="shared" ca="1" si="158"/>
        <v>32.850688694221141</v>
      </c>
      <c r="J363" s="306">
        <f t="shared" ca="1" si="159"/>
        <v>454.32272388375316</v>
      </c>
      <c r="K363" s="307">
        <f t="shared" ca="1" si="160"/>
        <v>2238.7504053253087</v>
      </c>
      <c r="L363" s="304">
        <f t="shared" ca="1" si="145"/>
        <v>2284.3844936396731</v>
      </c>
      <c r="M363" s="306">
        <f t="shared" ca="1" si="161"/>
        <v>-1.0931440425614865</v>
      </c>
      <c r="N363" s="304">
        <f t="shared" ca="1" si="162"/>
        <v>-62.632540038642404</v>
      </c>
      <c r="P363" s="310">
        <f t="shared" ca="1" si="163"/>
        <v>23</v>
      </c>
      <c r="Q363" s="304">
        <f t="shared" ca="1" si="164"/>
        <v>0</v>
      </c>
      <c r="R363" s="306">
        <f t="shared" ca="1" si="165"/>
        <v>0</v>
      </c>
      <c r="S363" s="307">
        <f t="shared" ca="1" si="166"/>
        <v>2.0842999999999985</v>
      </c>
      <c r="T363" s="304">
        <f t="shared" ca="1" si="146"/>
        <v>20.446982999999985</v>
      </c>
      <c r="U363" s="311">
        <f t="shared" ca="1" si="147"/>
        <v>0</v>
      </c>
      <c r="V363" s="306">
        <f t="shared" ca="1" si="148"/>
        <v>0.97836120991161568</v>
      </c>
      <c r="W363" s="304">
        <f t="shared" ca="1" si="149"/>
        <v>1.1658822590944864</v>
      </c>
      <c r="Y363" s="314" t="str">
        <f t="shared" ca="1" si="167"/>
        <v/>
      </c>
      <c r="Z363" s="315" t="str">
        <f t="shared" ca="1" si="168"/>
        <v/>
      </c>
      <c r="AA363" s="316" t="str">
        <f t="shared" ca="1" si="169"/>
        <v/>
      </c>
      <c r="AC363" s="310" t="e">
        <f t="shared" ca="1" si="170"/>
        <v>#N/A</v>
      </c>
      <c r="AD363" s="323" t="e">
        <f t="shared" ca="1" si="171"/>
        <v>#N/A</v>
      </c>
      <c r="AE363" s="324" t="e">
        <f t="shared" ca="1" si="150"/>
        <v>#N/A</v>
      </c>
      <c r="AG363" s="306">
        <f t="shared" ca="1" si="172"/>
        <v>8.1157750145859584</v>
      </c>
      <c r="AH363" s="304">
        <f t="shared" ca="1" si="173"/>
        <v>-0.53180403787183317</v>
      </c>
    </row>
    <row r="364" spans="1:34" x14ac:dyDescent="0.25">
      <c r="A364" s="347">
        <f t="shared" ca="1" si="151"/>
        <v>0.1</v>
      </c>
      <c r="B364" s="304">
        <f t="shared" ca="1" si="152"/>
        <v>23.700000000000038</v>
      </c>
      <c r="D364" s="306">
        <f t="shared" ca="1" si="153"/>
        <v>-0.25713708186645012</v>
      </c>
      <c r="E364" s="307">
        <f t="shared" ca="1" si="154"/>
        <v>-9.313241972446054</v>
      </c>
      <c r="F364" s="304">
        <f t="shared" ca="1" si="155"/>
        <v>9.3167910525138247</v>
      </c>
      <c r="G364" s="306">
        <f t="shared" ca="1" si="156"/>
        <v>15.075599822543847</v>
      </c>
      <c r="H364" s="307">
        <f t="shared" ca="1" si="157"/>
        <v>-30.105252238069081</v>
      </c>
      <c r="I364" s="304">
        <f t="shared" ca="1" si="158"/>
        <v>33.668975664953742</v>
      </c>
      <c r="J364" s="306">
        <f t="shared" ca="1" si="159"/>
        <v>455.83156955141686</v>
      </c>
      <c r="K364" s="307">
        <f t="shared" ca="1" si="160"/>
        <v>2235.7864463113642</v>
      </c>
      <c r="L364" s="304">
        <f t="shared" ca="1" si="145"/>
        <v>2281.7807636381954</v>
      </c>
      <c r="M364" s="306">
        <f t="shared" ca="1" si="161"/>
        <v>-1.1065384139174066</v>
      </c>
      <c r="N364" s="304">
        <f t="shared" ca="1" si="162"/>
        <v>-63.399980986567549</v>
      </c>
      <c r="P364" s="310">
        <f t="shared" ca="1" si="163"/>
        <v>23</v>
      </c>
      <c r="Q364" s="304">
        <f t="shared" ca="1" si="164"/>
        <v>0</v>
      </c>
      <c r="R364" s="306">
        <f t="shared" ca="1" si="165"/>
        <v>0</v>
      </c>
      <c r="S364" s="307">
        <f t="shared" ca="1" si="166"/>
        <v>2.0842999999999985</v>
      </c>
      <c r="T364" s="304">
        <f t="shared" ca="1" si="146"/>
        <v>20.446982999999985</v>
      </c>
      <c r="U364" s="311">
        <f t="shared" ca="1" si="147"/>
        <v>0</v>
      </c>
      <c r="V364" s="306">
        <f t="shared" ca="1" si="148"/>
        <v>0.97865491089380729</v>
      </c>
      <c r="W364" s="304">
        <f t="shared" ca="1" si="149"/>
        <v>1.2250558771838236</v>
      </c>
      <c r="Y364" s="314" t="str">
        <f t="shared" ca="1" si="167"/>
        <v/>
      </c>
      <c r="Z364" s="315" t="str">
        <f t="shared" ca="1" si="168"/>
        <v/>
      </c>
      <c r="AA364" s="316" t="str">
        <f t="shared" ca="1" si="169"/>
        <v/>
      </c>
      <c r="AC364" s="310" t="e">
        <f t="shared" ca="1" si="170"/>
        <v>#N/A</v>
      </c>
      <c r="AD364" s="323" t="e">
        <f t="shared" ca="1" si="171"/>
        <v>#N/A</v>
      </c>
      <c r="AE364" s="324" t="e">
        <f t="shared" ca="1" si="150"/>
        <v>#N/A</v>
      </c>
      <c r="AG364" s="306">
        <f t="shared" ca="1" si="172"/>
        <v>8.1526675416213763</v>
      </c>
      <c r="AH364" s="304">
        <f t="shared" ca="1" si="173"/>
        <v>-0.55936393949742702</v>
      </c>
    </row>
    <row r="365" spans="1:34" x14ac:dyDescent="0.25">
      <c r="A365" s="347">
        <f t="shared" ca="1" si="151"/>
        <v>0.1</v>
      </c>
      <c r="B365" s="304">
        <f t="shared" ca="1" si="152"/>
        <v>23.80000000000004</v>
      </c>
      <c r="D365" s="306">
        <f t="shared" ca="1" si="153"/>
        <v>-0.26317241549721365</v>
      </c>
      <c r="E365" s="307">
        <f t="shared" ca="1" si="154"/>
        <v>-9.2844572657866795</v>
      </c>
      <c r="F365" s="304">
        <f t="shared" ca="1" si="155"/>
        <v>9.288186391352065</v>
      </c>
      <c r="G365" s="306">
        <f t="shared" ca="1" si="156"/>
        <v>15.049282580994126</v>
      </c>
      <c r="H365" s="307">
        <f t="shared" ca="1" si="157"/>
        <v>-31.03369796464775</v>
      </c>
      <c r="I365" s="304">
        <f t="shared" ca="1" si="158"/>
        <v>34.490162591144667</v>
      </c>
      <c r="J365" s="306">
        <f t="shared" ca="1" si="159"/>
        <v>457.33781367159378</v>
      </c>
      <c r="K365" s="307">
        <f t="shared" ca="1" si="160"/>
        <v>2232.7294988012286</v>
      </c>
      <c r="L365" s="304">
        <f t="shared" ca="1" si="145"/>
        <v>2279.0872933328155</v>
      </c>
      <c r="M365" s="306">
        <f t="shared" ca="1" si="161"/>
        <v>-1.119274330427636</v>
      </c>
      <c r="N365" s="304">
        <f t="shared" ca="1" si="162"/>
        <v>-64.129695250834686</v>
      </c>
      <c r="P365" s="310">
        <f t="shared" ca="1" si="163"/>
        <v>23</v>
      </c>
      <c r="Q365" s="304">
        <f t="shared" ca="1" si="164"/>
        <v>0</v>
      </c>
      <c r="R365" s="306">
        <f t="shared" ca="1" si="165"/>
        <v>0</v>
      </c>
      <c r="S365" s="307">
        <f t="shared" ca="1" si="166"/>
        <v>2.0842999999999985</v>
      </c>
      <c r="T365" s="304">
        <f t="shared" ca="1" si="146"/>
        <v>20.446982999999985</v>
      </c>
      <c r="U365" s="311">
        <f t="shared" ca="1" si="147"/>
        <v>0</v>
      </c>
      <c r="V365" s="306">
        <f t="shared" ca="1" si="148"/>
        <v>0.97895790821104733</v>
      </c>
      <c r="W365" s="304">
        <f t="shared" ca="1" si="149"/>
        <v>1.2859409115310674</v>
      </c>
      <c r="Y365" s="314" t="str">
        <f t="shared" ca="1" si="167"/>
        <v/>
      </c>
      <c r="Z365" s="315" t="str">
        <f t="shared" ca="1" si="168"/>
        <v/>
      </c>
      <c r="AA365" s="316" t="str">
        <f t="shared" ca="1" si="169"/>
        <v/>
      </c>
      <c r="AC365" s="310" t="e">
        <f t="shared" ca="1" si="170"/>
        <v>#N/A</v>
      </c>
      <c r="AD365" s="323" t="e">
        <f t="shared" ca="1" si="171"/>
        <v>#N/A</v>
      </c>
      <c r="AE365" s="324" t="e">
        <f t="shared" ca="1" si="150"/>
        <v>#N/A</v>
      </c>
      <c r="AG365" s="306">
        <f t="shared" ca="1" si="172"/>
        <v>8.1838975026058769</v>
      </c>
      <c r="AH365" s="304">
        <f t="shared" ca="1" si="173"/>
        <v>-0.58775410314437671</v>
      </c>
    </row>
    <row r="366" spans="1:34" x14ac:dyDescent="0.25">
      <c r="A366" s="347">
        <f t="shared" ca="1" si="151"/>
        <v>0.1</v>
      </c>
      <c r="B366" s="304">
        <f t="shared" ca="1" si="152"/>
        <v>23.900000000000041</v>
      </c>
      <c r="D366" s="306">
        <f t="shared" ca="1" si="153"/>
        <v>-0.26920389560772845</v>
      </c>
      <c r="E366" s="307">
        <f t="shared" ca="1" si="154"/>
        <v>-9.2548644085035896</v>
      </c>
      <c r="F366" s="304">
        <f t="shared" ca="1" si="155"/>
        <v>9.2587788588558944</v>
      </c>
      <c r="G366" s="306">
        <f t="shared" ca="1" si="156"/>
        <v>15.022362191433352</v>
      </c>
      <c r="H366" s="307">
        <f t="shared" ca="1" si="157"/>
        <v>-31.95918440549811</v>
      </c>
      <c r="I366" s="304">
        <f t="shared" ca="1" si="158"/>
        <v>35.313748507843798</v>
      </c>
      <c r="J366" s="306">
        <f t="shared" ca="1" si="159"/>
        <v>458.84139591021517</v>
      </c>
      <c r="K366" s="307">
        <f t="shared" ca="1" si="160"/>
        <v>2229.5798546827214</v>
      </c>
      <c r="L366" s="304">
        <f t="shared" ca="1" si="145"/>
        <v>2276.3044073690712</v>
      </c>
      <c r="M366" s="306">
        <f t="shared" ca="1" si="161"/>
        <v>-1.1313958307726442</v>
      </c>
      <c r="N366" s="304">
        <f t="shared" ca="1" si="162"/>
        <v>-64.824206061970017</v>
      </c>
      <c r="P366" s="310">
        <f t="shared" ca="1" si="163"/>
        <v>23</v>
      </c>
      <c r="Q366" s="304">
        <f t="shared" ca="1" si="164"/>
        <v>0</v>
      </c>
      <c r="R366" s="306">
        <f t="shared" ca="1" si="165"/>
        <v>0</v>
      </c>
      <c r="S366" s="307">
        <f t="shared" ca="1" si="166"/>
        <v>2.0842999999999985</v>
      </c>
      <c r="T366" s="304">
        <f t="shared" ca="1" si="146"/>
        <v>20.446982999999985</v>
      </c>
      <c r="U366" s="311">
        <f t="shared" ca="1" si="147"/>
        <v>0</v>
      </c>
      <c r="V366" s="306">
        <f t="shared" ca="1" si="148"/>
        <v>0.97927018055755199</v>
      </c>
      <c r="W366" s="304">
        <f t="shared" ca="1" si="149"/>
        <v>1.3485177916690299</v>
      </c>
      <c r="Y366" s="314" t="str">
        <f t="shared" ca="1" si="167"/>
        <v/>
      </c>
      <c r="Z366" s="315" t="str">
        <f t="shared" ca="1" si="168"/>
        <v/>
      </c>
      <c r="AA366" s="316" t="str">
        <f t="shared" ca="1" si="169"/>
        <v/>
      </c>
      <c r="AC366" s="310" t="e">
        <f t="shared" ca="1" si="170"/>
        <v>#N/A</v>
      </c>
      <c r="AD366" s="323" t="e">
        <f t="shared" ca="1" si="171"/>
        <v>#N/A</v>
      </c>
      <c r="AE366" s="324" t="e">
        <f t="shared" ca="1" si="150"/>
        <v>#N/A</v>
      </c>
      <c r="AG366" s="306">
        <f t="shared" ca="1" si="172"/>
        <v>8.2099161032388128</v>
      </c>
      <c r="AH366" s="304">
        <f t="shared" ca="1" si="173"/>
        <v>-0.61696536560527193</v>
      </c>
    </row>
    <row r="367" spans="1:34" x14ac:dyDescent="0.25">
      <c r="A367" s="347">
        <f t="shared" ca="1" si="151"/>
        <v>0.1</v>
      </c>
      <c r="B367" s="304">
        <f t="shared" ca="1" si="152"/>
        <v>24.000000000000043</v>
      </c>
      <c r="D367" s="306">
        <f t="shared" ca="1" si="153"/>
        <v>-0.2752268889292841</v>
      </c>
      <c r="E367" s="307">
        <f t="shared" ca="1" si="154"/>
        <v>-9.2244711208162364</v>
      </c>
      <c r="F367" s="304">
        <f t="shared" ca="1" si="155"/>
        <v>9.2285761252298517</v>
      </c>
      <c r="G367" s="306">
        <f t="shared" ca="1" si="156"/>
        <v>14.994839502540424</v>
      </c>
      <c r="H367" s="307">
        <f t="shared" ca="1" si="157"/>
        <v>-32.881631517579734</v>
      </c>
      <c r="I367" s="304">
        <f t="shared" ca="1" si="158"/>
        <v>36.139270924644279</v>
      </c>
      <c r="J367" s="306">
        <f t="shared" ca="1" si="159"/>
        <v>460.34225599491384</v>
      </c>
      <c r="K367" s="307">
        <f t="shared" ca="1" si="160"/>
        <v>2226.3378138865673</v>
      </c>
      <c r="L367" s="304">
        <f t="shared" ca="1" si="145"/>
        <v>2273.4324388896421</v>
      </c>
      <c r="M367" s="306">
        <f t="shared" ca="1" si="161"/>
        <v>-1.1429434826138207</v>
      </c>
      <c r="N367" s="304">
        <f t="shared" ca="1" si="162"/>
        <v>-65.485837775755911</v>
      </c>
      <c r="P367" s="310">
        <f t="shared" ca="1" si="163"/>
        <v>23</v>
      </c>
      <c r="Q367" s="304">
        <f t="shared" ca="1" si="164"/>
        <v>0</v>
      </c>
      <c r="R367" s="306">
        <f t="shared" ca="1" si="165"/>
        <v>0</v>
      </c>
      <c r="S367" s="307">
        <f t="shared" ca="1" si="166"/>
        <v>2.0842999999999985</v>
      </c>
      <c r="T367" s="304">
        <f t="shared" ca="1" si="146"/>
        <v>20.446982999999985</v>
      </c>
      <c r="U367" s="311">
        <f t="shared" ca="1" si="147"/>
        <v>0</v>
      </c>
      <c r="V367" s="306">
        <f t="shared" ca="1" si="148"/>
        <v>0.97959170603381152</v>
      </c>
      <c r="W367" s="304">
        <f t="shared" ca="1" si="149"/>
        <v>1.4127664863661833</v>
      </c>
      <c r="Y367" s="314" t="str">
        <f t="shared" ca="1" si="167"/>
        <v/>
      </c>
      <c r="Z367" s="315" t="str">
        <f t="shared" ca="1" si="168"/>
        <v/>
      </c>
      <c r="AA367" s="316" t="str">
        <f t="shared" ca="1" si="169"/>
        <v/>
      </c>
      <c r="AC367" s="310">
        <f t="shared" ca="1" si="170"/>
        <v>24.000000000000043</v>
      </c>
      <c r="AD367" s="323">
        <f t="shared" ca="1" si="171"/>
        <v>460.34225599491384</v>
      </c>
      <c r="AE367" s="324" t="e">
        <f t="shared" ca="1" si="150"/>
        <v>#N/A</v>
      </c>
      <c r="AG367" s="306">
        <f t="shared" ca="1" si="172"/>
        <v>8.2311288907343698</v>
      </c>
      <c r="AH367" s="304">
        <f t="shared" ca="1" si="173"/>
        <v>-0.64698833741257533</v>
      </c>
    </row>
    <row r="368" spans="1:34" x14ac:dyDescent="0.25">
      <c r="A368" s="347">
        <f t="shared" ca="1" si="151"/>
        <v>0.1</v>
      </c>
      <c r="B368" s="304">
        <f t="shared" ca="1" si="152"/>
        <v>24.100000000000044</v>
      </c>
      <c r="D368" s="306">
        <f t="shared" ca="1" si="153"/>
        <v>-0.28123708658481794</v>
      </c>
      <c r="E368" s="307">
        <f t="shared" ca="1" si="154"/>
        <v>-9.1932855464312961</v>
      </c>
      <c r="F368" s="304">
        <f t="shared" ca="1" si="155"/>
        <v>9.197586283210029</v>
      </c>
      <c r="G368" s="306">
        <f t="shared" ca="1" si="156"/>
        <v>14.966715793881942</v>
      </c>
      <c r="H368" s="307">
        <f t="shared" ca="1" si="157"/>
        <v>-33.800960072222864</v>
      </c>
      <c r="I368" s="304">
        <f t="shared" ca="1" si="158"/>
        <v>36.966301998696586</v>
      </c>
      <c r="J368" s="306">
        <f t="shared" ca="1" si="159"/>
        <v>461.84033375973496</v>
      </c>
      <c r="K368" s="307">
        <f t="shared" ca="1" si="160"/>
        <v>2223.003684307077</v>
      </c>
      <c r="L368" s="304">
        <f t="shared" ca="1" si="145"/>
        <v>2270.4717294716843</v>
      </c>
      <c r="M368" s="306">
        <f t="shared" ca="1" si="161"/>
        <v>-1.1539546714628157</v>
      </c>
      <c r="N368" s="304">
        <f t="shared" ca="1" si="162"/>
        <v>-66.116732424224836</v>
      </c>
      <c r="P368" s="310">
        <f t="shared" ca="1" si="163"/>
        <v>23</v>
      </c>
      <c r="Q368" s="304">
        <f t="shared" ca="1" si="164"/>
        <v>0</v>
      </c>
      <c r="R368" s="306">
        <f t="shared" ca="1" si="165"/>
        <v>0</v>
      </c>
      <c r="S368" s="307">
        <f t="shared" ca="1" si="166"/>
        <v>2.0842999999999985</v>
      </c>
      <c r="T368" s="304">
        <f t="shared" ca="1" si="146"/>
        <v>20.446982999999985</v>
      </c>
      <c r="U368" s="311">
        <f t="shared" ca="1" si="147"/>
        <v>0</v>
      </c>
      <c r="V368" s="306">
        <f t="shared" ca="1" si="148"/>
        <v>0.97992246215131029</v>
      </c>
      <c r="W368" s="304">
        <f t="shared" ca="1" si="149"/>
        <v>1.4786665148738196</v>
      </c>
      <c r="Y368" s="314" t="str">
        <f t="shared" ca="1" si="167"/>
        <v/>
      </c>
      <c r="Z368" s="315" t="str">
        <f t="shared" ca="1" si="168"/>
        <v/>
      </c>
      <c r="AA368" s="316" t="str">
        <f t="shared" ca="1" si="169"/>
        <v/>
      </c>
      <c r="AC368" s="310" t="e">
        <f t="shared" ca="1" si="170"/>
        <v>#N/A</v>
      </c>
      <c r="AD368" s="323" t="e">
        <f t="shared" ca="1" si="171"/>
        <v>#N/A</v>
      </c>
      <c r="AE368" s="324" t="e">
        <f t="shared" ca="1" si="150"/>
        <v>#N/A</v>
      </c>
      <c r="AG368" s="306">
        <f t="shared" ca="1" si="172"/>
        <v>8.2479008339617739</v>
      </c>
      <c r="AH368" s="304">
        <f t="shared" ca="1" si="173"/>
        <v>-0.67781340803444046</v>
      </c>
    </row>
    <row r="369" spans="1:34" x14ac:dyDescent="0.25">
      <c r="A369" s="347">
        <f t="shared" ca="1" si="151"/>
        <v>0.1</v>
      </c>
      <c r="B369" s="304">
        <f t="shared" ca="1" si="152"/>
        <v>24.200000000000045</v>
      </c>
      <c r="D369" s="306">
        <f t="shared" ca="1" si="153"/>
        <v>-0.28723047358335319</v>
      </c>
      <c r="E369" s="307">
        <f t="shared" ca="1" si="154"/>
        <v>-9.1613162204172234</v>
      </c>
      <c r="F369" s="304">
        <f t="shared" ca="1" si="155"/>
        <v>9.1658178159635391</v>
      </c>
      <c r="G369" s="306">
        <f t="shared" ca="1" si="156"/>
        <v>14.937992746523607</v>
      </c>
      <c r="H369" s="307">
        <f t="shared" ca="1" si="157"/>
        <v>-34.717091694264589</v>
      </c>
      <c r="I369" s="304">
        <f t="shared" ca="1" si="158"/>
        <v>37.794445134214726</v>
      </c>
      <c r="J369" s="306">
        <f t="shared" ca="1" si="159"/>
        <v>463.33556918675527</v>
      </c>
      <c r="K369" s="307">
        <f t="shared" ca="1" si="160"/>
        <v>2219.5777817187527</v>
      </c>
      <c r="L369" s="304">
        <f t="shared" ca="1" si="145"/>
        <v>2267.422629059954</v>
      </c>
      <c r="M369" s="306">
        <f t="shared" ca="1" si="161"/>
        <v>-1.1644638684443407</v>
      </c>
      <c r="N369" s="304">
        <f t="shared" ca="1" si="162"/>
        <v>-66.718865057337851</v>
      </c>
      <c r="P369" s="310">
        <f t="shared" ca="1" si="163"/>
        <v>23</v>
      </c>
      <c r="Q369" s="304">
        <f t="shared" ca="1" si="164"/>
        <v>0</v>
      </c>
      <c r="R369" s="306">
        <f t="shared" ca="1" si="165"/>
        <v>0</v>
      </c>
      <c r="S369" s="307">
        <f t="shared" ca="1" si="166"/>
        <v>2.0842999999999985</v>
      </c>
      <c r="T369" s="304">
        <f t="shared" ca="1" si="146"/>
        <v>20.446982999999985</v>
      </c>
      <c r="U369" s="311">
        <f t="shared" ca="1" si="147"/>
        <v>0</v>
      </c>
      <c r="V369" s="306">
        <f t="shared" ca="1" si="148"/>
        <v>0.98026242583758516</v>
      </c>
      <c r="W369" s="304">
        <f t="shared" ca="1" si="149"/>
        <v>1.5461969585543558</v>
      </c>
      <c r="Y369" s="314" t="str">
        <f t="shared" ca="1" si="167"/>
        <v/>
      </c>
      <c r="Z369" s="315" t="str">
        <f t="shared" ca="1" si="168"/>
        <v/>
      </c>
      <c r="AA369" s="316" t="str">
        <f t="shared" ca="1" si="169"/>
        <v/>
      </c>
      <c r="AC369" s="310" t="e">
        <f t="shared" ca="1" si="170"/>
        <v>#N/A</v>
      </c>
      <c r="AD369" s="323" t="e">
        <f t="shared" ca="1" si="171"/>
        <v>#N/A</v>
      </c>
      <c r="AE369" s="324" t="e">
        <f t="shared" ca="1" si="150"/>
        <v>#N/A</v>
      </c>
      <c r="AG369" s="306">
        <f t="shared" ca="1" si="172"/>
        <v>8.2605608459464772</v>
      </c>
      <c r="AH369" s="304">
        <f t="shared" ca="1" si="173"/>
        <v>-0.70943075127084421</v>
      </c>
    </row>
    <row r="370" spans="1:34" x14ac:dyDescent="0.25">
      <c r="A370" s="347">
        <f t="shared" ca="1" si="151"/>
        <v>0.1</v>
      </c>
      <c r="B370" s="304">
        <f t="shared" ca="1" si="152"/>
        <v>24.300000000000047</v>
      </c>
      <c r="D370" s="306">
        <f t="shared" ca="1" si="153"/>
        <v>-0.29320330174913695</v>
      </c>
      <c r="E370" s="307">
        <f t="shared" ca="1" si="154"/>
        <v>-9.1285720407947828</v>
      </c>
      <c r="F370" s="304">
        <f t="shared" ca="1" si="155"/>
        <v>9.1332795687056922</v>
      </c>
      <c r="G370" s="306">
        <f t="shared" ca="1" si="156"/>
        <v>14.908672416348693</v>
      </c>
      <c r="H370" s="307">
        <f t="shared" ca="1" si="157"/>
        <v>-35.629948898344068</v>
      </c>
      <c r="I370" s="304">
        <f t="shared" ca="1" si="158"/>
        <v>38.623331960313912</v>
      </c>
      <c r="J370" s="306">
        <f t="shared" ca="1" si="159"/>
        <v>464.82790244489888</v>
      </c>
      <c r="K370" s="307">
        <f t="shared" ca="1" si="160"/>
        <v>2216.0604296891224</v>
      </c>
      <c r="L370" s="304">
        <f t="shared" ca="1" si="145"/>
        <v>2264.2854958960593</v>
      </c>
      <c r="M370" s="306">
        <f t="shared" ca="1" si="161"/>
        <v>-1.174502877265889</v>
      </c>
      <c r="N370" s="304">
        <f t="shared" ca="1" si="162"/>
        <v>-67.294057893307169</v>
      </c>
      <c r="P370" s="310">
        <f t="shared" ca="1" si="163"/>
        <v>23</v>
      </c>
      <c r="Q370" s="304">
        <f t="shared" ca="1" si="164"/>
        <v>0</v>
      </c>
      <c r="R370" s="306">
        <f t="shared" ca="1" si="165"/>
        <v>0</v>
      </c>
      <c r="S370" s="307">
        <f t="shared" ca="1" si="166"/>
        <v>2.0842999999999985</v>
      </c>
      <c r="T370" s="304">
        <f t="shared" ca="1" si="146"/>
        <v>20.446982999999985</v>
      </c>
      <c r="U370" s="311">
        <f t="shared" ca="1" si="147"/>
        <v>0</v>
      </c>
      <c r="V370" s="306">
        <f t="shared" ca="1" si="148"/>
        <v>0.980611573441587</v>
      </c>
      <c r="W370" s="304">
        <f t="shared" ca="1" si="149"/>
        <v>1.6153364728577178</v>
      </c>
      <c r="Y370" s="314" t="str">
        <f t="shared" ca="1" si="167"/>
        <v/>
      </c>
      <c r="Z370" s="315" t="str">
        <f t="shared" ca="1" si="168"/>
        <v/>
      </c>
      <c r="AA370" s="316" t="str">
        <f t="shared" ca="1" si="169"/>
        <v/>
      </c>
      <c r="AC370" s="310" t="e">
        <f t="shared" ca="1" si="170"/>
        <v>#N/A</v>
      </c>
      <c r="AD370" s="323" t="e">
        <f t="shared" ca="1" si="171"/>
        <v>#N/A</v>
      </c>
      <c r="AE370" s="324" t="e">
        <f t="shared" ca="1" si="150"/>
        <v>#N/A</v>
      </c>
      <c r="AG370" s="306">
        <f t="shared" ca="1" si="172"/>
        <v>8.2694057995377666</v>
      </c>
      <c r="AH370" s="304">
        <f t="shared" ca="1" si="173"/>
        <v>-0.74183033083258498</v>
      </c>
    </row>
    <row r="371" spans="1:34" x14ac:dyDescent="0.25">
      <c r="A371" s="347">
        <f t="shared" ca="1" si="151"/>
        <v>0.1</v>
      </c>
      <c r="B371" s="304">
        <f t="shared" ca="1" si="152"/>
        <v>24.400000000000048</v>
      </c>
      <c r="D371" s="306">
        <f t="shared" ca="1" si="153"/>
        <v>-0.29915206569369196</v>
      </c>
      <c r="E371" s="307">
        <f t="shared" ca="1" si="154"/>
        <v>-9.0950622432476269</v>
      </c>
      <c r="F371" s="304">
        <f t="shared" ca="1" si="155"/>
        <v>9.0999807234387795</v>
      </c>
      <c r="G371" s="306">
        <f t="shared" ca="1" si="156"/>
        <v>14.878757209779325</v>
      </c>
      <c r="H371" s="307">
        <f t="shared" ca="1" si="157"/>
        <v>-36.539455122668834</v>
      </c>
      <c r="I371" s="304">
        <f t="shared" ca="1" si="158"/>
        <v>39.452619643936067</v>
      </c>
      <c r="J371" s="306">
        <f t="shared" ca="1" si="159"/>
        <v>466.3172739262053</v>
      </c>
      <c r="K371" s="307">
        <f t="shared" ca="1" si="160"/>
        <v>2212.4519594880717</v>
      </c>
      <c r="L371" s="304">
        <f t="shared" ca="1" si="145"/>
        <v>2261.0606964441658</v>
      </c>
      <c r="M371" s="306">
        <f t="shared" ca="1" si="161"/>
        <v>-1.1841010611396792</v>
      </c>
      <c r="N371" s="304">
        <f t="shared" ca="1" si="162"/>
        <v>-67.843993320265866</v>
      </c>
      <c r="P371" s="310">
        <f t="shared" ca="1" si="163"/>
        <v>23</v>
      </c>
      <c r="Q371" s="304">
        <f t="shared" ca="1" si="164"/>
        <v>0</v>
      </c>
      <c r="R371" s="306">
        <f t="shared" ca="1" si="165"/>
        <v>0</v>
      </c>
      <c r="S371" s="307">
        <f t="shared" ca="1" si="166"/>
        <v>2.0842999999999985</v>
      </c>
      <c r="T371" s="304">
        <f t="shared" ca="1" si="146"/>
        <v>20.446982999999985</v>
      </c>
      <c r="U371" s="311">
        <f t="shared" ca="1" si="147"/>
        <v>0</v>
      </c>
      <c r="V371" s="306">
        <f t="shared" ca="1" si="148"/>
        <v>0.98096988073933</v>
      </c>
      <c r="W371" s="304">
        <f t="shared" ca="1" si="149"/>
        <v>1.6860632996155143</v>
      </c>
      <c r="Y371" s="314" t="str">
        <f t="shared" ca="1" si="167"/>
        <v/>
      </c>
      <c r="Z371" s="315" t="str">
        <f t="shared" ca="1" si="168"/>
        <v/>
      </c>
      <c r="AA371" s="316" t="str">
        <f t="shared" ca="1" si="169"/>
        <v/>
      </c>
      <c r="AC371" s="310" t="e">
        <f t="shared" ca="1" si="170"/>
        <v>#N/A</v>
      </c>
      <c r="AD371" s="323" t="e">
        <f t="shared" ca="1" si="171"/>
        <v>#N/A</v>
      </c>
      <c r="AE371" s="324" t="e">
        <f t="shared" ca="1" si="150"/>
        <v>#N/A</v>
      </c>
      <c r="AG371" s="306">
        <f t="shared" ca="1" si="172"/>
        <v>8.2747040864434194</v>
      </c>
      <c r="AH371" s="304">
        <f t="shared" ca="1" si="173"/>
        <v>-0.77500190608728059</v>
      </c>
    </row>
    <row r="372" spans="1:34" x14ac:dyDescent="0.25">
      <c r="A372" s="347">
        <f t="shared" ca="1" si="151"/>
        <v>0.1</v>
      </c>
      <c r="B372" s="304">
        <f t="shared" ca="1" si="152"/>
        <v>24.50000000000005</v>
      </c>
      <c r="D372" s="306">
        <f t="shared" ca="1" si="153"/>
        <v>-0.30507348147940266</v>
      </c>
      <c r="E372" s="307">
        <f t="shared" ca="1" si="154"/>
        <v>-9.0607963784565104</v>
      </c>
      <c r="F372" s="304">
        <f t="shared" ca="1" si="155"/>
        <v>9.0659307763159411</v>
      </c>
      <c r="G372" s="306">
        <f t="shared" ca="1" si="156"/>
        <v>14.848249861631384</v>
      </c>
      <c r="H372" s="307">
        <f t="shared" ca="1" si="157"/>
        <v>-37.445534760514484</v>
      </c>
      <c r="I372" s="304">
        <f t="shared" ca="1" si="158"/>
        <v>40.281988499257764</v>
      </c>
      <c r="J372" s="306">
        <f t="shared" ca="1" si="159"/>
        <v>467.80362427977582</v>
      </c>
      <c r="K372" s="307">
        <f t="shared" ca="1" si="160"/>
        <v>2208.7527099939125</v>
      </c>
      <c r="L372" s="304">
        <f t="shared" ca="1" si="145"/>
        <v>2257.7486053134317</v>
      </c>
      <c r="M372" s="306">
        <f t="shared" ca="1" si="161"/>
        <v>-1.1932855506732429</v>
      </c>
      <c r="N372" s="304">
        <f t="shared" ca="1" si="162"/>
        <v>-68.370225807521152</v>
      </c>
      <c r="P372" s="310">
        <f t="shared" ca="1" si="163"/>
        <v>23</v>
      </c>
      <c r="Q372" s="304">
        <f t="shared" ca="1" si="164"/>
        <v>0</v>
      </c>
      <c r="R372" s="306">
        <f t="shared" ca="1" si="165"/>
        <v>0</v>
      </c>
      <c r="S372" s="307">
        <f t="shared" ca="1" si="166"/>
        <v>2.0842999999999985</v>
      </c>
      <c r="T372" s="304">
        <f t="shared" ca="1" si="146"/>
        <v>20.446982999999985</v>
      </c>
      <c r="U372" s="311">
        <f t="shared" ca="1" si="147"/>
        <v>0</v>
      </c>
      <c r="V372" s="306">
        <f t="shared" ca="1" si="148"/>
        <v>0.98133732293980036</v>
      </c>
      <c r="W372" s="304">
        <f t="shared" ca="1" si="149"/>
        <v>1.7583552796250435</v>
      </c>
      <c r="Y372" s="314" t="str">
        <f t="shared" ca="1" si="167"/>
        <v/>
      </c>
      <c r="Z372" s="315" t="str">
        <f t="shared" ca="1" si="168"/>
        <v/>
      </c>
      <c r="AA372" s="316" t="str">
        <f t="shared" ca="1" si="169"/>
        <v/>
      </c>
      <c r="AC372" s="310" t="e">
        <f t="shared" ca="1" si="170"/>
        <v>#N/A</v>
      </c>
      <c r="AD372" s="323" t="e">
        <f t="shared" ca="1" si="171"/>
        <v>#N/A</v>
      </c>
      <c r="AE372" s="324" t="e">
        <f t="shared" ca="1" si="150"/>
        <v>#N/A</v>
      </c>
      <c r="AG372" s="306">
        <f t="shared" ca="1" si="172"/>
        <v>8.276698767565037</v>
      </c>
      <c r="AH372" s="304">
        <f t="shared" ca="1" si="173"/>
        <v>-0.80893503795783495</v>
      </c>
    </row>
    <row r="373" spans="1:34" x14ac:dyDescent="0.25">
      <c r="A373" s="347">
        <f t="shared" ca="1" si="151"/>
        <v>0.1</v>
      </c>
      <c r="B373" s="304">
        <f t="shared" ca="1" si="152"/>
        <v>24.600000000000051</v>
      </c>
      <c r="D373" s="306">
        <f t="shared" ca="1" si="153"/>
        <v>-0.31096446766126318</v>
      </c>
      <c r="E373" s="307">
        <f t="shared" ca="1" si="154"/>
        <v>-9.0257842916434221</v>
      </c>
      <c r="F373" s="304">
        <f t="shared" ca="1" si="155"/>
        <v>9.0311395172162534</v>
      </c>
      <c r="G373" s="306">
        <f t="shared" ca="1" si="156"/>
        <v>14.817153414865258</v>
      </c>
      <c r="H373" s="307">
        <f t="shared" ca="1" si="157"/>
        <v>-38.348113189678827</v>
      </c>
      <c r="I373" s="304">
        <f t="shared" ca="1" si="158"/>
        <v>41.1111398592653</v>
      </c>
      <c r="J373" s="306">
        <f t="shared" ca="1" si="159"/>
        <v>469.28689444360066</v>
      </c>
      <c r="K373" s="307">
        <f t="shared" ca="1" si="160"/>
        <v>2204.9630275964028</v>
      </c>
      <c r="L373" s="304">
        <f t="shared" ca="1" si="145"/>
        <v>2254.3496051774255</v>
      </c>
      <c r="M373" s="306">
        <f t="shared" ca="1" si="161"/>
        <v>-1.2020814339004446</v>
      </c>
      <c r="N373" s="304">
        <f t="shared" ca="1" si="162"/>
        <v>-68.874192793529716</v>
      </c>
      <c r="P373" s="310">
        <f t="shared" ca="1" si="163"/>
        <v>23</v>
      </c>
      <c r="Q373" s="304">
        <f t="shared" ca="1" si="164"/>
        <v>0</v>
      </c>
      <c r="R373" s="306">
        <f t="shared" ca="1" si="165"/>
        <v>0</v>
      </c>
      <c r="S373" s="307">
        <f t="shared" ca="1" si="166"/>
        <v>2.0842999999999985</v>
      </c>
      <c r="T373" s="304">
        <f t="shared" ca="1" si="146"/>
        <v>20.446982999999985</v>
      </c>
      <c r="U373" s="311">
        <f t="shared" ca="1" si="147"/>
        <v>0</v>
      </c>
      <c r="V373" s="306">
        <f t="shared" ca="1" si="148"/>
        <v>0.98171387469110583</v>
      </c>
      <c r="W373" s="304">
        <f t="shared" ca="1" si="149"/>
        <v>1.8321898654971716</v>
      </c>
      <c r="Y373" s="314" t="str">
        <f t="shared" ca="1" si="167"/>
        <v/>
      </c>
      <c r="Z373" s="315" t="str">
        <f t="shared" ca="1" si="168"/>
        <v/>
      </c>
      <c r="AA373" s="316" t="str">
        <f t="shared" ca="1" si="169"/>
        <v/>
      </c>
      <c r="AC373" s="310" t="e">
        <f t="shared" ca="1" si="170"/>
        <v>#N/A</v>
      </c>
      <c r="AD373" s="323" t="e">
        <f t="shared" ca="1" si="171"/>
        <v>#N/A</v>
      </c>
      <c r="AE373" s="324" t="e">
        <f t="shared" ca="1" si="150"/>
        <v>#N/A</v>
      </c>
      <c r="AG373" s="306">
        <f t="shared" ca="1" si="172"/>
        <v>8.2756103593510097</v>
      </c>
      <c r="AH373" s="304">
        <f t="shared" ca="1" si="173"/>
        <v>-0.84361909495996001</v>
      </c>
    </row>
    <row r="374" spans="1:34" x14ac:dyDescent="0.25">
      <c r="A374" s="347">
        <f t="shared" ca="1" si="151"/>
        <v>0.1</v>
      </c>
      <c r="B374" s="304">
        <f t="shared" ca="1" si="152"/>
        <v>24.700000000000053</v>
      </c>
      <c r="D374" s="306">
        <f t="shared" ca="1" si="153"/>
        <v>-0.31682212842848628</v>
      </c>
      <c r="E374" s="307">
        <f t="shared" ca="1" si="154"/>
        <v>-8.9900361039805681</v>
      </c>
      <c r="F374" s="304">
        <f t="shared" ca="1" si="155"/>
        <v>8.9956170111858391</v>
      </c>
      <c r="G374" s="306">
        <f t="shared" ca="1" si="156"/>
        <v>14.785471202022409</v>
      </c>
      <c r="H374" s="307">
        <f t="shared" ca="1" si="157"/>
        <v>-39.247116800076881</v>
      </c>
      <c r="I374" s="304">
        <f t="shared" ca="1" si="158"/>
        <v>41.939794179093333</v>
      </c>
      <c r="J374" s="306">
        <f t="shared" ca="1" si="159"/>
        <v>470.76702567444505</v>
      </c>
      <c r="K374" s="307">
        <f t="shared" ca="1" si="160"/>
        <v>2201.0832660969149</v>
      </c>
      <c r="L374" s="304">
        <f t="shared" ca="1" si="145"/>
        <v>2250.8640866907594</v>
      </c>
      <c r="M374" s="306">
        <f t="shared" ca="1" si="161"/>
        <v>-1.2105119296979721</v>
      </c>
      <c r="N374" s="304">
        <f t="shared" ca="1" si="162"/>
        <v>-69.357224621930811</v>
      </c>
      <c r="P374" s="310">
        <f t="shared" ca="1" si="163"/>
        <v>23</v>
      </c>
      <c r="Q374" s="304">
        <f t="shared" ca="1" si="164"/>
        <v>0</v>
      </c>
      <c r="R374" s="306">
        <f t="shared" ca="1" si="165"/>
        <v>0</v>
      </c>
      <c r="S374" s="307">
        <f t="shared" ca="1" si="166"/>
        <v>2.0842999999999985</v>
      </c>
      <c r="T374" s="304">
        <f t="shared" ca="1" si="146"/>
        <v>20.446982999999985</v>
      </c>
      <c r="U374" s="311">
        <f t="shared" ca="1" si="147"/>
        <v>0</v>
      </c>
      <c r="V374" s="306">
        <f t="shared" ca="1" si="148"/>
        <v>0.98209951008685625</v>
      </c>
      <c r="W374" s="304">
        <f t="shared" ca="1" si="149"/>
        <v>1.9075441347438071</v>
      </c>
      <c r="Y374" s="314" t="str">
        <f t="shared" ca="1" si="167"/>
        <v/>
      </c>
      <c r="Z374" s="315" t="str">
        <f t="shared" ca="1" si="168"/>
        <v/>
      </c>
      <c r="AA374" s="316" t="str">
        <f t="shared" ca="1" si="169"/>
        <v/>
      </c>
      <c r="AC374" s="310" t="e">
        <f t="shared" ca="1" si="170"/>
        <v>#N/A</v>
      </c>
      <c r="AD374" s="323" t="e">
        <f t="shared" ca="1" si="171"/>
        <v>#N/A</v>
      </c>
      <c r="AE374" s="324" t="e">
        <f t="shared" ca="1" si="150"/>
        <v>#N/A</v>
      </c>
      <c r="AG374" s="306">
        <f t="shared" ca="1" si="172"/>
        <v>8.2716392972003145</v>
      </c>
      <c r="AH374" s="304">
        <f t="shared" ca="1" si="173"/>
        <v>-0.87904325936629701</v>
      </c>
    </row>
    <row r="375" spans="1:34" x14ac:dyDescent="0.25">
      <c r="A375" s="347">
        <f t="shared" ca="1" si="151"/>
        <v>0.1</v>
      </c>
      <c r="B375" s="304">
        <f t="shared" ca="1" si="152"/>
        <v>24.800000000000054</v>
      </c>
      <c r="D375" s="306">
        <f t="shared" ca="1" si="153"/>
        <v>-0.3226437385996011</v>
      </c>
      <c r="E375" s="307">
        <f t="shared" ca="1" si="154"/>
        <v>-8.9535621955761577</v>
      </c>
      <c r="F375" s="304">
        <f t="shared" ca="1" si="155"/>
        <v>8.9593735814569122</v>
      </c>
      <c r="G375" s="306">
        <f t="shared" ca="1" si="156"/>
        <v>14.753206828162449</v>
      </c>
      <c r="H375" s="307">
        <f t="shared" ca="1" si="157"/>
        <v>-40.142473019634494</v>
      </c>
      <c r="I375" s="304">
        <f t="shared" ca="1" si="158"/>
        <v>42.767689344254059</v>
      </c>
      <c r="J375" s="306">
        <f t="shared" ca="1" si="159"/>
        <v>472.24395957595431</v>
      </c>
      <c r="K375" s="307">
        <f t="shared" ca="1" si="160"/>
        <v>2197.1137866059294</v>
      </c>
      <c r="L375" s="304">
        <f t="shared" ca="1" si="145"/>
        <v>2247.2924484031491</v>
      </c>
      <c r="M375" s="306">
        <f t="shared" ca="1" si="161"/>
        <v>-1.2185985458484092</v>
      </c>
      <c r="N375" s="304">
        <f t="shared" ca="1" si="162"/>
        <v>-69.820553597893195</v>
      </c>
      <c r="P375" s="310">
        <f t="shared" ca="1" si="163"/>
        <v>23</v>
      </c>
      <c r="Q375" s="304">
        <f t="shared" ca="1" si="164"/>
        <v>0</v>
      </c>
      <c r="R375" s="306">
        <f t="shared" ca="1" si="165"/>
        <v>0</v>
      </c>
      <c r="S375" s="307">
        <f t="shared" ca="1" si="166"/>
        <v>2.0842999999999985</v>
      </c>
      <c r="T375" s="304">
        <f t="shared" ca="1" si="146"/>
        <v>20.446982999999985</v>
      </c>
      <c r="U375" s="311">
        <f t="shared" ca="1" si="147"/>
        <v>0</v>
      </c>
      <c r="V375" s="306">
        <f t="shared" ca="1" si="148"/>
        <v>0.98249420267275189</v>
      </c>
      <c r="W375" s="304">
        <f t="shared" ca="1" si="149"/>
        <v>1.9843948030821112</v>
      </c>
      <c r="Y375" s="314" t="str">
        <f t="shared" ca="1" si="167"/>
        <v/>
      </c>
      <c r="Z375" s="315" t="str">
        <f t="shared" ca="1" si="168"/>
        <v/>
      </c>
      <c r="AA375" s="316" t="str">
        <f t="shared" ca="1" si="169"/>
        <v/>
      </c>
      <c r="AC375" s="310" t="e">
        <f t="shared" ca="1" si="170"/>
        <v>#N/A</v>
      </c>
      <c r="AD375" s="323" t="e">
        <f t="shared" ca="1" si="171"/>
        <v>#N/A</v>
      </c>
      <c r="AE375" s="324" t="e">
        <f t="shared" ca="1" si="150"/>
        <v>#N/A</v>
      </c>
      <c r="AG375" s="306">
        <f t="shared" ca="1" si="172"/>
        <v>8.2649681131183534</v>
      </c>
      <c r="AH375" s="304">
        <f t="shared" ca="1" si="173"/>
        <v>-0.91519653348549079</v>
      </c>
    </row>
    <row r="376" spans="1:34" x14ac:dyDescent="0.25">
      <c r="A376" s="347">
        <f t="shared" ca="1" si="151"/>
        <v>0.1</v>
      </c>
      <c r="B376" s="304">
        <f t="shared" ca="1" si="152"/>
        <v>24.900000000000055</v>
      </c>
      <c r="D376" s="306">
        <f t="shared" ca="1" si="153"/>
        <v>-0.32842673025343422</v>
      </c>
      <c r="E376" s="307">
        <f t="shared" ca="1" si="154"/>
        <v>-8.9163731897963672</v>
      </c>
      <c r="F376" s="304">
        <f t="shared" ca="1" si="155"/>
        <v>8.9224197938039431</v>
      </c>
      <c r="G376" s="306">
        <f t="shared" ca="1" si="156"/>
        <v>14.720364155137107</v>
      </c>
      <c r="H376" s="307">
        <f t="shared" ca="1" si="157"/>
        <v>-41.034110338614127</v>
      </c>
      <c r="I376" s="304">
        <f t="shared" ca="1" si="158"/>
        <v>43.594579160044702</v>
      </c>
      <c r="J376" s="306">
        <f t="shared" ca="1" si="159"/>
        <v>473.71763812511927</v>
      </c>
      <c r="K376" s="307">
        <f t="shared" ca="1" si="160"/>
        <v>2193.054957438017</v>
      </c>
      <c r="L376" s="304">
        <f t="shared" ca="1" si="145"/>
        <v>2243.6350966710929</v>
      </c>
      <c r="M376" s="306">
        <f t="shared" ca="1" si="161"/>
        <v>-1.2263612229882863</v>
      </c>
      <c r="N376" s="304">
        <f t="shared" ca="1" si="162"/>
        <v>-70.265322235730835</v>
      </c>
      <c r="P376" s="310">
        <f t="shared" ca="1" si="163"/>
        <v>23</v>
      </c>
      <c r="Q376" s="304">
        <f t="shared" ca="1" si="164"/>
        <v>0</v>
      </c>
      <c r="R376" s="306">
        <f t="shared" ca="1" si="165"/>
        <v>0</v>
      </c>
      <c r="S376" s="307">
        <f t="shared" ca="1" si="166"/>
        <v>2.0842999999999985</v>
      </c>
      <c r="T376" s="304">
        <f t="shared" ca="1" si="146"/>
        <v>20.446982999999985</v>
      </c>
      <c r="U376" s="311">
        <f t="shared" ca="1" si="147"/>
        <v>0</v>
      </c>
      <c r="V376" s="306">
        <f t="shared" ca="1" si="148"/>
        <v>0.98289792545336885</v>
      </c>
      <c r="W376" s="304">
        <f t="shared" ca="1" si="149"/>
        <v>2.0627182379338396</v>
      </c>
      <c r="Y376" s="314" t="str">
        <f t="shared" ca="1" si="167"/>
        <v/>
      </c>
      <c r="Z376" s="315" t="str">
        <f t="shared" ca="1" si="168"/>
        <v/>
      </c>
      <c r="AA376" s="316" t="str">
        <f t="shared" ca="1" si="169"/>
        <v/>
      </c>
      <c r="AC376" s="310" t="e">
        <f t="shared" ca="1" si="170"/>
        <v>#N/A</v>
      </c>
      <c r="AD376" s="323" t="e">
        <f t="shared" ca="1" si="171"/>
        <v>#N/A</v>
      </c>
      <c r="AE376" s="324" t="e">
        <f t="shared" ca="1" si="150"/>
        <v>#N/A</v>
      </c>
      <c r="AG376" s="306">
        <f t="shared" ca="1" si="172"/>
        <v>8.2557633610501355</v>
      </c>
      <c r="AH376" s="304">
        <f t="shared" ca="1" si="173"/>
        <v>-0.95206774604524913</v>
      </c>
    </row>
    <row r="377" spans="1:34" x14ac:dyDescent="0.25">
      <c r="A377" s="347">
        <f t="shared" ca="1" si="151"/>
        <v>0.1</v>
      </c>
      <c r="B377" s="304">
        <f t="shared" ca="1" si="152"/>
        <v>25.000000000000057</v>
      </c>
      <c r="D377" s="306">
        <f t="shared" ca="1" si="153"/>
        <v>-0.33416868080410123</v>
      </c>
      <c r="E377" s="307">
        <f t="shared" ca="1" si="154"/>
        <v>-8.8784799387222169</v>
      </c>
      <c r="F377" s="304">
        <f t="shared" ca="1" si="155"/>
        <v>8.8847664420356711</v>
      </c>
      <c r="G377" s="306">
        <f t="shared" ca="1" si="156"/>
        <v>14.686947287056697</v>
      </c>
      <c r="H377" s="307">
        <f t="shared" ca="1" si="157"/>
        <v>-41.921958332486348</v>
      </c>
      <c r="I377" s="304">
        <f t="shared" ca="1" si="158"/>
        <v>44.420232001234567</v>
      </c>
      <c r="J377" s="306">
        <f t="shared" ca="1" si="159"/>
        <v>475.18800369722896</v>
      </c>
      <c r="K377" s="307">
        <f t="shared" ca="1" si="160"/>
        <v>2188.907154004462</v>
      </c>
      <c r="L377" s="304">
        <f t="shared" ca="1" si="145"/>
        <v>2239.8924455673473</v>
      </c>
      <c r="M377" s="306">
        <f t="shared" ca="1" si="161"/>
        <v>-1.233818465631384</v>
      </c>
      <c r="N377" s="304">
        <f t="shared" ca="1" si="162"/>
        <v>-70.692590765985315</v>
      </c>
      <c r="P377" s="310">
        <f t="shared" ca="1" si="163"/>
        <v>23</v>
      </c>
      <c r="Q377" s="304">
        <f t="shared" ca="1" si="164"/>
        <v>0</v>
      </c>
      <c r="R377" s="306">
        <f t="shared" ca="1" si="165"/>
        <v>0</v>
      </c>
      <c r="S377" s="307">
        <f t="shared" ca="1" si="166"/>
        <v>2.0842999999999985</v>
      </c>
      <c r="T377" s="304">
        <f t="shared" ca="1" si="146"/>
        <v>20.446982999999985</v>
      </c>
      <c r="U377" s="311">
        <f t="shared" ca="1" si="147"/>
        <v>0</v>
      </c>
      <c r="V377" s="306">
        <f t="shared" ca="1" si="148"/>
        <v>0.98331065089913217</v>
      </c>
      <c r="W377" s="304">
        <f t="shared" ca="1" si="149"/>
        <v>2.1424904720992517</v>
      </c>
      <c r="Y377" s="314" t="str">
        <f t="shared" ca="1" si="167"/>
        <v/>
      </c>
      <c r="Z377" s="315" t="str">
        <f t="shared" ca="1" si="168"/>
        <v/>
      </c>
      <c r="AA377" s="316" t="str">
        <f t="shared" ca="1" si="169"/>
        <v/>
      </c>
      <c r="AC377" s="310">
        <f t="shared" ca="1" si="170"/>
        <v>25.000000000000057</v>
      </c>
      <c r="AD377" s="323">
        <f t="shared" ca="1" si="171"/>
        <v>475.18800369722896</v>
      </c>
      <c r="AE377" s="324" t="e">
        <f t="shared" ca="1" si="150"/>
        <v>#N/A</v>
      </c>
      <c r="AG377" s="306">
        <f t="shared" ca="1" si="172"/>
        <v>8.2441773197209756</v>
      </c>
      <c r="AH377" s="304">
        <f t="shared" ca="1" si="173"/>
        <v>-0.98964555866902126</v>
      </c>
    </row>
    <row r="378" spans="1:34" x14ac:dyDescent="0.25">
      <c r="A378" s="347">
        <f t="shared" ca="1" si="151"/>
        <v>0.1</v>
      </c>
      <c r="B378" s="304">
        <f t="shared" ca="1" si="152"/>
        <v>25.100000000000058</v>
      </c>
      <c r="D378" s="306">
        <f t="shared" ca="1" si="153"/>
        <v>-0.33986730235101242</v>
      </c>
      <c r="E378" s="307">
        <f t="shared" ca="1" si="154"/>
        <v>-8.8398935095729492</v>
      </c>
      <c r="F378" s="304">
        <f t="shared" ca="1" si="155"/>
        <v>8.8464245344544317</v>
      </c>
      <c r="G378" s="306">
        <f t="shared" ca="1" si="156"/>
        <v>14.652960556821595</v>
      </c>
      <c r="H378" s="307">
        <f t="shared" ca="1" si="157"/>
        <v>-42.805947683443641</v>
      </c>
      <c r="I378" s="304">
        <f t="shared" ca="1" si="158"/>
        <v>45.244429603626159</v>
      </c>
      <c r="J378" s="306">
        <f t="shared" ca="1" si="159"/>
        <v>476.65499908942286</v>
      </c>
      <c r="K378" s="307">
        <f t="shared" ca="1" si="160"/>
        <v>2184.6707587036653</v>
      </c>
      <c r="L378" s="304">
        <f t="shared" ca="1" si="145"/>
        <v>2236.0649167883716</v>
      </c>
      <c r="M378" s="306">
        <f t="shared" ca="1" si="161"/>
        <v>-1.2409874613937693</v>
      </c>
      <c r="N378" s="304">
        <f t="shared" ca="1" si="162"/>
        <v>-71.103343966517158</v>
      </c>
      <c r="P378" s="310">
        <f t="shared" ca="1" si="163"/>
        <v>23</v>
      </c>
      <c r="Q378" s="304">
        <f t="shared" ca="1" si="164"/>
        <v>0</v>
      </c>
      <c r="R378" s="306">
        <f t="shared" ca="1" si="165"/>
        <v>0</v>
      </c>
      <c r="S378" s="307">
        <f t="shared" ca="1" si="166"/>
        <v>2.0842999999999985</v>
      </c>
      <c r="T378" s="304">
        <f t="shared" ca="1" si="146"/>
        <v>20.446982999999985</v>
      </c>
      <c r="U378" s="311">
        <f t="shared" ca="1" si="147"/>
        <v>0</v>
      </c>
      <c r="V378" s="306">
        <f t="shared" ca="1" si="148"/>
        <v>0.9837323509534589</v>
      </c>
      <c r="W378" s="304">
        <f t="shared" ca="1" si="149"/>
        <v>2.223687217585959</v>
      </c>
      <c r="Y378" s="314" t="str">
        <f t="shared" ca="1" si="167"/>
        <v/>
      </c>
      <c r="Z378" s="315" t="str">
        <f t="shared" ca="1" si="168"/>
        <v/>
      </c>
      <c r="AA378" s="316" t="str">
        <f t="shared" ca="1" si="169"/>
        <v/>
      </c>
      <c r="AC378" s="310" t="e">
        <f t="shared" ca="1" si="170"/>
        <v>#N/A</v>
      </c>
      <c r="AD378" s="323" t="e">
        <f t="shared" ca="1" si="171"/>
        <v>#N/A</v>
      </c>
      <c r="AE378" s="324" t="e">
        <f t="shared" ca="1" si="150"/>
        <v>#N/A</v>
      </c>
      <c r="AG378" s="306">
        <f t="shared" ca="1" si="172"/>
        <v>8.2303494994701794</v>
      </c>
      <c r="AH378" s="304">
        <f t="shared" ca="1" si="173"/>
        <v>-1.027918472436431</v>
      </c>
    </row>
    <row r="379" spans="1:34" x14ac:dyDescent="0.25">
      <c r="A379" s="347">
        <f t="shared" ca="1" si="151"/>
        <v>0.1</v>
      </c>
      <c r="B379" s="304">
        <f t="shared" ca="1" si="152"/>
        <v>25.20000000000006</v>
      </c>
      <c r="D379" s="306">
        <f t="shared" ca="1" si="153"/>
        <v>-0.34552043215515671</v>
      </c>
      <c r="E379" s="307">
        <f t="shared" ca="1" si="154"/>
        <v>-8.8006251719548292</v>
      </c>
      <c r="F379" s="304">
        <f t="shared" ca="1" si="155"/>
        <v>8.807405281141639</v>
      </c>
      <c r="G379" s="306">
        <f t="shared" ca="1" si="156"/>
        <v>14.618408513606079</v>
      </c>
      <c r="H379" s="307">
        <f t="shared" ca="1" si="157"/>
        <v>-43.686010200639124</v>
      </c>
      <c r="I379" s="304">
        <f t="shared" ca="1" si="158"/>
        <v>46.066965981286593</v>
      </c>
      <c r="J379" s="306">
        <f t="shared" ca="1" si="159"/>
        <v>478.11856754294422</v>
      </c>
      <c r="K379" s="307">
        <f t="shared" ca="1" si="160"/>
        <v>2180.3461608094613</v>
      </c>
      <c r="L379" s="304">
        <f t="shared" ca="1" si="145"/>
        <v>2232.1529395598936</v>
      </c>
      <c r="M379" s="306">
        <f t="shared" ca="1" si="161"/>
        <v>-1.2478841894744783</v>
      </c>
      <c r="N379" s="304">
        <f t="shared" ca="1" si="162"/>
        <v>-71.498497377991157</v>
      </c>
      <c r="P379" s="310">
        <f t="shared" ca="1" si="163"/>
        <v>23</v>
      </c>
      <c r="Q379" s="304">
        <f t="shared" ca="1" si="164"/>
        <v>0</v>
      </c>
      <c r="R379" s="306">
        <f t="shared" ca="1" si="165"/>
        <v>0</v>
      </c>
      <c r="S379" s="307">
        <f t="shared" ca="1" si="166"/>
        <v>2.0842999999999985</v>
      </c>
      <c r="T379" s="304">
        <f t="shared" ca="1" si="146"/>
        <v>20.446982999999985</v>
      </c>
      <c r="U379" s="311">
        <f t="shared" ca="1" si="147"/>
        <v>0</v>
      </c>
      <c r="V379" s="306">
        <f t="shared" ca="1" si="148"/>
        <v>0.98416299704006815</v>
      </c>
      <c r="W379" s="304">
        <f t="shared" ca="1" si="149"/>
        <v>2.3062838795738969</v>
      </c>
      <c r="Y379" s="314" t="str">
        <f t="shared" ca="1" si="167"/>
        <v/>
      </c>
      <c r="Z379" s="315" t="str">
        <f t="shared" ca="1" si="168"/>
        <v/>
      </c>
      <c r="AA379" s="316" t="str">
        <f t="shared" ca="1" si="169"/>
        <v/>
      </c>
      <c r="AC379" s="310" t="e">
        <f t="shared" ca="1" si="170"/>
        <v>#N/A</v>
      </c>
      <c r="AD379" s="323" t="e">
        <f t="shared" ca="1" si="171"/>
        <v>#N/A</v>
      </c>
      <c r="AE379" s="324" t="e">
        <f t="shared" ca="1" si="150"/>
        <v>#N/A</v>
      </c>
      <c r="AG379" s="306">
        <f t="shared" ca="1" si="172"/>
        <v>8.214407976502887</v>
      </c>
      <c r="AH379" s="304">
        <f t="shared" ca="1" si="173"/>
        <v>-1.0668748345180448</v>
      </c>
    </row>
    <row r="380" spans="1:34" x14ac:dyDescent="0.25">
      <c r="A380" s="347">
        <f t="shared" ca="1" si="151"/>
        <v>0.1</v>
      </c>
      <c r="B380" s="304">
        <f t="shared" ca="1" si="152"/>
        <v>25.300000000000061</v>
      </c>
      <c r="D380" s="306">
        <f t="shared" ca="1" si="153"/>
        <v>-0.35112602411079941</v>
      </c>
      <c r="E380" s="307">
        <f t="shared" ca="1" si="154"/>
        <v>-8.7606863858170883</v>
      </c>
      <c r="F380" s="304">
        <f t="shared" ca="1" si="155"/>
        <v>8.7677200819511079</v>
      </c>
      <c r="G380" s="306">
        <f t="shared" ca="1" si="156"/>
        <v>14.583295911194998</v>
      </c>
      <c r="H380" s="307">
        <f t="shared" ca="1" si="157"/>
        <v>-44.562078839220831</v>
      </c>
      <c r="I380" s="304">
        <f t="shared" ca="1" si="158"/>
        <v>46.887646455184864</v>
      </c>
      <c r="J380" s="306">
        <f t="shared" ca="1" si="159"/>
        <v>479.57865276418426</v>
      </c>
      <c r="K380" s="307">
        <f t="shared" ca="1" si="160"/>
        <v>2175.9337563574682</v>
      </c>
      <c r="L380" s="304">
        <f t="shared" ca="1" si="145"/>
        <v>2228.1569505407447</v>
      </c>
      <c r="M380" s="306">
        <f t="shared" ca="1" si="161"/>
        <v>-1.2545235193693109</v>
      </c>
      <c r="N380" s="304">
        <f t="shared" ca="1" si="162"/>
        <v>-71.878902959760097</v>
      </c>
      <c r="P380" s="310">
        <f t="shared" ca="1" si="163"/>
        <v>23</v>
      </c>
      <c r="Q380" s="304">
        <f t="shared" ca="1" si="164"/>
        <v>0</v>
      </c>
      <c r="R380" s="306">
        <f t="shared" ca="1" si="165"/>
        <v>0</v>
      </c>
      <c r="S380" s="307">
        <f t="shared" ca="1" si="166"/>
        <v>2.0842999999999985</v>
      </c>
      <c r="T380" s="304">
        <f t="shared" ca="1" si="146"/>
        <v>20.446982999999985</v>
      </c>
      <c r="U380" s="311">
        <f t="shared" ca="1" si="147"/>
        <v>0</v>
      </c>
      <c r="V380" s="306">
        <f t="shared" ca="1" si="148"/>
        <v>0.98460256007044256</v>
      </c>
      <c r="W380" s="304">
        <f t="shared" ca="1" si="149"/>
        <v>2.3902555704982951</v>
      </c>
      <c r="Y380" s="314" t="str">
        <f t="shared" ca="1" si="167"/>
        <v/>
      </c>
      <c r="Z380" s="315" t="str">
        <f t="shared" ca="1" si="168"/>
        <v/>
      </c>
      <c r="AA380" s="316" t="str">
        <f t="shared" ca="1" si="169"/>
        <v/>
      </c>
      <c r="AC380" s="310" t="e">
        <f t="shared" ca="1" si="170"/>
        <v>#N/A</v>
      </c>
      <c r="AD380" s="323" t="e">
        <f t="shared" ca="1" si="171"/>
        <v>#N/A</v>
      </c>
      <c r="AE380" s="324" t="e">
        <f t="shared" ca="1" si="150"/>
        <v>#N/A</v>
      </c>
      <c r="AG380" s="306">
        <f t="shared" ca="1" si="172"/>
        <v>8.1964705752182496</v>
      </c>
      <c r="AH380" s="304">
        <f t="shared" ca="1" si="173"/>
        <v>-1.106502844875449</v>
      </c>
    </row>
    <row r="381" spans="1:34" x14ac:dyDescent="0.25">
      <c r="A381" s="347">
        <f t="shared" ca="1" si="151"/>
        <v>0.1</v>
      </c>
      <c r="B381" s="304">
        <f t="shared" ca="1" si="152"/>
        <v>25.400000000000063</v>
      </c>
      <c r="D381" s="306">
        <f t="shared" ca="1" si="153"/>
        <v>-0.35668214109747071</v>
      </c>
      <c r="E381" s="307">
        <f t="shared" ca="1" si="154"/>
        <v>-8.7200887900158417</v>
      </c>
      <c r="F381" s="304">
        <f t="shared" ca="1" si="155"/>
        <v>8.7273805151109247</v>
      </c>
      <c r="G381" s="306">
        <f t="shared" ca="1" si="156"/>
        <v>14.547627697085252</v>
      </c>
      <c r="H381" s="307">
        <f t="shared" ca="1" si="157"/>
        <v>-45.434087718222415</v>
      </c>
      <c r="I381" s="304">
        <f t="shared" ca="1" si="158"/>
        <v>47.706286780676301</v>
      </c>
      <c r="J381" s="306">
        <f t="shared" ca="1" si="159"/>
        <v>481.03519894459828</v>
      </c>
      <c r="K381" s="307">
        <f t="shared" ca="1" si="160"/>
        <v>2171.4339480295962</v>
      </c>
      <c r="L381" s="304">
        <f t="shared" ca="1" si="145"/>
        <v>2224.0773937251079</v>
      </c>
      <c r="M381" s="306">
        <f t="shared" ca="1" si="161"/>
        <v>-1.26091930071825</v>
      </c>
      <c r="N381" s="304">
        <f t="shared" ca="1" si="162"/>
        <v>-72.245354237742802</v>
      </c>
      <c r="P381" s="310">
        <f t="shared" ca="1" si="163"/>
        <v>23</v>
      </c>
      <c r="Q381" s="304">
        <f t="shared" ca="1" si="164"/>
        <v>0</v>
      </c>
      <c r="R381" s="306">
        <f t="shared" ca="1" si="165"/>
        <v>0</v>
      </c>
      <c r="S381" s="307">
        <f t="shared" ca="1" si="166"/>
        <v>2.0842999999999985</v>
      </c>
      <c r="T381" s="304">
        <f t="shared" ca="1" si="146"/>
        <v>20.446982999999985</v>
      </c>
      <c r="U381" s="311">
        <f t="shared" ca="1" si="147"/>
        <v>0</v>
      </c>
      <c r="V381" s="306">
        <f t="shared" ca="1" si="148"/>
        <v>0.9850510104514324</v>
      </c>
      <c r="W381" s="304">
        <f t="shared" ca="1" si="149"/>
        <v>2.4755771242331841</v>
      </c>
      <c r="Y381" s="314" t="str">
        <f t="shared" ca="1" si="167"/>
        <v/>
      </c>
      <c r="Z381" s="315" t="str">
        <f t="shared" ca="1" si="168"/>
        <v/>
      </c>
      <c r="AA381" s="316" t="str">
        <f t="shared" ca="1" si="169"/>
        <v/>
      </c>
      <c r="AC381" s="310" t="e">
        <f t="shared" ca="1" si="170"/>
        <v>#N/A</v>
      </c>
      <c r="AD381" s="323" t="e">
        <f t="shared" ca="1" si="171"/>
        <v>#N/A</v>
      </c>
      <c r="AE381" s="324" t="e">
        <f t="shared" ca="1" si="150"/>
        <v>#N/A</v>
      </c>
      <c r="AG381" s="306">
        <f t="shared" ca="1" si="172"/>
        <v>8.1766459167931611</v>
      </c>
      <c r="AH381" s="304">
        <f t="shared" ca="1" si="173"/>
        <v>-1.1467905630179422</v>
      </c>
    </row>
    <row r="382" spans="1:34" x14ac:dyDescent="0.25">
      <c r="A382" s="347">
        <f t="shared" ca="1" si="151"/>
        <v>0.1</v>
      </c>
      <c r="B382" s="304">
        <f t="shared" ca="1" si="152"/>
        <v>25.500000000000064</v>
      </c>
      <c r="D382" s="306">
        <f t="shared" ca="1" si="153"/>
        <v>-0.36218694811094992</v>
      </c>
      <c r="E382" s="307">
        <f t="shared" ca="1" si="154"/>
        <v>-8.6788441914027548</v>
      </c>
      <c r="F382" s="304">
        <f t="shared" ca="1" si="155"/>
        <v>8.6863983263506448</v>
      </c>
      <c r="G382" s="306">
        <f t="shared" ca="1" si="156"/>
        <v>14.511409002274156</v>
      </c>
      <c r="H382" s="307">
        <f t="shared" ca="1" si="157"/>
        <v>-46.301972137362689</v>
      </c>
      <c r="I382" s="304">
        <f t="shared" ca="1" si="158"/>
        <v>48.5227123627729</v>
      </c>
      <c r="J382" s="306">
        <f t="shared" ca="1" si="159"/>
        <v>482.48815077956624</v>
      </c>
      <c r="K382" s="307">
        <f t="shared" ca="1" si="160"/>
        <v>2166.847145036817</v>
      </c>
      <c r="L382" s="304">
        <f t="shared" ca="1" si="145"/>
        <v>2219.914720343304</v>
      </c>
      <c r="M382" s="306">
        <f t="shared" ca="1" si="161"/>
        <v>-1.2670844451118137</v>
      </c>
      <c r="N382" s="304">
        <f t="shared" ca="1" si="162"/>
        <v>-72.598590991582739</v>
      </c>
      <c r="P382" s="310">
        <f t="shared" ca="1" si="163"/>
        <v>23</v>
      </c>
      <c r="Q382" s="304">
        <f t="shared" ca="1" si="164"/>
        <v>0</v>
      </c>
      <c r="R382" s="306">
        <f t="shared" ca="1" si="165"/>
        <v>0</v>
      </c>
      <c r="S382" s="307">
        <f t="shared" ca="1" si="166"/>
        <v>2.0842999999999985</v>
      </c>
      <c r="T382" s="304">
        <f t="shared" ca="1" si="146"/>
        <v>20.446982999999985</v>
      </c>
      <c r="U382" s="311">
        <f t="shared" ca="1" si="147"/>
        <v>0</v>
      </c>
      <c r="V382" s="306">
        <f t="shared" ca="1" si="148"/>
        <v>0.98550831809300221</v>
      </c>
      <c r="W382" s="304">
        <f t="shared" ca="1" si="149"/>
        <v>2.5622231103585493</v>
      </c>
      <c r="Y382" s="314" t="str">
        <f t="shared" ca="1" si="167"/>
        <v/>
      </c>
      <c r="Z382" s="315" t="str">
        <f t="shared" ca="1" si="168"/>
        <v/>
      </c>
      <c r="AA382" s="316" t="str">
        <f t="shared" ca="1" si="169"/>
        <v/>
      </c>
      <c r="AC382" s="310" t="e">
        <f t="shared" ca="1" si="170"/>
        <v>#N/A</v>
      </c>
      <c r="AD382" s="323" t="e">
        <f t="shared" ca="1" si="171"/>
        <v>#N/A</v>
      </c>
      <c r="AE382" s="324" t="e">
        <f t="shared" ca="1" si="150"/>
        <v>#N/A</v>
      </c>
      <c r="AG382" s="306">
        <f t="shared" ca="1" si="172"/>
        <v>8.1550343499947591</v>
      </c>
      <c r="AH382" s="304">
        <f t="shared" ca="1" si="173"/>
        <v>-1.1877259148074586</v>
      </c>
    </row>
    <row r="383" spans="1:34" x14ac:dyDescent="0.25">
      <c r="A383" s="347">
        <f t="shared" ca="1" si="151"/>
        <v>0.1</v>
      </c>
      <c r="B383" s="304">
        <f t="shared" ca="1" si="152"/>
        <v>25.600000000000065</v>
      </c>
      <c r="D383" s="306">
        <f t="shared" ca="1" si="153"/>
        <v>-0.36763870608409527</v>
      </c>
      <c r="E383" s="307">
        <f t="shared" ca="1" si="154"/>
        <v>-8.6369645543686229</v>
      </c>
      <c r="F383" s="304">
        <f t="shared" ca="1" si="155"/>
        <v>8.6447854184838597</v>
      </c>
      <c r="G383" s="306">
        <f t="shared" ca="1" si="156"/>
        <v>14.474645131665747</v>
      </c>
      <c r="H383" s="307">
        <f t="shared" ca="1" si="157"/>
        <v>-47.165668592799548</v>
      </c>
      <c r="I383" s="304">
        <f t="shared" ca="1" si="158"/>
        <v>49.336757549452443</v>
      </c>
      <c r="J383" s="306">
        <f t="shared" ca="1" si="159"/>
        <v>483.93745348626322</v>
      </c>
      <c r="K383" s="307">
        <f t="shared" ca="1" si="160"/>
        <v>2162.173763000309</v>
      </c>
      <c r="L383" s="304">
        <f t="shared" ca="1" si="145"/>
        <v>2215.6693887612578</v>
      </c>
      <c r="M383" s="306">
        <f t="shared" ca="1" si="161"/>
        <v>-1.2730310006096688</v>
      </c>
      <c r="N383" s="304">
        <f t="shared" ca="1" si="162"/>
        <v>-72.93930352425015</v>
      </c>
      <c r="P383" s="310">
        <f t="shared" ca="1" si="163"/>
        <v>23</v>
      </c>
      <c r="Q383" s="304">
        <f t="shared" ca="1" si="164"/>
        <v>0</v>
      </c>
      <c r="R383" s="306">
        <f t="shared" ca="1" si="165"/>
        <v>0</v>
      </c>
      <c r="S383" s="307">
        <f t="shared" ca="1" si="166"/>
        <v>2.0842999999999985</v>
      </c>
      <c r="T383" s="304">
        <f t="shared" ca="1" si="146"/>
        <v>20.446982999999985</v>
      </c>
      <c r="U383" s="311">
        <f t="shared" ca="1" si="147"/>
        <v>0</v>
      </c>
      <c r="V383" s="306">
        <f t="shared" ca="1" si="148"/>
        <v>0.98597445241609716</v>
      </c>
      <c r="W383" s="304">
        <f t="shared" ca="1" si="149"/>
        <v>2.6501678484947186</v>
      </c>
      <c r="Y383" s="314" t="str">
        <f t="shared" ca="1" si="167"/>
        <v/>
      </c>
      <c r="Z383" s="315" t="str">
        <f t="shared" ca="1" si="168"/>
        <v/>
      </c>
      <c r="AA383" s="316" t="str">
        <f t="shared" ca="1" si="169"/>
        <v/>
      </c>
      <c r="AC383" s="310" t="e">
        <f t="shared" ca="1" si="170"/>
        <v>#N/A</v>
      </c>
      <c r="AD383" s="323" t="e">
        <f t="shared" ca="1" si="171"/>
        <v>#N/A</v>
      </c>
      <c r="AE383" s="324" t="e">
        <f t="shared" ca="1" si="150"/>
        <v>#N/A</v>
      </c>
      <c r="AG383" s="306">
        <f t="shared" ca="1" si="172"/>
        <v>8.1317287782418486</v>
      </c>
      <c r="AH383" s="304">
        <f t="shared" ca="1" si="173"/>
        <v>-1.2292966993036276</v>
      </c>
    </row>
    <row r="384" spans="1:34" x14ac:dyDescent="0.25">
      <c r="A384" s="347">
        <f t="shared" ca="1" si="151"/>
        <v>0.1</v>
      </c>
      <c r="B384" s="304">
        <f t="shared" ca="1" si="152"/>
        <v>25.700000000000067</v>
      </c>
      <c r="D384" s="306">
        <f t="shared" ca="1" si="153"/>
        <v>-0.37303576631900726</v>
      </c>
      <c r="E384" s="307">
        <f t="shared" ca="1" si="154"/>
        <v>-8.5944619907832909</v>
      </c>
      <c r="F384" s="304">
        <f t="shared" ca="1" si="155"/>
        <v>8.6025538413875626</v>
      </c>
      <c r="G384" s="306">
        <f t="shared" ca="1" si="156"/>
        <v>14.437341555033846</v>
      </c>
      <c r="H384" s="307">
        <f t="shared" ca="1" si="157"/>
        <v>-48.025114791877876</v>
      </c>
      <c r="I384" s="304">
        <f t="shared" ca="1" si="158"/>
        <v>50.148264994411868</v>
      </c>
      <c r="J384" s="306">
        <f t="shared" ca="1" si="159"/>
        <v>485.38305282059821</v>
      </c>
      <c r="K384" s="307">
        <f t="shared" ca="1" si="160"/>
        <v>2157.4142238310751</v>
      </c>
      <c r="L384" s="304">
        <f t="shared" ca="1" si="145"/>
        <v>2211.3418643787495</v>
      </c>
      <c r="M384" s="306">
        <f t="shared" ca="1" si="161"/>
        <v>-1.2787702196569535</v>
      </c>
      <c r="N384" s="304">
        <f t="shared" ca="1" si="162"/>
        <v>-73.268136553360662</v>
      </c>
      <c r="P384" s="310">
        <f t="shared" ca="1" si="163"/>
        <v>23</v>
      </c>
      <c r="Q384" s="304">
        <f t="shared" ca="1" si="164"/>
        <v>0</v>
      </c>
      <c r="R384" s="306">
        <f t="shared" ca="1" si="165"/>
        <v>0</v>
      </c>
      <c r="S384" s="307">
        <f t="shared" ca="1" si="166"/>
        <v>2.0842999999999985</v>
      </c>
      <c r="T384" s="304">
        <f t="shared" ca="1" si="146"/>
        <v>20.446982999999985</v>
      </c>
      <c r="U384" s="311">
        <f t="shared" ca="1" si="147"/>
        <v>0</v>
      </c>
      <c r="V384" s="306">
        <f t="shared" ca="1" si="148"/>
        <v>0.98644938236063606</v>
      </c>
      <c r="W384" s="304">
        <f t="shared" ca="1" si="149"/>
        <v>2.7393854226881422</v>
      </c>
      <c r="Y384" s="314" t="str">
        <f t="shared" ca="1" si="167"/>
        <v/>
      </c>
      <c r="Z384" s="315" t="str">
        <f t="shared" ca="1" si="168"/>
        <v/>
      </c>
      <c r="AA384" s="316" t="str">
        <f t="shared" ca="1" si="169"/>
        <v/>
      </c>
      <c r="AC384" s="310" t="e">
        <f t="shared" ca="1" si="170"/>
        <v>#N/A</v>
      </c>
      <c r="AD384" s="323" t="e">
        <f t="shared" ca="1" si="171"/>
        <v>#N/A</v>
      </c>
      <c r="AE384" s="324" t="e">
        <f t="shared" ca="1" si="150"/>
        <v>#N/A</v>
      </c>
      <c r="AG384" s="306">
        <f t="shared" ca="1" si="172"/>
        <v>8.1068153952133652</v>
      </c>
      <c r="AH384" s="304">
        <f t="shared" ca="1" si="173"/>
        <v>-1.2714905956410885</v>
      </c>
    </row>
    <row r="385" spans="1:34" x14ac:dyDescent="0.25">
      <c r="A385" s="347">
        <f t="shared" ca="1" si="151"/>
        <v>0.1</v>
      </c>
      <c r="B385" s="304">
        <f t="shared" ca="1" si="152"/>
        <v>25.800000000000068</v>
      </c>
      <c r="D385" s="306">
        <f t="shared" ca="1" si="153"/>
        <v>-0.37837656546136106</v>
      </c>
      <c r="E385" s="307">
        <f t="shared" ca="1" si="154"/>
        <v>-8.5513487502827363</v>
      </c>
      <c r="F385" s="304">
        <f t="shared" ca="1" si="155"/>
        <v>8.5597157823290164</v>
      </c>
      <c r="G385" s="306">
        <f t="shared" ca="1" si="156"/>
        <v>14.39950389848771</v>
      </c>
      <c r="H385" s="307">
        <f t="shared" ca="1" si="157"/>
        <v>-48.880249666906153</v>
      </c>
      <c r="I385" s="304">
        <f t="shared" ca="1" si="158"/>
        <v>50.95708508168066</v>
      </c>
      <c r="J385" s="306">
        <f t="shared" ca="1" si="159"/>
        <v>486.82489509327428</v>
      </c>
      <c r="K385" s="307">
        <f t="shared" ca="1" si="160"/>
        <v>2152.5689556081361</v>
      </c>
      <c r="L385" s="304">
        <f t="shared" ca="1" si="145"/>
        <v>2206.9326195265862</v>
      </c>
      <c r="M385" s="306">
        <f t="shared" ca="1" si="161"/>
        <v>-1.2843126210204667</v>
      </c>
      <c r="N385" s="304">
        <f t="shared" ca="1" si="162"/>
        <v>-73.585692759857523</v>
      </c>
      <c r="P385" s="310">
        <f t="shared" ca="1" si="163"/>
        <v>23</v>
      </c>
      <c r="Q385" s="304">
        <f t="shared" ca="1" si="164"/>
        <v>0</v>
      </c>
      <c r="R385" s="306">
        <f t="shared" ca="1" si="165"/>
        <v>0</v>
      </c>
      <c r="S385" s="307">
        <f t="shared" ca="1" si="166"/>
        <v>2.0842999999999985</v>
      </c>
      <c r="T385" s="304">
        <f t="shared" ca="1" si="146"/>
        <v>20.446982999999985</v>
      </c>
      <c r="U385" s="311">
        <f t="shared" ca="1" si="147"/>
        <v>0</v>
      </c>
      <c r="V385" s="306">
        <f t="shared" ca="1" si="148"/>
        <v>0.98693307639361538</v>
      </c>
      <c r="W385" s="304">
        <f t="shared" ca="1" si="149"/>
        <v>2.8298496958330661</v>
      </c>
      <c r="Y385" s="314" t="str">
        <f t="shared" ca="1" si="167"/>
        <v/>
      </c>
      <c r="Z385" s="315" t="str">
        <f t="shared" ca="1" si="168"/>
        <v/>
      </c>
      <c r="AA385" s="316" t="str">
        <f t="shared" ca="1" si="169"/>
        <v/>
      </c>
      <c r="AC385" s="310" t="e">
        <f t="shared" ca="1" si="170"/>
        <v>#N/A</v>
      </c>
      <c r="AD385" s="323" t="e">
        <f t="shared" ca="1" si="171"/>
        <v>#N/A</v>
      </c>
      <c r="AE385" s="324" t="e">
        <f t="shared" ca="1" si="150"/>
        <v>#N/A</v>
      </c>
      <c r="AG385" s="306">
        <f t="shared" ca="1" si="172"/>
        <v>8.080374339787781</v>
      </c>
      <c r="AH385" s="304">
        <f t="shared" ca="1" si="173"/>
        <v>-1.3142951699314611</v>
      </c>
    </row>
    <row r="386" spans="1:34" x14ac:dyDescent="0.25">
      <c r="A386" s="347">
        <f t="shared" ca="1" si="151"/>
        <v>0.1</v>
      </c>
      <c r="B386" s="304">
        <f t="shared" ca="1" si="152"/>
        <v>25.90000000000007</v>
      </c>
      <c r="D386" s="306">
        <f t="shared" ca="1" si="153"/>
        <v>-0.38365962095591666</v>
      </c>
      <c r="E386" s="307">
        <f t="shared" ca="1" si="154"/>
        <v>-8.5076372108621516</v>
      </c>
      <c r="F386" s="304">
        <f t="shared" ca="1" si="155"/>
        <v>8.5162835565989923</v>
      </c>
      <c r="G386" s="306">
        <f t="shared" ca="1" si="156"/>
        <v>14.361137936392119</v>
      </c>
      <c r="H386" s="307">
        <f t="shared" ca="1" si="157"/>
        <v>-49.73101338799237</v>
      </c>
      <c r="I386" s="304">
        <f t="shared" ca="1" si="158"/>
        <v>51.763075405396435</v>
      </c>
      <c r="J386" s="306">
        <f t="shared" ca="1" si="159"/>
        <v>488.26292718501827</v>
      </c>
      <c r="K386" s="307">
        <f t="shared" ca="1" si="160"/>
        <v>2147.6383924553911</v>
      </c>
      <c r="L386" s="304">
        <f t="shared" ca="1" si="145"/>
        <v>2202.4421333627947</v>
      </c>
      <c r="M386" s="306">
        <f t="shared" ca="1" si="161"/>
        <v>-1.2896680463083625</v>
      </c>
      <c r="N386" s="304">
        <f t="shared" ca="1" si="162"/>
        <v>-73.892536026351578</v>
      </c>
      <c r="P386" s="310">
        <f t="shared" ca="1" si="163"/>
        <v>23</v>
      </c>
      <c r="Q386" s="304">
        <f t="shared" ca="1" si="164"/>
        <v>0</v>
      </c>
      <c r="R386" s="306">
        <f t="shared" ca="1" si="165"/>
        <v>0</v>
      </c>
      <c r="S386" s="307">
        <f t="shared" ca="1" si="166"/>
        <v>2.0842999999999985</v>
      </c>
      <c r="T386" s="304">
        <f t="shared" ca="1" si="146"/>
        <v>20.446982999999985</v>
      </c>
      <c r="U386" s="311">
        <f t="shared" ca="1" si="147"/>
        <v>0</v>
      </c>
      <c r="V386" s="306">
        <f t="shared" ca="1" si="148"/>
        <v>0.98742550251731964</v>
      </c>
      <c r="W386" s="304">
        <f t="shared" ca="1" si="149"/>
        <v>2.9215343241141105</v>
      </c>
      <c r="Y386" s="314" t="str">
        <f t="shared" ca="1" si="167"/>
        <v/>
      </c>
      <c r="Z386" s="315" t="str">
        <f t="shared" ca="1" si="168"/>
        <v/>
      </c>
      <c r="AA386" s="316" t="str">
        <f t="shared" ca="1" si="169"/>
        <v/>
      </c>
      <c r="AC386" s="310" t="e">
        <f t="shared" ca="1" si="170"/>
        <v>#N/A</v>
      </c>
      <c r="AD386" s="323" t="e">
        <f t="shared" ca="1" si="171"/>
        <v>#N/A</v>
      </c>
      <c r="AE386" s="324" t="e">
        <f t="shared" ca="1" si="150"/>
        <v>#N/A</v>
      </c>
      <c r="AG386" s="306">
        <f t="shared" ca="1" si="172"/>
        <v>8.0524802797692239</v>
      </c>
      <c r="AH386" s="304">
        <f t="shared" ca="1" si="173"/>
        <v>-1.3576978821825401</v>
      </c>
    </row>
    <row r="387" spans="1:34" x14ac:dyDescent="0.25">
      <c r="A387" s="347">
        <f t="shared" ca="1" si="151"/>
        <v>0.1</v>
      </c>
      <c r="B387" s="304">
        <f t="shared" ca="1" si="152"/>
        <v>26.000000000000071</v>
      </c>
      <c r="D387" s="306">
        <f t="shared" ca="1" si="153"/>
        <v>-0.38888352692939809</v>
      </c>
      <c r="E387" s="307">
        <f t="shared" ca="1" si="154"/>
        <v>-8.4633398697405617</v>
      </c>
      <c r="F387" s="304">
        <f t="shared" ca="1" si="155"/>
        <v>8.4722695984167817</v>
      </c>
      <c r="G387" s="306">
        <f t="shared" ca="1" si="156"/>
        <v>14.322249583699179</v>
      </c>
      <c r="H387" s="307">
        <f t="shared" ca="1" si="157"/>
        <v>-50.577347374966429</v>
      </c>
      <c r="I387" s="304">
        <f t="shared" ca="1" si="158"/>
        <v>52.566100298821816</v>
      </c>
      <c r="J387" s="306">
        <f t="shared" ca="1" si="159"/>
        <v>489.69709656102282</v>
      </c>
      <c r="K387" s="307">
        <f t="shared" ca="1" si="160"/>
        <v>2142.6229744172433</v>
      </c>
      <c r="L387" s="304">
        <f t="shared" ca="1" si="145"/>
        <v>2197.8708917679605</v>
      </c>
      <c r="M387" s="306">
        <f t="shared" ca="1" si="161"/>
        <v>-1.2948457115832446</v>
      </c>
      <c r="N387" s="304">
        <f t="shared" ca="1" si="162"/>
        <v>-74.189194394333768</v>
      </c>
      <c r="P387" s="310">
        <f t="shared" ca="1" si="163"/>
        <v>23</v>
      </c>
      <c r="Q387" s="304">
        <f t="shared" ca="1" si="164"/>
        <v>0</v>
      </c>
      <c r="R387" s="306">
        <f t="shared" ca="1" si="165"/>
        <v>0</v>
      </c>
      <c r="S387" s="307">
        <f t="shared" ca="1" si="166"/>
        <v>2.0842999999999985</v>
      </c>
      <c r="T387" s="304">
        <f t="shared" ca="1" si="146"/>
        <v>20.446982999999985</v>
      </c>
      <c r="U387" s="311">
        <f t="shared" ca="1" si="147"/>
        <v>0</v>
      </c>
      <c r="V387" s="306">
        <f t="shared" ca="1" si="148"/>
        <v>0.98792662827763278</v>
      </c>
      <c r="W387" s="304">
        <f t="shared" ca="1" si="149"/>
        <v>3.0144127714551034</v>
      </c>
      <c r="Y387" s="314" t="str">
        <f t="shared" ca="1" si="167"/>
        <v/>
      </c>
      <c r="Z387" s="315" t="str">
        <f t="shared" ca="1" si="168"/>
        <v/>
      </c>
      <c r="AA387" s="316" t="str">
        <f t="shared" ca="1" si="169"/>
        <v/>
      </c>
      <c r="AC387" s="310">
        <f t="shared" ca="1" si="170"/>
        <v>26.000000000000071</v>
      </c>
      <c r="AD387" s="323">
        <f t="shared" ca="1" si="171"/>
        <v>489.69709656102282</v>
      </c>
      <c r="AE387" s="324" t="e">
        <f t="shared" ca="1" si="150"/>
        <v>#N/A</v>
      </c>
      <c r="AG387" s="306">
        <f t="shared" ca="1" si="172"/>
        <v>8.0232029326927705</v>
      </c>
      <c r="AH387" s="304">
        <f t="shared" ca="1" si="173"/>
        <v>-1.4016860932275166</v>
      </c>
    </row>
    <row r="388" spans="1:34" x14ac:dyDescent="0.25">
      <c r="A388" s="347">
        <f t="shared" ca="1" si="151"/>
        <v>0.1</v>
      </c>
      <c r="B388" s="304">
        <f t="shared" ca="1" si="152"/>
        <v>26.100000000000072</v>
      </c>
      <c r="D388" s="306">
        <f t="shared" ca="1" si="153"/>
        <v>-0.39404695045321414</v>
      </c>
      <c r="E388" s="307">
        <f t="shared" ca="1" si="154"/>
        <v>-8.4184693344681367</v>
      </c>
      <c r="F388" s="304">
        <f t="shared" ca="1" si="155"/>
        <v>8.4276864520781665</v>
      </c>
      <c r="G388" s="306">
        <f t="shared" ca="1" si="156"/>
        <v>14.282844888653857</v>
      </c>
      <c r="H388" s="307">
        <f t="shared" ca="1" si="157"/>
        <v>-51.419194308413246</v>
      </c>
      <c r="I388" s="304">
        <f t="shared" ca="1" si="158"/>
        <v>53.366030407364036</v>
      </c>
      <c r="J388" s="306">
        <f t="shared" ca="1" si="159"/>
        <v>491.1273512846405</v>
      </c>
      <c r="K388" s="307">
        <f t="shared" ca="1" si="160"/>
        <v>2137.5231473330741</v>
      </c>
      <c r="L388" s="304">
        <f t="shared" ref="L388:L451" ca="1" si="174">SQRT(pos_x^2+pos_z^2)</f>
        <v>2193.2193872398079</v>
      </c>
      <c r="M388" s="306">
        <f t="shared" ca="1" si="161"/>
        <v>-1.2998542545294429</v>
      </c>
      <c r="N388" s="304">
        <f t="shared" ca="1" si="162"/>
        <v>-74.476162766660948</v>
      </c>
      <c r="P388" s="310">
        <f t="shared" ca="1" si="163"/>
        <v>23</v>
      </c>
      <c r="Q388" s="304">
        <f t="shared" ca="1" si="164"/>
        <v>0</v>
      </c>
      <c r="R388" s="306">
        <f t="shared" ca="1" si="165"/>
        <v>0</v>
      </c>
      <c r="S388" s="307">
        <f t="shared" ca="1" si="166"/>
        <v>2.0842999999999985</v>
      </c>
      <c r="T388" s="304">
        <f t="shared" ref="T388:T451" ca="1" si="175">m*g</f>
        <v>20.446982999999985</v>
      </c>
      <c r="U388" s="311">
        <f t="shared" ref="U388:U451" ca="1" si="176">IF(pos_xz&lt;L_rampe,Poids*COS(Beta),0)</f>
        <v>0</v>
      </c>
      <c r="V388" s="306">
        <f t="shared" ref="V388:V451" ca="1" si="177">Rho_moyen*(20000-Alt_rampe-pos_z)/(20000+Alt_rampe+pos_z)</f>
        <v>0.98843642077244176</v>
      </c>
      <c r="W388" s="304">
        <f t="shared" ref="W388:W451" ca="1" si="178">1/2*Rho*Sref*Cx*vit_xz^2</f>
        <v>3.1084583239599404</v>
      </c>
      <c r="Y388" s="314" t="str">
        <f t="shared" ca="1" si="167"/>
        <v/>
      </c>
      <c r="Z388" s="315" t="str">
        <f t="shared" ca="1" si="168"/>
        <v/>
      </c>
      <c r="AA388" s="316" t="str">
        <f t="shared" ca="1" si="169"/>
        <v/>
      </c>
      <c r="AC388" s="310" t="e">
        <f t="shared" ca="1" si="170"/>
        <v>#N/A</v>
      </c>
      <c r="AD388" s="323" t="e">
        <f t="shared" ca="1" si="171"/>
        <v>#N/A</v>
      </c>
      <c r="AE388" s="324" t="e">
        <f t="shared" ref="AE388:AE451" ca="1" si="179">IF(t&lt;T_para, pos_z, NA())</f>
        <v>#N/A</v>
      </c>
      <c r="AG388" s="306">
        <f t="shared" ca="1" si="172"/>
        <v>7.9926075309837588</v>
      </c>
      <c r="AH388" s="304">
        <f t="shared" ca="1" si="173"/>
        <v>-1.4462470716572018</v>
      </c>
    </row>
    <row r="389" spans="1:34" x14ac:dyDescent="0.25">
      <c r="A389" s="347">
        <f t="shared" ref="A389:A452" ca="1" si="180">IF(B388+0.01&lt;=T_ini+ROUNDUP(Temps_fin_propu,0), 0.01, IF(K388&gt;0, 0.1, 0.0001))</f>
        <v>0.1</v>
      </c>
      <c r="B389" s="304">
        <f t="shared" ref="B389:B452" ca="1" si="181">B388+pas</f>
        <v>26.200000000000074</v>
      </c>
      <c r="D389" s="306">
        <f t="shared" ref="D389:D452" ca="1" si="182">IF(AND(L388&lt;L_rampe,Poussee&lt;Poids*SIN(M388)),0,(-W388+Poussee)/m*COS(M388)-U388/m*SIN(M388))</f>
        <v>-0.39914862814402297</v>
      </c>
      <c r="E389" s="307">
        <f t="shared" ref="E389:E452" ca="1" si="183">IF(AND(L388&lt;L_rampe,Poussee&lt;Poids*SIN(M388)),0,(-W388+Poussee)/m*SIN(M388)+U388/m*COS(M388)-Poids/m)</f>
        <v>-8.3730383142522218</v>
      </c>
      <c r="F389" s="304">
        <f t="shared" ref="F389:F452" ca="1" si="184">SQRT(acc_x^2+acc_z^2)</f>
        <v>8.3825467633222868</v>
      </c>
      <c r="G389" s="306">
        <f t="shared" ref="G389:G452" ca="1" si="185">G388+acc_x*pas</f>
        <v>14.242930025839454</v>
      </c>
      <c r="H389" s="307">
        <f t="shared" ref="H389:H452" ca="1" si="186">H388+acc_z*pas</f>
        <v>-52.25649813983847</v>
      </c>
      <c r="I389" s="304">
        <f t="shared" ref="I389:I452" ca="1" si="187">SQRT(vit_x^2+vit_z^2)</f>
        <v>54.16274230095722</v>
      </c>
      <c r="J389" s="306">
        <f t="shared" ref="J389:J452" ca="1" si="188">J388+0.5*(vit_x+G388)*pas*(K388&gt;=0)</f>
        <v>492.55364003036516</v>
      </c>
      <c r="K389" s="307">
        <f t="shared" ref="K389:K452" ca="1" si="189">K388+0.5*(vit_z+H388)*pas</f>
        <v>2132.3393627106616</v>
      </c>
      <c r="L389" s="304">
        <f t="shared" ca="1" si="174"/>
        <v>2188.4881187871397</v>
      </c>
      <c r="M389" s="306">
        <f t="shared" ref="M389:M452" ca="1" si="190">IF(AND(L388&gt;L_rampe,G389&gt;0),ATAN2(G389,H389),$M$4)</f>
        <v>-1.3047017775905549</v>
      </c>
      <c r="N389" s="304">
        <f t="shared" ref="N389:N452" ca="1" si="191">DEGREES(Beta)</f>
        <v>-74.753905379155</v>
      </c>
      <c r="P389" s="310">
        <f t="shared" ref="P389:P452" ca="1" si="192">MATCH(t-pas/2-T_ini,CdP_t)</f>
        <v>23</v>
      </c>
      <c r="Q389" s="304">
        <f t="shared" ref="Q389:Q452" ca="1" si="193">(INDEX(CdP,2,i_P+1)-INDEX(CdP,2,i_P+0))/(INDEX(CdP,1,i_P+1)-INDEX(CdP,1,i_P+0))*(t-pas/2-T_ini-INDEX(CdP,1,i_P+0))+INDEX(CdP,2,i_P+0)</f>
        <v>0</v>
      </c>
      <c r="R389" s="306">
        <f t="shared" ref="R389:R452" ca="1" si="194">Poussee/(g*ISP)</f>
        <v>0</v>
      </c>
      <c r="S389" s="307">
        <f t="shared" ref="S389:S452" ca="1" si="195">S388-Débit*pas</f>
        <v>2.0842999999999985</v>
      </c>
      <c r="T389" s="304">
        <f t="shared" ca="1" si="175"/>
        <v>20.446982999999985</v>
      </c>
      <c r="U389" s="311">
        <f t="shared" ca="1" si="176"/>
        <v>0</v>
      </c>
      <c r="V389" s="306">
        <f t="shared" ca="1" si="177"/>
        <v>0.98895484666012801</v>
      </c>
      <c r="W389" s="304">
        <f t="shared" ca="1" si="178"/>
        <v>3.2036441043316022</v>
      </c>
      <c r="Y389" s="314" t="str">
        <f t="shared" ref="Y389:Y452" ca="1" si="196">IF(AND(pos_z&lt;=0,K388&gt;0),"Impact balistique","") &amp; IF(AND(H390&lt;0,vit_z&gt;=0),"Apogée","") &amp; IF(AND(Poussee=0,Q388&gt;0),"Fin de propulsion","") &amp; IF(AND(L390&gt;L_rampe,pos_xz&lt;=L_rampe),"Sortie de rampe","")</f>
        <v/>
      </c>
      <c r="Z389" s="315" t="str">
        <f t="shared" ref="Z389:Z452" ca="1" si="197">IF(ABS(t-T_para)&lt;pas/2,"Para","")</f>
        <v/>
      </c>
      <c r="AA389" s="316" t="str">
        <f t="shared" ref="AA389:AA452" ca="1" si="198">IF(ABS(t-T_satellite)&lt;pas/2,"Satellite","")</f>
        <v/>
      </c>
      <c r="AC389" s="310" t="e">
        <f t="shared" ref="AC389:AC452" ca="1" si="199">IF(ABS(t-ROUND(t,0))&lt;0.001,t,NA())</f>
        <v>#N/A</v>
      </c>
      <c r="AD389" s="323" t="e">
        <f t="shared" ref="AD389:AD452" ca="1" si="200">IF(ABS(t-ROUND(t,0))&lt;0.001,pos_x,NA())</f>
        <v>#N/A</v>
      </c>
      <c r="AE389" s="324" t="e">
        <f t="shared" ca="1" si="179"/>
        <v>#N/A</v>
      </c>
      <c r="AG389" s="306">
        <f t="shared" ref="AG389:AG452" ca="1" si="201">IF(AND(L388&lt;L_rampe,Poussee&lt;Poids*SIN(M388)),0,(-W388+Poussee)/m-Poids*SIN(M388)/m)</f>
        <v>7.9607552378563362</v>
      </c>
      <c r="AH389" s="304">
        <f t="shared" ref="AH389:AH452" ca="1" si="202">IF(AND(L388&lt;L_rampe,Poussee&lt;Poids*SIN(M388)), g*SIN(M388), (-W388+Poussee)/m)</f>
        <v>-1.4913680007484251</v>
      </c>
    </row>
    <row r="390" spans="1:34" x14ac:dyDescent="0.25">
      <c r="A390" s="347">
        <f t="shared" ca="1" si="180"/>
        <v>0.1</v>
      </c>
      <c r="B390" s="304">
        <f t="shared" ca="1" si="181"/>
        <v>26.300000000000075</v>
      </c>
      <c r="D390" s="306">
        <f t="shared" ca="1" si="182"/>
        <v>-0.40418736306498726</v>
      </c>
      <c r="E390" s="307">
        <f t="shared" ca="1" si="183"/>
        <v>-8.3270596114820936</v>
      </c>
      <c r="F390" s="304">
        <f t="shared" ca="1" si="184"/>
        <v>8.3368632708973784</v>
      </c>
      <c r="G390" s="306">
        <f t="shared" ca="1" si="185"/>
        <v>14.202511289532955</v>
      </c>
      <c r="H390" s="307">
        <f t="shared" ca="1" si="186"/>
        <v>-53.089204100986677</v>
      </c>
      <c r="I390" s="304">
        <f t="shared" ca="1" si="187"/>
        <v>54.956118121693528</v>
      </c>
      <c r="J390" s="306">
        <f t="shared" ca="1" si="188"/>
        <v>493.97591209613375</v>
      </c>
      <c r="K390" s="307">
        <f t="shared" ca="1" si="189"/>
        <v>2127.0720775986201</v>
      </c>
      <c r="L390" s="304">
        <f t="shared" ca="1" si="174"/>
        <v>2183.6775918232338</v>
      </c>
      <c r="M390" s="306">
        <f t="shared" ca="1" si="190"/>
        <v>-1.3093958874527925</v>
      </c>
      <c r="N390" s="304">
        <f t="shared" ca="1" si="191"/>
        <v>-75.022858062831958</v>
      </c>
      <c r="P390" s="310">
        <f t="shared" ca="1" si="192"/>
        <v>23</v>
      </c>
      <c r="Q390" s="304">
        <f t="shared" ca="1" si="193"/>
        <v>0</v>
      </c>
      <c r="R390" s="306">
        <f t="shared" ca="1" si="194"/>
        <v>0</v>
      </c>
      <c r="S390" s="307">
        <f t="shared" ca="1" si="195"/>
        <v>2.0842999999999985</v>
      </c>
      <c r="T390" s="304">
        <f t="shared" ca="1" si="175"/>
        <v>20.446982999999985</v>
      </c>
      <c r="U390" s="311">
        <f t="shared" ca="1" si="176"/>
        <v>0</v>
      </c>
      <c r="V390" s="306">
        <f t="shared" ca="1" si="177"/>
        <v>0.98948187216814154</v>
      </c>
      <c r="W390" s="304">
        <f t="shared" ca="1" si="178"/>
        <v>3.2999430862558148</v>
      </c>
      <c r="Y390" s="314" t="str">
        <f t="shared" ca="1" si="196"/>
        <v/>
      </c>
      <c r="Z390" s="315" t="str">
        <f t="shared" ca="1" si="197"/>
        <v/>
      </c>
      <c r="AA390" s="316" t="str">
        <f t="shared" ca="1" si="198"/>
        <v/>
      </c>
      <c r="AC390" s="310" t="e">
        <f t="shared" ca="1" si="199"/>
        <v>#N/A</v>
      </c>
      <c r="AD390" s="323" t="e">
        <f t="shared" ca="1" si="200"/>
        <v>#N/A</v>
      </c>
      <c r="AE390" s="324" t="e">
        <f t="shared" ca="1" si="179"/>
        <v>#N/A</v>
      </c>
      <c r="AG390" s="306">
        <f t="shared" ca="1" si="201"/>
        <v>7.9277035195591683</v>
      </c>
      <c r="AH390" s="304">
        <f t="shared" ca="1" si="202"/>
        <v>-1.5370359853819529</v>
      </c>
    </row>
    <row r="391" spans="1:34" x14ac:dyDescent="0.25">
      <c r="A391" s="347">
        <f t="shared" ca="1" si="180"/>
        <v>0.1</v>
      </c>
      <c r="B391" s="304">
        <f t="shared" ca="1" si="181"/>
        <v>26.400000000000077</v>
      </c>
      <c r="D391" s="306">
        <f t="shared" ca="1" si="182"/>
        <v>-0.40916202189481649</v>
      </c>
      <c r="E391" s="307">
        <f t="shared" ca="1" si="183"/>
        <v>-8.2805461134359284</v>
      </c>
      <c r="F391" s="304">
        <f t="shared" ca="1" si="184"/>
        <v>8.2906487983088457</v>
      </c>
      <c r="G391" s="306">
        <f t="shared" ca="1" si="185"/>
        <v>14.161595087343473</v>
      </c>
      <c r="H391" s="307">
        <f t="shared" ca="1" si="186"/>
        <v>-53.917258712330273</v>
      </c>
      <c r="I391" s="304">
        <f t="shared" ca="1" si="187"/>
        <v>55.746045263051847</v>
      </c>
      <c r="J391" s="306">
        <f t="shared" ca="1" si="188"/>
        <v>495.39411741497759</v>
      </c>
      <c r="K391" s="307">
        <f t="shared" ca="1" si="189"/>
        <v>2121.7217544579544</v>
      </c>
      <c r="L391" s="304">
        <f t="shared" ca="1" si="174"/>
        <v>2178.7883180588024</v>
      </c>
      <c r="M391" s="306">
        <f t="shared" ca="1" si="190"/>
        <v>-1.3139437312129771</v>
      </c>
      <c r="N391" s="304">
        <f t="shared" ca="1" si="191"/>
        <v>-75.283430316175441</v>
      </c>
      <c r="P391" s="310">
        <f t="shared" ca="1" si="192"/>
        <v>23</v>
      </c>
      <c r="Q391" s="304">
        <f t="shared" ca="1" si="193"/>
        <v>0</v>
      </c>
      <c r="R391" s="306">
        <f t="shared" ca="1" si="194"/>
        <v>0</v>
      </c>
      <c r="S391" s="307">
        <f t="shared" ca="1" si="195"/>
        <v>2.0842999999999985</v>
      </c>
      <c r="T391" s="304">
        <f t="shared" ca="1" si="175"/>
        <v>20.446982999999985</v>
      </c>
      <c r="U391" s="311">
        <f t="shared" ca="1" si="176"/>
        <v>0</v>
      </c>
      <c r="V391" s="306">
        <f t="shared" ca="1" si="177"/>
        <v>0.99001746310164829</v>
      </c>
      <c r="W391" s="304">
        <f t="shared" ca="1" si="178"/>
        <v>3.3973281087362168</v>
      </c>
      <c r="Y391" s="314" t="str">
        <f t="shared" ca="1" si="196"/>
        <v/>
      </c>
      <c r="Z391" s="315" t="str">
        <f t="shared" ca="1" si="197"/>
        <v/>
      </c>
      <c r="AA391" s="316" t="str">
        <f t="shared" ca="1" si="198"/>
        <v/>
      </c>
      <c r="AC391" s="310" t="e">
        <f t="shared" ca="1" si="199"/>
        <v>#N/A</v>
      </c>
      <c r="AD391" s="323" t="e">
        <f t="shared" ca="1" si="200"/>
        <v>#N/A</v>
      </c>
      <c r="AE391" s="324" t="e">
        <f t="shared" ca="1" si="179"/>
        <v>#N/A</v>
      </c>
      <c r="AG391" s="306">
        <f t="shared" ca="1" si="201"/>
        <v>7.8935064788971099</v>
      </c>
      <c r="AH391" s="304">
        <f t="shared" ca="1" si="202"/>
        <v>-1.5832380589434425</v>
      </c>
    </row>
    <row r="392" spans="1:34" x14ac:dyDescent="0.25">
      <c r="A392" s="347">
        <f t="shared" ca="1" si="180"/>
        <v>0.1</v>
      </c>
      <c r="B392" s="304">
        <f t="shared" ca="1" si="181"/>
        <v>26.500000000000078</v>
      </c>
      <c r="D392" s="306">
        <f t="shared" ca="1" si="182"/>
        <v>-0.41407153233544342</v>
      </c>
      <c r="E392" s="307">
        <f t="shared" ca="1" si="183"/>
        <v>-8.2335107841563691</v>
      </c>
      <c r="F392" s="304">
        <f t="shared" ca="1" si="184"/>
        <v>8.2439162457359938</v>
      </c>
      <c r="G392" s="306">
        <f t="shared" ca="1" si="185"/>
        <v>14.120187934109929</v>
      </c>
      <c r="H392" s="307">
        <f t="shared" ca="1" si="186"/>
        <v>-54.740609790745907</v>
      </c>
      <c r="I392" s="304">
        <f t="shared" ca="1" si="187"/>
        <v>56.532416077479745</v>
      </c>
      <c r="J392" s="306">
        <f t="shared" ca="1" si="188"/>
        <v>496.80820656605027</v>
      </c>
      <c r="K392" s="307">
        <f t="shared" ca="1" si="189"/>
        <v>2116.2888610328005</v>
      </c>
      <c r="L392" s="304">
        <f t="shared" ca="1" si="174"/>
        <v>2173.8208153946089</v>
      </c>
      <c r="M392" s="306">
        <f t="shared" ca="1" si="190"/>
        <v>-1.3183520295368807</v>
      </c>
      <c r="N392" s="304">
        <f t="shared" ca="1" si="191"/>
        <v>-75.536007204969707</v>
      </c>
      <c r="P392" s="310">
        <f t="shared" ca="1" si="192"/>
        <v>23</v>
      </c>
      <c r="Q392" s="304">
        <f t="shared" ca="1" si="193"/>
        <v>0</v>
      </c>
      <c r="R392" s="306">
        <f t="shared" ca="1" si="194"/>
        <v>0</v>
      </c>
      <c r="S392" s="307">
        <f t="shared" ca="1" si="195"/>
        <v>2.0842999999999985</v>
      </c>
      <c r="T392" s="304">
        <f t="shared" ca="1" si="175"/>
        <v>20.446982999999985</v>
      </c>
      <c r="U392" s="311">
        <f t="shared" ca="1" si="176"/>
        <v>0</v>
      </c>
      <c r="V392" s="306">
        <f t="shared" ca="1" si="177"/>
        <v>0.99056158485225032</v>
      </c>
      <c r="W392" s="304">
        <f t="shared" ca="1" si="178"/>
        <v>3.4957718903682222</v>
      </c>
      <c r="Y392" s="314" t="str">
        <f t="shared" ca="1" si="196"/>
        <v/>
      </c>
      <c r="Z392" s="315" t="str">
        <f t="shared" ca="1" si="197"/>
        <v/>
      </c>
      <c r="AA392" s="316" t="str">
        <f t="shared" ca="1" si="198"/>
        <v/>
      </c>
      <c r="AC392" s="310" t="e">
        <f t="shared" ca="1" si="199"/>
        <v>#N/A</v>
      </c>
      <c r="AD392" s="323" t="e">
        <f t="shared" ca="1" si="200"/>
        <v>#N/A</v>
      </c>
      <c r="AE392" s="324" t="e">
        <f t="shared" ca="1" si="179"/>
        <v>#N/A</v>
      </c>
      <c r="AG392" s="306">
        <f t="shared" ca="1" si="201"/>
        <v>7.8582151543642551</v>
      </c>
      <c r="AH392" s="304">
        <f t="shared" ca="1" si="202"/>
        <v>-1.6299611902011319</v>
      </c>
    </row>
    <row r="393" spans="1:34" x14ac:dyDescent="0.25">
      <c r="A393" s="347">
        <f t="shared" ca="1" si="180"/>
        <v>0.1</v>
      </c>
      <c r="B393" s="304">
        <f t="shared" ca="1" si="181"/>
        <v>26.60000000000008</v>
      </c>
      <c r="D393" s="306">
        <f t="shared" ca="1" si="182"/>
        <v>-0.41891488073247968</v>
      </c>
      <c r="E393" s="307">
        <f t="shared" ca="1" si="183"/>
        <v>-8.1859666564835258</v>
      </c>
      <c r="F393" s="304">
        <f t="shared" ca="1" si="184"/>
        <v>8.1966785821062409</v>
      </c>
      <c r="G393" s="306">
        <f t="shared" ca="1" si="185"/>
        <v>14.078296446036681</v>
      </c>
      <c r="H393" s="307">
        <f t="shared" ca="1" si="186"/>
        <v>-55.559206456394257</v>
      </c>
      <c r="I393" s="304">
        <f t="shared" ca="1" si="187"/>
        <v>57.315127609442953</v>
      </c>
      <c r="J393" s="306">
        <f t="shared" ca="1" si="188"/>
        <v>498.21813078505761</v>
      </c>
      <c r="K393" s="307">
        <f t="shared" ca="1" si="189"/>
        <v>2110.7738702204433</v>
      </c>
      <c r="L393" s="304">
        <f t="shared" ca="1" si="174"/>
        <v>2168.7756078138523</v>
      </c>
      <c r="M393" s="306">
        <f t="shared" ca="1" si="190"/>
        <v>-1.3226271070837248</v>
      </c>
      <c r="N393" s="304">
        <f t="shared" ca="1" si="191"/>
        <v>-75.780951105495021</v>
      </c>
      <c r="P393" s="310">
        <f t="shared" ca="1" si="192"/>
        <v>23</v>
      </c>
      <c r="Q393" s="304">
        <f t="shared" ca="1" si="193"/>
        <v>0</v>
      </c>
      <c r="R393" s="306">
        <f t="shared" ca="1" si="194"/>
        <v>0</v>
      </c>
      <c r="S393" s="307">
        <f t="shared" ca="1" si="195"/>
        <v>2.0842999999999985</v>
      </c>
      <c r="T393" s="304">
        <f t="shared" ca="1" si="175"/>
        <v>20.446982999999985</v>
      </c>
      <c r="U393" s="311">
        <f t="shared" ca="1" si="176"/>
        <v>0</v>
      </c>
      <c r="V393" s="306">
        <f t="shared" ca="1" si="177"/>
        <v>0.99111420240676873</v>
      </c>
      <c r="W393" s="304">
        <f t="shared" ca="1" si="178"/>
        <v>3.5952470435391506</v>
      </c>
      <c r="Y393" s="314" t="str">
        <f t="shared" ca="1" si="196"/>
        <v/>
      </c>
      <c r="Z393" s="315" t="str">
        <f t="shared" ca="1" si="197"/>
        <v/>
      </c>
      <c r="AA393" s="316" t="str">
        <f t="shared" ca="1" si="198"/>
        <v/>
      </c>
      <c r="AC393" s="310" t="e">
        <f t="shared" ca="1" si="199"/>
        <v>#N/A</v>
      </c>
      <c r="AD393" s="323" t="e">
        <f t="shared" ca="1" si="200"/>
        <v>#N/A</v>
      </c>
      <c r="AE393" s="324" t="e">
        <f t="shared" ca="1" si="179"/>
        <v>#N/A</v>
      </c>
      <c r="AG393" s="306">
        <f t="shared" ca="1" si="201"/>
        <v>7.8218777887052751</v>
      </c>
      <c r="AH393" s="304">
        <f t="shared" ca="1" si="202"/>
        <v>-1.6771922901541163</v>
      </c>
    </row>
    <row r="394" spans="1:34" x14ac:dyDescent="0.25">
      <c r="A394" s="347">
        <f t="shared" ca="1" si="180"/>
        <v>0.1</v>
      </c>
      <c r="B394" s="304">
        <f t="shared" ca="1" si="181"/>
        <v>26.700000000000081</v>
      </c>
      <c r="D394" s="306">
        <f t="shared" ca="1" si="182"/>
        <v>-0.42369110988548331</v>
      </c>
      <c r="E394" s="307">
        <f t="shared" ca="1" si="183"/>
        <v>-8.13792682423637</v>
      </c>
      <c r="F394" s="304">
        <f t="shared" ca="1" si="184"/>
        <v>8.1489488373177217</v>
      </c>
      <c r="G394" s="306">
        <f t="shared" ca="1" si="185"/>
        <v>14.035927335048132</v>
      </c>
      <c r="H394" s="307">
        <f t="shared" ca="1" si="186"/>
        <v>-56.372999138817896</v>
      </c>
      <c r="I394" s="304">
        <f t="shared" ca="1" si="187"/>
        <v>58.094081351372743</v>
      </c>
      <c r="J394" s="306">
        <f t="shared" ca="1" si="188"/>
        <v>499.62384197411183</v>
      </c>
      <c r="K394" s="307">
        <f t="shared" ca="1" si="189"/>
        <v>2105.1772599406827</v>
      </c>
      <c r="L394" s="304">
        <f t="shared" ca="1" si="174"/>
        <v>2163.6532252744046</v>
      </c>
      <c r="M394" s="306">
        <f t="shared" ca="1" si="190"/>
        <v>-1.3267749204457204</v>
      </c>
      <c r="N394" s="304">
        <f t="shared" ca="1" si="191"/>
        <v>-76.018603305345337</v>
      </c>
      <c r="P394" s="310">
        <f t="shared" ca="1" si="192"/>
        <v>23</v>
      </c>
      <c r="Q394" s="304">
        <f t="shared" ca="1" si="193"/>
        <v>0</v>
      </c>
      <c r="R394" s="306">
        <f t="shared" ca="1" si="194"/>
        <v>0</v>
      </c>
      <c r="S394" s="307">
        <f t="shared" ca="1" si="195"/>
        <v>2.0842999999999985</v>
      </c>
      <c r="T394" s="304">
        <f t="shared" ca="1" si="175"/>
        <v>20.446982999999985</v>
      </c>
      <c r="U394" s="311">
        <f t="shared" ca="1" si="176"/>
        <v>0</v>
      </c>
      <c r="V394" s="306">
        <f t="shared" ca="1" si="177"/>
        <v>0.99167528035608643</v>
      </c>
      <c r="W394" s="304">
        <f t="shared" ca="1" si="178"/>
        <v>3.6957260885425112</v>
      </c>
      <c r="Y394" s="314" t="str">
        <f t="shared" ca="1" si="196"/>
        <v/>
      </c>
      <c r="Z394" s="315" t="str">
        <f t="shared" ca="1" si="197"/>
        <v/>
      </c>
      <c r="AA394" s="316" t="str">
        <f t="shared" ca="1" si="198"/>
        <v/>
      </c>
      <c r="AC394" s="310" t="e">
        <f t="shared" ca="1" si="199"/>
        <v>#N/A</v>
      </c>
      <c r="AD394" s="323" t="e">
        <f t="shared" ca="1" si="200"/>
        <v>#N/A</v>
      </c>
      <c r="AE394" s="324" t="e">
        <f t="shared" ca="1" si="179"/>
        <v>#N/A</v>
      </c>
      <c r="AG394" s="306">
        <f t="shared" ca="1" si="201"/>
        <v>7.7845400702684655</v>
      </c>
      <c r="AH394" s="304">
        <f t="shared" ca="1" si="202"/>
        <v>-1.7249182188452494</v>
      </c>
    </row>
    <row r="395" spans="1:34" x14ac:dyDescent="0.25">
      <c r="A395" s="347">
        <f t="shared" ca="1" si="180"/>
        <v>0.1</v>
      </c>
      <c r="B395" s="304">
        <f t="shared" ca="1" si="181"/>
        <v>26.800000000000082</v>
      </c>
      <c r="D395" s="306">
        <f t="shared" ca="1" si="182"/>
        <v>-0.42839931702764328</v>
      </c>
      <c r="E395" s="307">
        <f t="shared" ca="1" si="183"/>
        <v>-8.0894044345352345</v>
      </c>
      <c r="F395" s="304">
        <f t="shared" ca="1" si="184"/>
        <v>8.1007400946029655</v>
      </c>
      <c r="G395" s="306">
        <f t="shared" ca="1" si="185"/>
        <v>13.993087403345369</v>
      </c>
      <c r="H395" s="307">
        <f t="shared" ca="1" si="186"/>
        <v>-57.181939582271418</v>
      </c>
      <c r="I395" s="304">
        <f t="shared" ca="1" si="187"/>
        <v>58.869183020220369</v>
      </c>
      <c r="J395" s="306">
        <f t="shared" ca="1" si="188"/>
        <v>501.02529271103151</v>
      </c>
      <c r="K395" s="307">
        <f t="shared" ca="1" si="189"/>
        <v>2099.4995130046282</v>
      </c>
      <c r="L395" s="304">
        <f t="shared" ca="1" si="174"/>
        <v>2158.4542036010043</v>
      </c>
      <c r="M395" s="306">
        <f t="shared" ca="1" si="190"/>
        <v>-1.3308010838272919</v>
      </c>
      <c r="N395" s="304">
        <f t="shared" ca="1" si="191"/>
        <v>-76.249285474739509</v>
      </c>
      <c r="P395" s="310">
        <f t="shared" ca="1" si="192"/>
        <v>23</v>
      </c>
      <c r="Q395" s="304">
        <f t="shared" ca="1" si="193"/>
        <v>0</v>
      </c>
      <c r="R395" s="306">
        <f t="shared" ca="1" si="194"/>
        <v>0</v>
      </c>
      <c r="S395" s="307">
        <f t="shared" ca="1" si="195"/>
        <v>2.0842999999999985</v>
      </c>
      <c r="T395" s="304">
        <f t="shared" ca="1" si="175"/>
        <v>20.446982999999985</v>
      </c>
      <c r="U395" s="311">
        <f t="shared" ca="1" si="176"/>
        <v>0</v>
      </c>
      <c r="V395" s="306">
        <f t="shared" ca="1" si="177"/>
        <v>0.99224478290404516</v>
      </c>
      <c r="W395" s="304">
        <f t="shared" ca="1" si="178"/>
        <v>3.7971814675946964</v>
      </c>
      <c r="Y395" s="314" t="str">
        <f t="shared" ca="1" si="196"/>
        <v/>
      </c>
      <c r="Z395" s="315" t="str">
        <f t="shared" ca="1" si="197"/>
        <v/>
      </c>
      <c r="AA395" s="316" t="str">
        <f t="shared" ca="1" si="198"/>
        <v/>
      </c>
      <c r="AC395" s="310" t="e">
        <f t="shared" ca="1" si="199"/>
        <v>#N/A</v>
      </c>
      <c r="AD395" s="323" t="e">
        <f t="shared" ca="1" si="200"/>
        <v>#N/A</v>
      </c>
      <c r="AE395" s="324" t="e">
        <f t="shared" ca="1" si="179"/>
        <v>#N/A</v>
      </c>
      <c r="AG395" s="306">
        <f t="shared" ca="1" si="201"/>
        <v>7.7462453501175208</v>
      </c>
      <c r="AH395" s="304">
        <f t="shared" ca="1" si="202"/>
        <v>-1.7731257921328569</v>
      </c>
    </row>
    <row r="396" spans="1:34" x14ac:dyDescent="0.25">
      <c r="A396" s="347">
        <f t="shared" ca="1" si="180"/>
        <v>0.1</v>
      </c>
      <c r="B396" s="304">
        <f t="shared" ca="1" si="181"/>
        <v>26.900000000000084</v>
      </c>
      <c r="D396" s="306">
        <f t="shared" ca="1" si="182"/>
        <v>-0.4330386519567398</v>
      </c>
      <c r="E396" s="307">
        <f t="shared" ca="1" si="183"/>
        <v>-8.0404126802596387</v>
      </c>
      <c r="F396" s="304">
        <f t="shared" ca="1" si="184"/>
        <v>8.0520654830278477</v>
      </c>
      <c r="G396" s="306">
        <f t="shared" ca="1" si="185"/>
        <v>13.949783538149696</v>
      </c>
      <c r="H396" s="307">
        <f t="shared" ca="1" si="186"/>
        <v>-57.985980850297381</v>
      </c>
      <c r="I396" s="304">
        <f t="shared" ca="1" si="187"/>
        <v>59.640342352574457</v>
      </c>
      <c r="J396" s="306">
        <f t="shared" ca="1" si="188"/>
        <v>502.42243625810625</v>
      </c>
      <c r="K396" s="307">
        <f t="shared" ca="1" si="189"/>
        <v>2093.7411169829998</v>
      </c>
      <c r="L396" s="304">
        <f t="shared" ca="1" si="174"/>
        <v>2153.1790843775048</v>
      </c>
      <c r="M396" s="306">
        <f t="shared" ca="1" si="190"/>
        <v>-1.3347108926668294</v>
      </c>
      <c r="N396" s="304">
        <f t="shared" ca="1" si="191"/>
        <v>-76.473301019947939</v>
      </c>
      <c r="P396" s="310">
        <f t="shared" ca="1" si="192"/>
        <v>23</v>
      </c>
      <c r="Q396" s="304">
        <f t="shared" ca="1" si="193"/>
        <v>0</v>
      </c>
      <c r="R396" s="306">
        <f t="shared" ca="1" si="194"/>
        <v>0</v>
      </c>
      <c r="S396" s="307">
        <f t="shared" ca="1" si="195"/>
        <v>2.0842999999999985</v>
      </c>
      <c r="T396" s="304">
        <f t="shared" ca="1" si="175"/>
        <v>20.446982999999985</v>
      </c>
      <c r="U396" s="311">
        <f t="shared" ca="1" si="176"/>
        <v>0</v>
      </c>
      <c r="V396" s="306">
        <f t="shared" ca="1" si="177"/>
        <v>0.992822673876391</v>
      </c>
      <c r="W396" s="304">
        <f t="shared" ca="1" si="178"/>
        <v>3.8995855587426962</v>
      </c>
      <c r="Y396" s="314" t="str">
        <f t="shared" ca="1" si="196"/>
        <v/>
      </c>
      <c r="Z396" s="315" t="str">
        <f t="shared" ca="1" si="197"/>
        <v/>
      </c>
      <c r="AA396" s="316" t="str">
        <f t="shared" ca="1" si="198"/>
        <v/>
      </c>
      <c r="AC396" s="310" t="e">
        <f t="shared" ca="1" si="199"/>
        <v>#N/A</v>
      </c>
      <c r="AD396" s="323" t="e">
        <f t="shared" ca="1" si="200"/>
        <v>#N/A</v>
      </c>
      <c r="AE396" s="324" t="e">
        <f t="shared" ca="1" si="179"/>
        <v>#N/A</v>
      </c>
      <c r="AG396" s="306">
        <f t="shared" ca="1" si="201"/>
        <v>7.7070348375216806</v>
      </c>
      <c r="AH396" s="304">
        <f t="shared" ca="1" si="202"/>
        <v>-1.8218017884156308</v>
      </c>
    </row>
    <row r="397" spans="1:34" x14ac:dyDescent="0.25">
      <c r="A397" s="347">
        <f t="shared" ca="1" si="180"/>
        <v>0.1</v>
      </c>
      <c r="B397" s="304">
        <f t="shared" ca="1" si="181"/>
        <v>27.000000000000085</v>
      </c>
      <c r="D397" s="306">
        <f t="shared" ca="1" si="182"/>
        <v>-0.43760831530122996</v>
      </c>
      <c r="E397" s="307">
        <f t="shared" ca="1" si="183"/>
        <v>-7.9909647926369338</v>
      </c>
      <c r="F397" s="304">
        <f t="shared" ca="1" si="184"/>
        <v>8.0029381701212596</v>
      </c>
      <c r="G397" s="306">
        <f t="shared" ca="1" si="185"/>
        <v>13.906022706619572</v>
      </c>
      <c r="H397" s="307">
        <f t="shared" ca="1" si="186"/>
        <v>-58.785077329561076</v>
      </c>
      <c r="I397" s="304">
        <f t="shared" ca="1" si="187"/>
        <v>60.407472916515019</v>
      </c>
      <c r="J397" s="306">
        <f t="shared" ca="1" si="188"/>
        <v>503.81522657034469</v>
      </c>
      <c r="K397" s="307">
        <f t="shared" ca="1" si="189"/>
        <v>2087.9025640740069</v>
      </c>
      <c r="L397" s="304">
        <f t="shared" ca="1" si="174"/>
        <v>2147.8284148392627</v>
      </c>
      <c r="M397" s="306">
        <f t="shared" ca="1" si="190"/>
        <v>-1.3385093453842003</v>
      </c>
      <c r="N397" s="304">
        <f t="shared" ca="1" si="191"/>
        <v>-76.690936329333297</v>
      </c>
      <c r="P397" s="310">
        <f t="shared" ca="1" si="192"/>
        <v>23</v>
      </c>
      <c r="Q397" s="304">
        <f t="shared" ca="1" si="193"/>
        <v>0</v>
      </c>
      <c r="R397" s="306">
        <f t="shared" ca="1" si="194"/>
        <v>0</v>
      </c>
      <c r="S397" s="307">
        <f t="shared" ca="1" si="195"/>
        <v>2.0842999999999985</v>
      </c>
      <c r="T397" s="304">
        <f t="shared" ca="1" si="175"/>
        <v>20.446982999999985</v>
      </c>
      <c r="U397" s="311">
        <f t="shared" ca="1" si="176"/>
        <v>0</v>
      </c>
      <c r="V397" s="306">
        <f t="shared" ca="1" si="177"/>
        <v>0.99340891672976428</v>
      </c>
      <c r="W397" s="304">
        <f t="shared" ca="1" si="178"/>
        <v>4.0029106896517792</v>
      </c>
      <c r="Y397" s="314" t="str">
        <f t="shared" ca="1" si="196"/>
        <v/>
      </c>
      <c r="Z397" s="315" t="str">
        <f t="shared" ca="1" si="197"/>
        <v/>
      </c>
      <c r="AA397" s="316" t="str">
        <f t="shared" ca="1" si="198"/>
        <v/>
      </c>
      <c r="AC397" s="310">
        <f t="shared" ca="1" si="199"/>
        <v>27.000000000000085</v>
      </c>
      <c r="AD397" s="323">
        <f t="shared" ca="1" si="200"/>
        <v>503.81522657034469</v>
      </c>
      <c r="AE397" s="324" t="e">
        <f t="shared" ca="1" si="179"/>
        <v>#N/A</v>
      </c>
      <c r="AG397" s="306">
        <f t="shared" ca="1" si="201"/>
        <v>7.6669477761400042</v>
      </c>
      <c r="AH397" s="304">
        <f t="shared" ca="1" si="202"/>
        <v>-1.8709329553052338</v>
      </c>
    </row>
    <row r="398" spans="1:34" x14ac:dyDescent="0.25">
      <c r="A398" s="347">
        <f t="shared" ca="1" si="180"/>
        <v>0.1</v>
      </c>
      <c r="B398" s="304">
        <f t="shared" ca="1" si="181"/>
        <v>27.100000000000087</v>
      </c>
      <c r="D398" s="306">
        <f t="shared" ca="1" si="182"/>
        <v>-0.44210755690708387</v>
      </c>
      <c r="E398" s="307">
        <f t="shared" ca="1" si="183"/>
        <v>-7.9410740339583406</v>
      </c>
      <c r="F398" s="304">
        <f t="shared" ca="1" si="184"/>
        <v>7.9533713546320559</v>
      </c>
      <c r="G398" s="306">
        <f t="shared" ca="1" si="185"/>
        <v>13.861811950928864</v>
      </c>
      <c r="H398" s="307">
        <f t="shared" ca="1" si="186"/>
        <v>-59.579184732956911</v>
      </c>
      <c r="I398" s="304">
        <f t="shared" ca="1" si="187"/>
        <v>61.170491938570514</v>
      </c>
      <c r="J398" s="306">
        <f t="shared" ca="1" si="188"/>
        <v>505.20361830322213</v>
      </c>
      <c r="K398" s="307">
        <f t="shared" ca="1" si="189"/>
        <v>2081.9843509708812</v>
      </c>
      <c r="L398" s="304">
        <f t="shared" ca="1" si="174"/>
        <v>2142.4027477657669</v>
      </c>
      <c r="M398" s="306">
        <f t="shared" ca="1" si="190"/>
        <v>-1.3422011634196247</v>
      </c>
      <c r="N398" s="304">
        <f t="shared" ca="1" si="191"/>
        <v>-76.902461921493398</v>
      </c>
      <c r="P398" s="310">
        <f t="shared" ca="1" si="192"/>
        <v>23</v>
      </c>
      <c r="Q398" s="304">
        <f t="shared" ca="1" si="193"/>
        <v>0</v>
      </c>
      <c r="R398" s="306">
        <f t="shared" ca="1" si="194"/>
        <v>0</v>
      </c>
      <c r="S398" s="307">
        <f t="shared" ca="1" si="195"/>
        <v>2.0842999999999985</v>
      </c>
      <c r="T398" s="304">
        <f t="shared" ca="1" si="175"/>
        <v>20.446982999999985</v>
      </c>
      <c r="U398" s="311">
        <f t="shared" ca="1" si="176"/>
        <v>0</v>
      </c>
      <c r="V398" s="306">
        <f t="shared" ca="1" si="177"/>
        <v>0.9940034745607278</v>
      </c>
      <c r="W398" s="304">
        <f t="shared" ca="1" si="178"/>
        <v>4.1071291512624253</v>
      </c>
      <c r="Y398" s="314" t="str">
        <f t="shared" ca="1" si="196"/>
        <v/>
      </c>
      <c r="Z398" s="315" t="str">
        <f t="shared" ca="1" si="197"/>
        <v/>
      </c>
      <c r="AA398" s="316" t="str">
        <f t="shared" ca="1" si="198"/>
        <v/>
      </c>
      <c r="AC398" s="310" t="e">
        <f t="shared" ca="1" si="199"/>
        <v>#N/A</v>
      </c>
      <c r="AD398" s="323" t="e">
        <f t="shared" ca="1" si="200"/>
        <v>#N/A</v>
      </c>
      <c r="AE398" s="324" t="e">
        <f t="shared" ca="1" si="179"/>
        <v>#N/A</v>
      </c>
      <c r="AG398" s="306">
        <f t="shared" ca="1" si="201"/>
        <v>7.6260216029488745</v>
      </c>
      <c r="AH398" s="304">
        <f t="shared" ca="1" si="202"/>
        <v>-1.9205060162413194</v>
      </c>
    </row>
    <row r="399" spans="1:34" x14ac:dyDescent="0.25">
      <c r="A399" s="347">
        <f t="shared" ca="1" si="180"/>
        <v>0.1</v>
      </c>
      <c r="B399" s="304">
        <f t="shared" ca="1" si="181"/>
        <v>27.200000000000088</v>
      </c>
      <c r="D399" s="306">
        <f t="shared" ca="1" si="182"/>
        <v>-0.44653567433254454</v>
      </c>
      <c r="E399" s="307">
        <f t="shared" ca="1" si="183"/>
        <v>-7.8907536904198565</v>
      </c>
      <c r="F399" s="304">
        <f t="shared" ca="1" si="184"/>
        <v>7.903378259410732</v>
      </c>
      <c r="G399" s="306">
        <f t="shared" ca="1" si="185"/>
        <v>13.81715838349561</v>
      </c>
      <c r="H399" s="307">
        <f t="shared" ca="1" si="186"/>
        <v>-60.368260101998899</v>
      </c>
      <c r="I399" s="304">
        <f t="shared" ca="1" si="187"/>
        <v>61.929320144316094</v>
      </c>
      <c r="J399" s="306">
        <f t="shared" ca="1" si="188"/>
        <v>506.58756681994333</v>
      </c>
      <c r="K399" s="307">
        <f t="shared" ca="1" si="189"/>
        <v>2075.9869787291336</v>
      </c>
      <c r="L399" s="304">
        <f t="shared" ca="1" si="174"/>
        <v>2136.9026413735996</v>
      </c>
      <c r="M399" s="306">
        <f t="shared" ca="1" si="190"/>
        <v>-1.3457908097136659</v>
      </c>
      <c r="N399" s="304">
        <f t="shared" ca="1" si="191"/>
        <v>-77.108133504086737</v>
      </c>
      <c r="P399" s="310">
        <f t="shared" ca="1" si="192"/>
        <v>23</v>
      </c>
      <c r="Q399" s="304">
        <f t="shared" ca="1" si="193"/>
        <v>0</v>
      </c>
      <c r="R399" s="306">
        <f t="shared" ca="1" si="194"/>
        <v>0</v>
      </c>
      <c r="S399" s="307">
        <f t="shared" ca="1" si="195"/>
        <v>2.0842999999999985</v>
      </c>
      <c r="T399" s="304">
        <f t="shared" ca="1" si="175"/>
        <v>20.446982999999985</v>
      </c>
      <c r="U399" s="311">
        <f t="shared" ca="1" si="176"/>
        <v>0</v>
      </c>
      <c r="V399" s="306">
        <f t="shared" ca="1" si="177"/>
        <v>0.99460631011482992</v>
      </c>
      <c r="W399" s="304">
        <f t="shared" ca="1" si="178"/>
        <v>4.2122132113062163</v>
      </c>
      <c r="Y399" s="314" t="str">
        <f t="shared" ca="1" si="196"/>
        <v/>
      </c>
      <c r="Z399" s="315" t="str">
        <f t="shared" ca="1" si="197"/>
        <v/>
      </c>
      <c r="AA399" s="316" t="str">
        <f t="shared" ca="1" si="198"/>
        <v/>
      </c>
      <c r="AC399" s="310" t="e">
        <f t="shared" ca="1" si="199"/>
        <v>#N/A</v>
      </c>
      <c r="AD399" s="323" t="e">
        <f t="shared" ca="1" si="200"/>
        <v>#N/A</v>
      </c>
      <c r="AE399" s="324" t="e">
        <f t="shared" ca="1" si="179"/>
        <v>#N/A</v>
      </c>
      <c r="AG399" s="306">
        <f t="shared" ca="1" si="201"/>
        <v>7.5842920917279253</v>
      </c>
      <c r="AH399" s="304">
        <f t="shared" ca="1" si="202"/>
        <v>-1.9705076770438172</v>
      </c>
    </row>
    <row r="400" spans="1:34" x14ac:dyDescent="0.25">
      <c r="A400" s="347">
        <f t="shared" ca="1" si="180"/>
        <v>0.1</v>
      </c>
      <c r="B400" s="304">
        <f t="shared" ca="1" si="181"/>
        <v>27.30000000000009</v>
      </c>
      <c r="D400" s="306">
        <f t="shared" ca="1" si="182"/>
        <v>-0.45089201143939006</v>
      </c>
      <c r="E400" s="307">
        <f t="shared" ca="1" si="183"/>
        <v>-7.8400170650862675</v>
      </c>
      <c r="F400" s="304">
        <f t="shared" ca="1" si="184"/>
        <v>7.8529721244140269</v>
      </c>
      <c r="G400" s="306">
        <f t="shared" ca="1" si="185"/>
        <v>13.77206918235167</v>
      </c>
      <c r="H400" s="307">
        <f t="shared" ca="1" si="186"/>
        <v>-61.152261808507525</v>
      </c>
      <c r="I400" s="304">
        <f t="shared" ca="1" si="187"/>
        <v>62.683881611302027</v>
      </c>
      <c r="J400" s="306">
        <f t="shared" ca="1" si="188"/>
        <v>507.96702819823571</v>
      </c>
      <c r="K400" s="307">
        <f t="shared" ca="1" si="189"/>
        <v>2069.9109526336083</v>
      </c>
      <c r="L400" s="304">
        <f t="shared" ca="1" si="174"/>
        <v>2131.3286592098175</v>
      </c>
      <c r="M400" s="306">
        <f t="shared" ca="1" si="190"/>
        <v>-1.3492825057638356</v>
      </c>
      <c r="N400" s="304">
        <f t="shared" ca="1" si="191"/>
        <v>-77.308192951103948</v>
      </c>
      <c r="P400" s="310">
        <f t="shared" ca="1" si="192"/>
        <v>23</v>
      </c>
      <c r="Q400" s="304">
        <f t="shared" ca="1" si="193"/>
        <v>0</v>
      </c>
      <c r="R400" s="306">
        <f t="shared" ca="1" si="194"/>
        <v>0</v>
      </c>
      <c r="S400" s="307">
        <f t="shared" ca="1" si="195"/>
        <v>2.0842999999999985</v>
      </c>
      <c r="T400" s="304">
        <f t="shared" ca="1" si="175"/>
        <v>20.446982999999985</v>
      </c>
      <c r="U400" s="311">
        <f t="shared" ca="1" si="176"/>
        <v>0</v>
      </c>
      <c r="V400" s="306">
        <f t="shared" ca="1" si="177"/>
        <v>0.99521738579569663</v>
      </c>
      <c r="W400" s="304">
        <f t="shared" ca="1" si="178"/>
        <v>4.3181351276706543</v>
      </c>
      <c r="Y400" s="314" t="str">
        <f t="shared" ca="1" si="196"/>
        <v/>
      </c>
      <c r="Z400" s="315" t="str">
        <f t="shared" ca="1" si="197"/>
        <v/>
      </c>
      <c r="AA400" s="316" t="str">
        <f t="shared" ca="1" si="198"/>
        <v/>
      </c>
      <c r="AC400" s="310" t="e">
        <f t="shared" ca="1" si="199"/>
        <v>#N/A</v>
      </c>
      <c r="AD400" s="323" t="e">
        <f t="shared" ca="1" si="200"/>
        <v>#N/A</v>
      </c>
      <c r="AE400" s="324" t="e">
        <f t="shared" ca="1" si="179"/>
        <v>#N/A</v>
      </c>
      <c r="AG400" s="306">
        <f t="shared" ca="1" si="201"/>
        <v>7.5417934827142412</v>
      </c>
      <c r="AH400" s="304">
        <f t="shared" ca="1" si="202"/>
        <v>-2.0209246323975529</v>
      </c>
    </row>
    <row r="401" spans="1:34" x14ac:dyDescent="0.25">
      <c r="A401" s="347">
        <f t="shared" ca="1" si="180"/>
        <v>0.1</v>
      </c>
      <c r="B401" s="304">
        <f t="shared" ca="1" si="181"/>
        <v>27.400000000000091</v>
      </c>
      <c r="D401" s="306">
        <f t="shared" ca="1" si="182"/>
        <v>-0.4551759570704868</v>
      </c>
      <c r="E401" s="307">
        <f t="shared" ca="1" si="183"/>
        <v>-7.7888774709771411</v>
      </c>
      <c r="F401" s="304">
        <f t="shared" ca="1" si="184"/>
        <v>7.8021661998313201</v>
      </c>
      <c r="G401" s="306">
        <f t="shared" ca="1" si="185"/>
        <v>13.726551586644621</v>
      </c>
      <c r="H401" s="307">
        <f t="shared" ca="1" si="186"/>
        <v>-61.931149555605238</v>
      </c>
      <c r="I401" s="304">
        <f t="shared" ca="1" si="187"/>
        <v>63.434103633136949</v>
      </c>
      <c r="J401" s="306">
        <f t="shared" ca="1" si="188"/>
        <v>509.34195923668551</v>
      </c>
      <c r="K401" s="307">
        <f t="shared" ca="1" si="189"/>
        <v>2063.7567820654026</v>
      </c>
      <c r="L401" s="304">
        <f t="shared" ca="1" si="174"/>
        <v>2125.681370045852</v>
      </c>
      <c r="M401" s="306">
        <f t="shared" ca="1" si="190"/>
        <v>-1.3526802473804946</v>
      </c>
      <c r="N401" s="304">
        <f t="shared" ca="1" si="191"/>
        <v>-77.502869205614473</v>
      </c>
      <c r="P401" s="310">
        <f t="shared" ca="1" si="192"/>
        <v>23</v>
      </c>
      <c r="Q401" s="304">
        <f t="shared" ca="1" si="193"/>
        <v>0</v>
      </c>
      <c r="R401" s="306">
        <f t="shared" ca="1" si="194"/>
        <v>0</v>
      </c>
      <c r="S401" s="307">
        <f t="shared" ca="1" si="195"/>
        <v>2.0842999999999985</v>
      </c>
      <c r="T401" s="304">
        <f t="shared" ca="1" si="175"/>
        <v>20.446982999999985</v>
      </c>
      <c r="U401" s="311">
        <f t="shared" ca="1" si="176"/>
        <v>0</v>
      </c>
      <c r="V401" s="306">
        <f t="shared" ca="1" si="177"/>
        <v>0.99583666367414858</v>
      </c>
      <c r="W401" s="304">
        <f t="shared" ca="1" si="178"/>
        <v>4.4248671616033164</v>
      </c>
      <c r="Y401" s="314" t="str">
        <f t="shared" ca="1" si="196"/>
        <v/>
      </c>
      <c r="Z401" s="315" t="str">
        <f t="shared" ca="1" si="197"/>
        <v/>
      </c>
      <c r="AA401" s="316" t="str">
        <f t="shared" ca="1" si="198"/>
        <v/>
      </c>
      <c r="AC401" s="310" t="e">
        <f t="shared" ca="1" si="199"/>
        <v>#N/A</v>
      </c>
      <c r="AD401" s="323" t="e">
        <f t="shared" ca="1" si="200"/>
        <v>#N/A</v>
      </c>
      <c r="AE401" s="324" t="e">
        <f t="shared" ca="1" si="179"/>
        <v>#N/A</v>
      </c>
      <c r="AG401" s="306">
        <f t="shared" ca="1" si="201"/>
        <v>7.4985585998540536</v>
      </c>
      <c r="AH401" s="304">
        <f t="shared" ca="1" si="202"/>
        <v>-2.0717435722643849</v>
      </c>
    </row>
    <row r="402" spans="1:34" x14ac:dyDescent="0.25">
      <c r="A402" s="347">
        <f t="shared" ca="1" si="180"/>
        <v>0.1</v>
      </c>
      <c r="B402" s="304">
        <f t="shared" ca="1" si="181"/>
        <v>27.500000000000092</v>
      </c>
      <c r="D402" s="306">
        <f t="shared" ca="1" si="182"/>
        <v>-0.45938694380452721</v>
      </c>
      <c r="E402" s="307">
        <f t="shared" ca="1" si="183"/>
        <v>-7.7373482242742133</v>
      </c>
      <c r="F402" s="304">
        <f t="shared" ca="1" si="184"/>
        <v>7.7509737393322</v>
      </c>
      <c r="G402" s="306">
        <f t="shared" ca="1" si="185"/>
        <v>13.680612892264168</v>
      </c>
      <c r="H402" s="307">
        <f t="shared" ca="1" si="186"/>
        <v>-62.704884378032659</v>
      </c>
      <c r="I402" s="304">
        <f t="shared" ca="1" si="187"/>
        <v>64.17991659366993</v>
      </c>
      <c r="J402" s="306">
        <f t="shared" ca="1" si="188"/>
        <v>510.71231746063097</v>
      </c>
      <c r="K402" s="307">
        <f t="shared" ca="1" si="189"/>
        <v>2057.5249803687207</v>
      </c>
      <c r="L402" s="304">
        <f t="shared" ca="1" si="174"/>
        <v>2119.961347772009</v>
      </c>
      <c r="M402" s="306">
        <f t="shared" ca="1" si="190"/>
        <v>-1.3559878192531982</v>
      </c>
      <c r="N402" s="304">
        <f t="shared" ca="1" si="191"/>
        <v>-77.692379114356569</v>
      </c>
      <c r="P402" s="310">
        <f t="shared" ca="1" si="192"/>
        <v>23</v>
      </c>
      <c r="Q402" s="304">
        <f t="shared" ca="1" si="193"/>
        <v>0</v>
      </c>
      <c r="R402" s="306">
        <f t="shared" ca="1" si="194"/>
        <v>0</v>
      </c>
      <c r="S402" s="307">
        <f t="shared" ca="1" si="195"/>
        <v>2.0842999999999985</v>
      </c>
      <c r="T402" s="304">
        <f t="shared" ca="1" si="175"/>
        <v>20.446982999999985</v>
      </c>
      <c r="U402" s="311">
        <f t="shared" ca="1" si="176"/>
        <v>0</v>
      </c>
      <c r="V402" s="306">
        <f t="shared" ca="1" si="177"/>
        <v>0.99646410549733855</v>
      </c>
      <c r="W402" s="304">
        <f t="shared" ca="1" si="178"/>
        <v>4.5323815907460663</v>
      </c>
      <c r="Y402" s="314" t="str">
        <f t="shared" ca="1" si="196"/>
        <v/>
      </c>
      <c r="Z402" s="315" t="str">
        <f t="shared" ca="1" si="197"/>
        <v/>
      </c>
      <c r="AA402" s="316" t="str">
        <f t="shared" ca="1" si="198"/>
        <v/>
      </c>
      <c r="AC402" s="310" t="e">
        <f t="shared" ca="1" si="199"/>
        <v>#N/A</v>
      </c>
      <c r="AD402" s="323" t="e">
        <f t="shared" ca="1" si="200"/>
        <v>#N/A</v>
      </c>
      <c r="AE402" s="324" t="e">
        <f t="shared" ca="1" si="179"/>
        <v>#N/A</v>
      </c>
      <c r="AG402" s="306">
        <f t="shared" ca="1" si="201"/>
        <v>7.4546189569223396</v>
      </c>
      <c r="AH402" s="304">
        <f t="shared" ca="1" si="202"/>
        <v>-2.1229511882182601</v>
      </c>
    </row>
    <row r="403" spans="1:34" x14ac:dyDescent="0.25">
      <c r="A403" s="347">
        <f t="shared" ca="1" si="180"/>
        <v>0.1</v>
      </c>
      <c r="B403" s="304">
        <f t="shared" ca="1" si="181"/>
        <v>27.600000000000094</v>
      </c>
      <c r="D403" s="306">
        <f t="shared" ca="1" si="182"/>
        <v>-0.46352444677981586</v>
      </c>
      <c r="E403" s="307">
        <f t="shared" ca="1" si="183"/>
        <v>-7.68544263765002</v>
      </c>
      <c r="F403" s="304">
        <f t="shared" ca="1" si="184"/>
        <v>7.6994079934350426</v>
      </c>
      <c r="G403" s="306">
        <f t="shared" ca="1" si="185"/>
        <v>13.634260447586186</v>
      </c>
      <c r="H403" s="307">
        <f t="shared" ca="1" si="186"/>
        <v>-63.473428641797661</v>
      </c>
      <c r="I403" s="304">
        <f t="shared" ca="1" si="187"/>
        <v>64.921253850322344</v>
      </c>
      <c r="J403" s="306">
        <f t="shared" ca="1" si="188"/>
        <v>512.07806112762353</v>
      </c>
      <c r="K403" s="307">
        <f t="shared" ca="1" si="189"/>
        <v>2051.2160647177293</v>
      </c>
      <c r="L403" s="304">
        <f t="shared" ca="1" si="174"/>
        <v>2114.1691712926649</v>
      </c>
      <c r="M403" s="306">
        <f t="shared" ca="1" si="190"/>
        <v>-1.3592088084282559</v>
      </c>
      <c r="N403" s="304">
        <f t="shared" ca="1" si="191"/>
        <v>-77.8769281999447</v>
      </c>
      <c r="P403" s="310">
        <f t="shared" ca="1" si="192"/>
        <v>23</v>
      </c>
      <c r="Q403" s="304">
        <f t="shared" ca="1" si="193"/>
        <v>0</v>
      </c>
      <c r="R403" s="306">
        <f t="shared" ca="1" si="194"/>
        <v>0</v>
      </c>
      <c r="S403" s="307">
        <f t="shared" ca="1" si="195"/>
        <v>2.0842999999999985</v>
      </c>
      <c r="T403" s="304">
        <f t="shared" ca="1" si="175"/>
        <v>20.446982999999985</v>
      </c>
      <c r="U403" s="311">
        <f t="shared" ca="1" si="176"/>
        <v>0</v>
      </c>
      <c r="V403" s="306">
        <f t="shared" ca="1" si="177"/>
        <v>0.99709967269790278</v>
      </c>
      <c r="W403" s="304">
        <f t="shared" ca="1" si="178"/>
        <v>4.6406507219904389</v>
      </c>
      <c r="Y403" s="314" t="str">
        <f t="shared" ca="1" si="196"/>
        <v/>
      </c>
      <c r="Z403" s="315" t="str">
        <f t="shared" ca="1" si="197"/>
        <v/>
      </c>
      <c r="AA403" s="316" t="str">
        <f t="shared" ca="1" si="198"/>
        <v/>
      </c>
      <c r="AC403" s="310" t="e">
        <f t="shared" ca="1" si="199"/>
        <v>#N/A</v>
      </c>
      <c r="AD403" s="323" t="e">
        <f t="shared" ca="1" si="200"/>
        <v>#N/A</v>
      </c>
      <c r="AE403" s="324" t="e">
        <f t="shared" ca="1" si="179"/>
        <v>#N/A</v>
      </c>
      <c r="AG403" s="306">
        <f t="shared" ca="1" si="201"/>
        <v>7.4100048536407268</v>
      </c>
      <c r="AH403" s="304">
        <f t="shared" ca="1" si="202"/>
        <v>-2.1745341796987332</v>
      </c>
    </row>
    <row r="404" spans="1:34" x14ac:dyDescent="0.25">
      <c r="A404" s="347">
        <f t="shared" ca="1" si="180"/>
        <v>0.1</v>
      </c>
      <c r="B404" s="304">
        <f t="shared" ca="1" si="181"/>
        <v>27.700000000000095</v>
      </c>
      <c r="D404" s="306">
        <f t="shared" ca="1" si="182"/>
        <v>-0.46758798257983036</v>
      </c>
      <c r="E404" s="307">
        <f t="shared" ca="1" si="183"/>
        <v>-7.6331740137179622</v>
      </c>
      <c r="F404" s="304">
        <f t="shared" ca="1" si="184"/>
        <v>7.6474822029967653</v>
      </c>
      <c r="G404" s="306">
        <f t="shared" ca="1" si="185"/>
        <v>13.587501649328203</v>
      </c>
      <c r="H404" s="307">
        <f t="shared" ca="1" si="186"/>
        <v>-64.236746043169461</v>
      </c>
      <c r="I404" s="304">
        <f t="shared" ca="1" si="187"/>
        <v>65.658051625715672</v>
      </c>
      <c r="J404" s="306">
        <f t="shared" ca="1" si="188"/>
        <v>513.43914923246928</v>
      </c>
      <c r="K404" s="307">
        <f t="shared" ca="1" si="189"/>
        <v>2044.830555983481</v>
      </c>
      <c r="L404" s="304">
        <f t="shared" ca="1" si="174"/>
        <v>2108.3054244222476</v>
      </c>
      <c r="M404" s="306">
        <f t="shared" ca="1" si="190"/>
        <v>-1.3623466167889344</v>
      </c>
      <c r="N404" s="304">
        <f t="shared" ca="1" si="191"/>
        <v>-78.056711375932437</v>
      </c>
      <c r="P404" s="310">
        <f t="shared" ca="1" si="192"/>
        <v>23</v>
      </c>
      <c r="Q404" s="304">
        <f t="shared" ca="1" si="193"/>
        <v>0</v>
      </c>
      <c r="R404" s="306">
        <f t="shared" ca="1" si="194"/>
        <v>0</v>
      </c>
      <c r="S404" s="307">
        <f t="shared" ca="1" si="195"/>
        <v>2.0842999999999985</v>
      </c>
      <c r="T404" s="304">
        <f t="shared" ca="1" si="175"/>
        <v>20.446982999999985</v>
      </c>
      <c r="U404" s="311">
        <f t="shared" ca="1" si="176"/>
        <v>0</v>
      </c>
      <c r="V404" s="306">
        <f t="shared" ca="1" si="177"/>
        <v>0.99774332640312635</v>
      </c>
      <c r="W404" s="304">
        <f t="shared" ca="1" si="178"/>
        <v>4.7496469041456635</v>
      </c>
      <c r="Y404" s="314" t="str">
        <f t="shared" ca="1" si="196"/>
        <v/>
      </c>
      <c r="Z404" s="315" t="str">
        <f t="shared" ca="1" si="197"/>
        <v/>
      </c>
      <c r="AA404" s="316" t="str">
        <f t="shared" ca="1" si="198"/>
        <v/>
      </c>
      <c r="AC404" s="310" t="e">
        <f t="shared" ca="1" si="199"/>
        <v>#N/A</v>
      </c>
      <c r="AD404" s="323" t="e">
        <f t="shared" ca="1" si="200"/>
        <v>#N/A</v>
      </c>
      <c r="AE404" s="324" t="e">
        <f t="shared" ca="1" si="179"/>
        <v>#N/A</v>
      </c>
      <c r="AG404" s="306">
        <f t="shared" ca="1" si="201"/>
        <v>7.3647454628007401</v>
      </c>
      <c r="AH404" s="304">
        <f t="shared" ca="1" si="202"/>
        <v>-2.2264792601786896</v>
      </c>
    </row>
    <row r="405" spans="1:34" x14ac:dyDescent="0.25">
      <c r="A405" s="347">
        <f t="shared" ca="1" si="180"/>
        <v>0.1</v>
      </c>
      <c r="B405" s="304">
        <f t="shared" ca="1" si="181"/>
        <v>27.800000000000097</v>
      </c>
      <c r="D405" s="306">
        <f t="shared" ca="1" si="182"/>
        <v>-0.47157710817405685</v>
      </c>
      <c r="E405" s="307">
        <f t="shared" ca="1" si="183"/>
        <v>-7.5805556386043307</v>
      </c>
      <c r="F405" s="304">
        <f t="shared" ca="1" si="184"/>
        <v>7.5952095928242631</v>
      </c>
      <c r="G405" s="306">
        <f t="shared" ca="1" si="185"/>
        <v>13.540343938510798</v>
      </c>
      <c r="H405" s="307">
        <f t="shared" ca="1" si="186"/>
        <v>-64.994801607029899</v>
      </c>
      <c r="I405" s="304">
        <f t="shared" ca="1" si="187"/>
        <v>66.39024890682623</v>
      </c>
      <c r="J405" s="306">
        <f t="shared" ca="1" si="188"/>
        <v>514.79554151186119</v>
      </c>
      <c r="K405" s="307">
        <f t="shared" ca="1" si="189"/>
        <v>2038.3689786009711</v>
      </c>
      <c r="L405" s="304">
        <f t="shared" ca="1" si="174"/>
        <v>2102.3706957820868</v>
      </c>
      <c r="M405" s="306">
        <f t="shared" ca="1" si="190"/>
        <v>-1.3654044726213146</v>
      </c>
      <c r="N405" s="304">
        <f t="shared" ca="1" si="191"/>
        <v>-78.231913609487293</v>
      </c>
      <c r="P405" s="310">
        <f t="shared" ca="1" si="192"/>
        <v>23</v>
      </c>
      <c r="Q405" s="304">
        <f t="shared" ca="1" si="193"/>
        <v>0</v>
      </c>
      <c r="R405" s="306">
        <f t="shared" ca="1" si="194"/>
        <v>0</v>
      </c>
      <c r="S405" s="307">
        <f t="shared" ca="1" si="195"/>
        <v>2.0842999999999985</v>
      </c>
      <c r="T405" s="304">
        <f t="shared" ca="1" si="175"/>
        <v>20.446982999999985</v>
      </c>
      <c r="U405" s="311">
        <f t="shared" ca="1" si="176"/>
        <v>0</v>
      </c>
      <c r="V405" s="306">
        <f t="shared" ca="1" si="177"/>
        <v>0.99839502744411324</v>
      </c>
      <c r="W405" s="304">
        <f t="shared" ca="1" si="178"/>
        <v>4.8593425404111636</v>
      </c>
      <c r="Y405" s="314" t="str">
        <f t="shared" ca="1" si="196"/>
        <v/>
      </c>
      <c r="Z405" s="315" t="str">
        <f t="shared" ca="1" si="197"/>
        <v/>
      </c>
      <c r="AA405" s="316" t="str">
        <f t="shared" ca="1" si="198"/>
        <v/>
      </c>
      <c r="AC405" s="310" t="e">
        <f t="shared" ca="1" si="199"/>
        <v>#N/A</v>
      </c>
      <c r="AD405" s="323" t="e">
        <f t="shared" ca="1" si="200"/>
        <v>#N/A</v>
      </c>
      <c r="AE405" s="324" t="e">
        <f t="shared" ca="1" si="179"/>
        <v>#N/A</v>
      </c>
      <c r="AG405" s="306">
        <f t="shared" ca="1" si="201"/>
        <v>7.3188689092905168</v>
      </c>
      <c r="AH405" s="304">
        <f t="shared" ca="1" si="202"/>
        <v>-2.2787731632421759</v>
      </c>
    </row>
    <row r="406" spans="1:34" x14ac:dyDescent="0.25">
      <c r="A406" s="347">
        <f t="shared" ca="1" si="180"/>
        <v>0.1</v>
      </c>
      <c r="B406" s="304">
        <f t="shared" ca="1" si="181"/>
        <v>27.900000000000098</v>
      </c>
      <c r="D406" s="306">
        <f t="shared" ca="1" si="182"/>
        <v>-0.47549141990828808</v>
      </c>
      <c r="E406" s="307">
        <f t="shared" ca="1" si="183"/>
        <v>-7.5276007756429939</v>
      </c>
      <c r="F406" s="304">
        <f t="shared" ca="1" si="184"/>
        <v>7.5426033654082199</v>
      </c>
      <c r="G406" s="306">
        <f t="shared" ca="1" si="185"/>
        <v>13.49279479651997</v>
      </c>
      <c r="H406" s="307">
        <f t="shared" ca="1" si="186"/>
        <v>-65.747561684594203</v>
      </c>
      <c r="I406" s="304">
        <f t="shared" ca="1" si="187"/>
        <v>67.117787350973629</v>
      </c>
      <c r="J406" s="306">
        <f t="shared" ca="1" si="188"/>
        <v>516.1471984486127</v>
      </c>
      <c r="K406" s="307">
        <f t="shared" ca="1" si="189"/>
        <v>2031.8318604363899</v>
      </c>
      <c r="L406" s="304">
        <f t="shared" ca="1" si="174"/>
        <v>2096.3655786982272</v>
      </c>
      <c r="M406" s="306">
        <f t="shared" ca="1" si="190"/>
        <v>-1.3683854413412242</v>
      </c>
      <c r="N406" s="304">
        <f t="shared" ca="1" si="191"/>
        <v>-78.402710535998622</v>
      </c>
      <c r="P406" s="310">
        <f t="shared" ca="1" si="192"/>
        <v>23</v>
      </c>
      <c r="Q406" s="304">
        <f t="shared" ca="1" si="193"/>
        <v>0</v>
      </c>
      <c r="R406" s="306">
        <f t="shared" ca="1" si="194"/>
        <v>0</v>
      </c>
      <c r="S406" s="307">
        <f t="shared" ca="1" si="195"/>
        <v>2.0842999999999985</v>
      </c>
      <c r="T406" s="304">
        <f t="shared" ca="1" si="175"/>
        <v>20.446982999999985</v>
      </c>
      <c r="U406" s="311">
        <f t="shared" ca="1" si="176"/>
        <v>0</v>
      </c>
      <c r="V406" s="306">
        <f t="shared" ca="1" si="177"/>
        <v>0.99905473636496112</v>
      </c>
      <c r="W406" s="304">
        <f t="shared" ca="1" si="178"/>
        <v>4.969710100645746</v>
      </c>
      <c r="Y406" s="314" t="str">
        <f t="shared" ca="1" si="196"/>
        <v/>
      </c>
      <c r="Z406" s="315" t="str">
        <f t="shared" ca="1" si="197"/>
        <v/>
      </c>
      <c r="AA406" s="316" t="str">
        <f t="shared" ca="1" si="198"/>
        <v/>
      </c>
      <c r="AC406" s="310" t="e">
        <f t="shared" ca="1" si="199"/>
        <v>#N/A</v>
      </c>
      <c r="AD406" s="323" t="e">
        <f t="shared" ca="1" si="200"/>
        <v>#N/A</v>
      </c>
      <c r="AE406" s="324" t="e">
        <f t="shared" ca="1" si="179"/>
        <v>#N/A</v>
      </c>
      <c r="AG406" s="306">
        <f t="shared" ca="1" si="201"/>
        <v>7.2724023418268651</v>
      </c>
      <c r="AH406" s="304">
        <f t="shared" ca="1" si="202"/>
        <v>-2.3314026485684245</v>
      </c>
    </row>
    <row r="407" spans="1:34" x14ac:dyDescent="0.25">
      <c r="A407" s="347">
        <f t="shared" ca="1" si="180"/>
        <v>0.1</v>
      </c>
      <c r="B407" s="304">
        <f t="shared" ca="1" si="181"/>
        <v>28.000000000000099</v>
      </c>
      <c r="D407" s="306">
        <f t="shared" ca="1" si="182"/>
        <v>-0.47933055253919093</v>
      </c>
      <c r="E407" s="307">
        <f t="shared" ca="1" si="183"/>
        <v>-7.4743226591936818</v>
      </c>
      <c r="F407" s="304">
        <f t="shared" ca="1" si="184"/>
        <v>7.489676694780198</v>
      </c>
      <c r="G407" s="306">
        <f t="shared" ca="1" si="185"/>
        <v>13.444861741266051</v>
      </c>
      <c r="H407" s="307">
        <f t="shared" ca="1" si="186"/>
        <v>-66.494993950513575</v>
      </c>
      <c r="I407" s="304">
        <f t="shared" ca="1" si="187"/>
        <v>67.840611198017641</v>
      </c>
      <c r="J407" s="306">
        <f t="shared" ca="1" si="188"/>
        <v>517.49408127550203</v>
      </c>
      <c r="K407" s="307">
        <f t="shared" ca="1" si="189"/>
        <v>2025.2197326546345</v>
      </c>
      <c r="L407" s="304">
        <f t="shared" ca="1" si="174"/>
        <v>2090.2906711002861</v>
      </c>
      <c r="M407" s="306">
        <f t="shared" ca="1" si="190"/>
        <v>-1.3712924354508356</v>
      </c>
      <c r="N407" s="304">
        <f t="shared" ca="1" si="191"/>
        <v>-78.569269029548749</v>
      </c>
      <c r="P407" s="310">
        <f t="shared" ca="1" si="192"/>
        <v>23</v>
      </c>
      <c r="Q407" s="304">
        <f t="shared" ca="1" si="193"/>
        <v>0</v>
      </c>
      <c r="R407" s="306">
        <f t="shared" ca="1" si="194"/>
        <v>0</v>
      </c>
      <c r="S407" s="307">
        <f t="shared" ca="1" si="195"/>
        <v>2.0842999999999985</v>
      </c>
      <c r="T407" s="304">
        <f t="shared" ca="1" si="175"/>
        <v>20.446982999999985</v>
      </c>
      <c r="U407" s="311">
        <f t="shared" ca="1" si="176"/>
        <v>0</v>
      </c>
      <c r="V407" s="306">
        <f t="shared" ca="1" si="177"/>
        <v>0.9997224134319308</v>
      </c>
      <c r="W407" s="304">
        <f t="shared" ca="1" si="178"/>
        <v>5.0807221334260309</v>
      </c>
      <c r="Y407" s="314" t="str">
        <f t="shared" ca="1" si="196"/>
        <v/>
      </c>
      <c r="Z407" s="315" t="str">
        <f t="shared" ca="1" si="197"/>
        <v/>
      </c>
      <c r="AA407" s="316" t="str">
        <f t="shared" ca="1" si="198"/>
        <v/>
      </c>
      <c r="AC407" s="310">
        <f t="shared" ca="1" si="199"/>
        <v>28.000000000000099</v>
      </c>
      <c r="AD407" s="323">
        <f t="shared" ca="1" si="200"/>
        <v>517.49408127550203</v>
      </c>
      <c r="AE407" s="324" t="e">
        <f t="shared" ca="1" si="179"/>
        <v>#N/A</v>
      </c>
      <c r="AG407" s="306">
        <f t="shared" ca="1" si="201"/>
        <v>7.2253719981093525</v>
      </c>
      <c r="AH407" s="304">
        <f t="shared" ca="1" si="202"/>
        <v>-2.3843545078183319</v>
      </c>
    </row>
    <row r="408" spans="1:34" x14ac:dyDescent="0.25">
      <c r="A408" s="347">
        <f t="shared" ca="1" si="180"/>
        <v>0.1</v>
      </c>
      <c r="B408" s="304">
        <f t="shared" ca="1" si="181"/>
        <v>28.100000000000101</v>
      </c>
      <c r="D408" s="306">
        <f t="shared" ca="1" si="182"/>
        <v>-0.48309417830848705</v>
      </c>
      <c r="E408" s="307">
        <f t="shared" ca="1" si="183"/>
        <v>-7.4207344885849125</v>
      </c>
      <c r="F408" s="304">
        <f t="shared" ca="1" si="184"/>
        <v>7.4364427204940622</v>
      </c>
      <c r="G408" s="306">
        <f t="shared" ca="1" si="185"/>
        <v>13.396552323435202</v>
      </c>
      <c r="H408" s="307">
        <f t="shared" ca="1" si="186"/>
        <v>-67.237067399372066</v>
      </c>
      <c r="I408" s="304">
        <f t="shared" ca="1" si="187"/>
        <v>68.558667188199038</v>
      </c>
      <c r="J408" s="306">
        <f t="shared" ca="1" si="188"/>
        <v>518.83615197873712</v>
      </c>
      <c r="K408" s="307">
        <f t="shared" ca="1" si="189"/>
        <v>2018.5331295871401</v>
      </c>
      <c r="L408" s="304">
        <f t="shared" ca="1" si="174"/>
        <v>2084.1465754214496</v>
      </c>
      <c r="M408" s="306">
        <f t="shared" ca="1" si="190"/>
        <v>-1.3741282237873356</v>
      </c>
      <c r="N408" s="304">
        <f t="shared" ca="1" si="191"/>
        <v>-78.731747732822626</v>
      </c>
      <c r="P408" s="310">
        <f t="shared" ca="1" si="192"/>
        <v>23</v>
      </c>
      <c r="Q408" s="304">
        <f t="shared" ca="1" si="193"/>
        <v>0</v>
      </c>
      <c r="R408" s="306">
        <f t="shared" ca="1" si="194"/>
        <v>0</v>
      </c>
      <c r="S408" s="307">
        <f t="shared" ca="1" si="195"/>
        <v>2.0842999999999985</v>
      </c>
      <c r="T408" s="304">
        <f t="shared" ca="1" si="175"/>
        <v>20.446982999999985</v>
      </c>
      <c r="U408" s="311">
        <f t="shared" ca="1" si="176"/>
        <v>0</v>
      </c>
      <c r="V408" s="306">
        <f t="shared" ca="1" si="177"/>
        <v>1.0003980186426151</v>
      </c>
      <c r="W408" s="304">
        <f t="shared" ca="1" si="178"/>
        <v>5.1923512778871252</v>
      </c>
      <c r="Y408" s="314" t="str">
        <f t="shared" ca="1" si="196"/>
        <v/>
      </c>
      <c r="Z408" s="315" t="str">
        <f t="shared" ca="1" si="197"/>
        <v/>
      </c>
      <c r="AA408" s="316" t="str">
        <f t="shared" ca="1" si="198"/>
        <v/>
      </c>
      <c r="AC408" s="310" t="e">
        <f t="shared" ca="1" si="199"/>
        <v>#N/A</v>
      </c>
      <c r="AD408" s="323" t="e">
        <f t="shared" ca="1" si="200"/>
        <v>#N/A</v>
      </c>
      <c r="AE408" s="324" t="e">
        <f t="shared" ca="1" si="179"/>
        <v>#N/A</v>
      </c>
      <c r="AG408" s="306">
        <f t="shared" ca="1" si="201"/>
        <v>7.1778032640378404</v>
      </c>
      <c r="AH408" s="304">
        <f t="shared" ca="1" si="202"/>
        <v>-2.4376155704198217</v>
      </c>
    </row>
    <row r="409" spans="1:34" x14ac:dyDescent="0.25">
      <c r="A409" s="347">
        <f t="shared" ca="1" si="180"/>
        <v>0.1</v>
      </c>
      <c r="B409" s="304">
        <f t="shared" ca="1" si="181"/>
        <v>28.200000000000102</v>
      </c>
      <c r="D409" s="306">
        <f t="shared" ca="1" si="182"/>
        <v>-0.48678200605260497</v>
      </c>
      <c r="E409" s="307">
        <f t="shared" ca="1" si="183"/>
        <v>-7.366849422182689</v>
      </c>
      <c r="F409" s="304">
        <f t="shared" ca="1" si="184"/>
        <v>7.3829145417328252</v>
      </c>
      <c r="G409" s="306">
        <f t="shared" ca="1" si="185"/>
        <v>13.347874122829941</v>
      </c>
      <c r="H409" s="307">
        <f t="shared" ca="1" si="186"/>
        <v>-67.973752341590341</v>
      </c>
      <c r="I409" s="304">
        <f t="shared" ca="1" si="187"/>
        <v>69.271904485114106</v>
      </c>
      <c r="J409" s="306">
        <f t="shared" ca="1" si="188"/>
        <v>520.17337330105033</v>
      </c>
      <c r="K409" s="307">
        <f t="shared" ca="1" si="189"/>
        <v>2011.7725886000919</v>
      </c>
      <c r="L409" s="304">
        <f t="shared" ca="1" si="174"/>
        <v>2077.9338984996871</v>
      </c>
      <c r="M409" s="306">
        <f t="shared" ca="1" si="190"/>
        <v>-1.3768954401205076</v>
      </c>
      <c r="N409" s="304">
        <f t="shared" ca="1" si="191"/>
        <v>-78.89029754971304</v>
      </c>
      <c r="P409" s="310">
        <f t="shared" ca="1" si="192"/>
        <v>23</v>
      </c>
      <c r="Q409" s="304">
        <f t="shared" ca="1" si="193"/>
        <v>0</v>
      </c>
      <c r="R409" s="306">
        <f t="shared" ca="1" si="194"/>
        <v>0</v>
      </c>
      <c r="S409" s="307">
        <f t="shared" ca="1" si="195"/>
        <v>2.0842999999999985</v>
      </c>
      <c r="T409" s="304">
        <f t="shared" ca="1" si="175"/>
        <v>20.446982999999985</v>
      </c>
      <c r="U409" s="311">
        <f t="shared" ca="1" si="176"/>
        <v>0</v>
      </c>
      <c r="V409" s="306">
        <f t="shared" ca="1" si="177"/>
        <v>1.0010815117350944</v>
      </c>
      <c r="W409" s="304">
        <f t="shared" ca="1" si="178"/>
        <v>5.3045702753388122</v>
      </c>
      <c r="Y409" s="314" t="str">
        <f t="shared" ca="1" si="196"/>
        <v/>
      </c>
      <c r="Z409" s="315" t="str">
        <f t="shared" ca="1" si="197"/>
        <v/>
      </c>
      <c r="AA409" s="316" t="str">
        <f t="shared" ca="1" si="198"/>
        <v/>
      </c>
      <c r="AC409" s="310" t="e">
        <f t="shared" ca="1" si="199"/>
        <v>#N/A</v>
      </c>
      <c r="AD409" s="323" t="e">
        <f t="shared" ca="1" si="200"/>
        <v>#N/A</v>
      </c>
      <c r="AE409" s="324" t="e">
        <f t="shared" ca="1" si="179"/>
        <v>#N/A</v>
      </c>
      <c r="AG409" s="306">
        <f t="shared" ca="1" si="201"/>
        <v>7.1297207275679026</v>
      </c>
      <c r="AH409" s="304">
        <f t="shared" ca="1" si="202"/>
        <v>-2.4911727092487306</v>
      </c>
    </row>
    <row r="410" spans="1:34" x14ac:dyDescent="0.25">
      <c r="A410" s="347">
        <f t="shared" ca="1" si="180"/>
        <v>0.1</v>
      </c>
      <c r="B410" s="304">
        <f t="shared" ca="1" si="181"/>
        <v>28.300000000000104</v>
      </c>
      <c r="D410" s="306">
        <f t="shared" ca="1" si="182"/>
        <v>-0.49039378034408343</v>
      </c>
      <c r="E410" s="307">
        <f t="shared" ca="1" si="183"/>
        <v>-7.3126805715862035</v>
      </c>
      <c r="F410" s="304">
        <f t="shared" ca="1" si="184"/>
        <v>7.3291052115421627</v>
      </c>
      <c r="G410" s="306">
        <f t="shared" ca="1" si="185"/>
        <v>13.298834744795533</v>
      </c>
      <c r="H410" s="307">
        <f t="shared" ca="1" si="186"/>
        <v>-68.705020398748957</v>
      </c>
      <c r="I410" s="304">
        <f t="shared" ca="1" si="187"/>
        <v>69.980274603361565</v>
      </c>
      <c r="J410" s="306">
        <f t="shared" ca="1" si="188"/>
        <v>521.50570874443156</v>
      </c>
      <c r="K410" s="307">
        <f t="shared" ca="1" si="189"/>
        <v>2004.938649963075</v>
      </c>
      <c r="L410" s="304">
        <f t="shared" ca="1" si="174"/>
        <v>2071.6532514802739</v>
      </c>
      <c r="M410" s="306">
        <f t="shared" ca="1" si="190"/>
        <v>-1.3795965911510295</v>
      </c>
      <c r="N410" s="304">
        <f t="shared" ca="1" si="191"/>
        <v>-79.045062103589359</v>
      </c>
      <c r="P410" s="310">
        <f t="shared" ca="1" si="192"/>
        <v>23</v>
      </c>
      <c r="Q410" s="304">
        <f t="shared" ca="1" si="193"/>
        <v>0</v>
      </c>
      <c r="R410" s="306">
        <f t="shared" ca="1" si="194"/>
        <v>0</v>
      </c>
      <c r="S410" s="307">
        <f t="shared" ca="1" si="195"/>
        <v>2.0842999999999985</v>
      </c>
      <c r="T410" s="304">
        <f t="shared" ca="1" si="175"/>
        <v>20.446982999999985</v>
      </c>
      <c r="U410" s="311">
        <f t="shared" ca="1" si="176"/>
        <v>0</v>
      </c>
      <c r="V410" s="306">
        <f t="shared" ca="1" si="177"/>
        <v>1.0017728521970783</v>
      </c>
      <c r="W410" s="304">
        <f t="shared" ca="1" si="178"/>
        <v>5.4173519806509658</v>
      </c>
      <c r="Y410" s="314" t="str">
        <f t="shared" ca="1" si="196"/>
        <v/>
      </c>
      <c r="Z410" s="315" t="str">
        <f t="shared" ca="1" si="197"/>
        <v/>
      </c>
      <c r="AA410" s="316" t="str">
        <f t="shared" ca="1" si="198"/>
        <v/>
      </c>
      <c r="AC410" s="310" t="e">
        <f t="shared" ca="1" si="199"/>
        <v>#N/A</v>
      </c>
      <c r="AD410" s="323" t="e">
        <f t="shared" ca="1" si="200"/>
        <v>#N/A</v>
      </c>
      <c r="AE410" s="324" t="e">
        <f t="shared" ca="1" si="179"/>
        <v>#N/A</v>
      </c>
      <c r="AG410" s="306">
        <f t="shared" ca="1" si="201"/>
        <v>7.0811482277193285</v>
      </c>
      <c r="AH410" s="304">
        <f t="shared" ca="1" si="202"/>
        <v>-2.5450128462019941</v>
      </c>
    </row>
    <row r="411" spans="1:34" x14ac:dyDescent="0.25">
      <c r="A411" s="347">
        <f t="shared" ca="1" si="180"/>
        <v>0.1</v>
      </c>
      <c r="B411" s="304">
        <f t="shared" ca="1" si="181"/>
        <v>28.400000000000105</v>
      </c>
      <c r="D411" s="306">
        <f t="shared" ca="1" si="182"/>
        <v>-0.4939292806614059</v>
      </c>
      <c r="E411" s="307">
        <f t="shared" ca="1" si="183"/>
        <v>-7.2582409959517831</v>
      </c>
      <c r="F411" s="304">
        <f t="shared" ca="1" si="184"/>
        <v>7.2750277311918081</v>
      </c>
      <c r="G411" s="306">
        <f t="shared" ca="1" si="185"/>
        <v>13.249441816729393</v>
      </c>
      <c r="H411" s="307">
        <f t="shared" ca="1" si="186"/>
        <v>-69.430844498344129</v>
      </c>
      <c r="I411" s="304">
        <f t="shared" ca="1" si="187"/>
        <v>70.683731340444538</v>
      </c>
      <c r="J411" s="306">
        <f t="shared" ca="1" si="188"/>
        <v>522.83312257250782</v>
      </c>
      <c r="K411" s="307">
        <f t="shared" ca="1" si="189"/>
        <v>1998.0318567182203</v>
      </c>
      <c r="L411" s="304">
        <f t="shared" ca="1" si="174"/>
        <v>2065.3052497197064</v>
      </c>
      <c r="M411" s="306">
        <f t="shared" ca="1" si="190"/>
        <v>-1.3822340639567352</v>
      </c>
      <c r="N411" s="304">
        <f t="shared" ca="1" si="191"/>
        <v>-79.196178163936835</v>
      </c>
      <c r="P411" s="310">
        <f t="shared" ca="1" si="192"/>
        <v>23</v>
      </c>
      <c r="Q411" s="304">
        <f t="shared" ca="1" si="193"/>
        <v>0</v>
      </c>
      <c r="R411" s="306">
        <f t="shared" ca="1" si="194"/>
        <v>0</v>
      </c>
      <c r="S411" s="307">
        <f t="shared" ca="1" si="195"/>
        <v>2.0842999999999985</v>
      </c>
      <c r="T411" s="304">
        <f t="shared" ca="1" si="175"/>
        <v>20.446982999999985</v>
      </c>
      <c r="U411" s="311">
        <f t="shared" ca="1" si="176"/>
        <v>0</v>
      </c>
      <c r="V411" s="306">
        <f t="shared" ca="1" si="177"/>
        <v>1.0024719992750333</v>
      </c>
      <c r="W411" s="304">
        <f t="shared" ca="1" si="178"/>
        <v>5.5306693734022767</v>
      </c>
      <c r="Y411" s="314" t="str">
        <f t="shared" ca="1" si="196"/>
        <v/>
      </c>
      <c r="Z411" s="315" t="str">
        <f t="shared" ca="1" si="197"/>
        <v/>
      </c>
      <c r="AA411" s="316" t="str">
        <f t="shared" ca="1" si="198"/>
        <v/>
      </c>
      <c r="AC411" s="310" t="e">
        <f t="shared" ca="1" si="199"/>
        <v>#N/A</v>
      </c>
      <c r="AD411" s="323" t="e">
        <f t="shared" ca="1" si="200"/>
        <v>#N/A</v>
      </c>
      <c r="AE411" s="324" t="e">
        <f t="shared" ca="1" si="179"/>
        <v>#N/A</v>
      </c>
      <c r="AG411" s="306">
        <f t="shared" ca="1" si="201"/>
        <v>7.0321088992001837</v>
      </c>
      <c r="AH411" s="304">
        <f t="shared" ca="1" si="202"/>
        <v>-2.5991229576601111</v>
      </c>
    </row>
    <row r="412" spans="1:34" x14ac:dyDescent="0.25">
      <c r="A412" s="347">
        <f t="shared" ca="1" si="180"/>
        <v>0.1</v>
      </c>
      <c r="B412" s="304">
        <f t="shared" ca="1" si="181"/>
        <v>28.500000000000107</v>
      </c>
      <c r="D412" s="306">
        <f t="shared" ca="1" si="182"/>
        <v>-0.49738832058431154</v>
      </c>
      <c r="E412" s="307">
        <f t="shared" ca="1" si="183"/>
        <v>-7.2035436964463333</v>
      </c>
      <c r="F412" s="304">
        <f t="shared" ca="1" si="184"/>
        <v>7.2206950446660869</v>
      </c>
      <c r="G412" s="306">
        <f t="shared" ca="1" si="185"/>
        <v>13.199702984670962</v>
      </c>
      <c r="H412" s="307">
        <f t="shared" ca="1" si="186"/>
        <v>-70.151198867988768</v>
      </c>
      <c r="I412" s="304">
        <f t="shared" ca="1" si="187"/>
        <v>71.382230712549458</v>
      </c>
      <c r="J412" s="306">
        <f t="shared" ca="1" si="188"/>
        <v>524.1555798125778</v>
      </c>
      <c r="K412" s="307">
        <f t="shared" ca="1" si="189"/>
        <v>1991.0527545499037</v>
      </c>
      <c r="L412" s="304">
        <f t="shared" ca="1" si="174"/>
        <v>2058.8905126910995</v>
      </c>
      <c r="M412" s="306">
        <f t="shared" ca="1" si="190"/>
        <v>-1.3848101329299709</v>
      </c>
      <c r="N412" s="304">
        <f t="shared" ca="1" si="191"/>
        <v>-79.343776043837835</v>
      </c>
      <c r="P412" s="310">
        <f t="shared" ca="1" si="192"/>
        <v>23</v>
      </c>
      <c r="Q412" s="304">
        <f t="shared" ca="1" si="193"/>
        <v>0</v>
      </c>
      <c r="R412" s="306">
        <f t="shared" ca="1" si="194"/>
        <v>0</v>
      </c>
      <c r="S412" s="307">
        <f t="shared" ca="1" si="195"/>
        <v>2.0842999999999985</v>
      </c>
      <c r="T412" s="304">
        <f t="shared" ca="1" si="175"/>
        <v>20.446982999999985</v>
      </c>
      <c r="U412" s="311">
        <f t="shared" ca="1" si="176"/>
        <v>0</v>
      </c>
      <c r="V412" s="306">
        <f t="shared" ca="1" si="177"/>
        <v>1.0031789119832839</v>
      </c>
      <c r="W412" s="304">
        <f t="shared" ca="1" si="178"/>
        <v>5.6444955687866862</v>
      </c>
      <c r="Y412" s="314" t="str">
        <f t="shared" ca="1" si="196"/>
        <v/>
      </c>
      <c r="Z412" s="315" t="str">
        <f t="shared" ca="1" si="197"/>
        <v/>
      </c>
      <c r="AA412" s="316" t="str">
        <f t="shared" ca="1" si="198"/>
        <v/>
      </c>
      <c r="AC412" s="310" t="e">
        <f t="shared" ca="1" si="199"/>
        <v>#N/A</v>
      </c>
      <c r="AD412" s="323" t="e">
        <f t="shared" ca="1" si="200"/>
        <v>#N/A</v>
      </c>
      <c r="AE412" s="324" t="e">
        <f t="shared" ca="1" si="179"/>
        <v>#N/A</v>
      </c>
      <c r="AG412" s="306">
        <f t="shared" ca="1" si="201"/>
        <v>6.9826252130620166</v>
      </c>
      <c r="AH412" s="304">
        <f t="shared" ca="1" si="202"/>
        <v>-2.6534900798360508</v>
      </c>
    </row>
    <row r="413" spans="1:34" x14ac:dyDescent="0.25">
      <c r="A413" s="347">
        <f t="shared" ca="1" si="180"/>
        <v>0.1</v>
      </c>
      <c r="B413" s="304">
        <f t="shared" ca="1" si="181"/>
        <v>28.600000000000108</v>
      </c>
      <c r="D413" s="306">
        <f t="shared" ca="1" si="182"/>
        <v>-0.50077074701193391</v>
      </c>
      <c r="E413" s="307">
        <f t="shared" ca="1" si="183"/>
        <v>-7.1486016108315376</v>
      </c>
      <c r="F413" s="304">
        <f t="shared" ca="1" si="184"/>
        <v>7.1661200332848285</v>
      </c>
      <c r="G413" s="306">
        <f t="shared" ca="1" si="185"/>
        <v>13.149625909969769</v>
      </c>
      <c r="H413" s="307">
        <f t="shared" ca="1" si="186"/>
        <v>-70.86605902907192</v>
      </c>
      <c r="I413" s="304">
        <f t="shared" ca="1" si="187"/>
        <v>72.075730893859514</v>
      </c>
      <c r="J413" s="306">
        <f t="shared" ca="1" si="188"/>
        <v>525.47304625730987</v>
      </c>
      <c r="K413" s="307">
        <f t="shared" ca="1" si="189"/>
        <v>1984.0018916550507</v>
      </c>
      <c r="L413" s="304">
        <f t="shared" ca="1" si="174"/>
        <v>2052.4096638911433</v>
      </c>
      <c r="M413" s="306">
        <f t="shared" ca="1" si="190"/>
        <v>-1.3873269662454497</v>
      </c>
      <c r="N413" s="304">
        <f t="shared" ca="1" si="191"/>
        <v>-79.487979970552686</v>
      </c>
      <c r="P413" s="310">
        <f t="shared" ca="1" si="192"/>
        <v>23</v>
      </c>
      <c r="Q413" s="304">
        <f t="shared" ca="1" si="193"/>
        <v>0</v>
      </c>
      <c r="R413" s="306">
        <f t="shared" ca="1" si="194"/>
        <v>0</v>
      </c>
      <c r="S413" s="307">
        <f t="shared" ca="1" si="195"/>
        <v>2.0842999999999985</v>
      </c>
      <c r="T413" s="304">
        <f t="shared" ca="1" si="175"/>
        <v>20.446982999999985</v>
      </c>
      <c r="U413" s="311">
        <f t="shared" ca="1" si="176"/>
        <v>0</v>
      </c>
      <c r="V413" s="306">
        <f t="shared" ca="1" si="177"/>
        <v>1.003893549113094</v>
      </c>
      <c r="W413" s="304">
        <f t="shared" ca="1" si="178"/>
        <v>5.7588038282723808</v>
      </c>
      <c r="Y413" s="314" t="str">
        <f t="shared" ca="1" si="196"/>
        <v/>
      </c>
      <c r="Z413" s="315" t="str">
        <f t="shared" ca="1" si="197"/>
        <v/>
      </c>
      <c r="AA413" s="316" t="str">
        <f t="shared" ca="1" si="198"/>
        <v/>
      </c>
      <c r="AC413" s="310" t="e">
        <f t="shared" ca="1" si="199"/>
        <v>#N/A</v>
      </c>
      <c r="AD413" s="323" t="e">
        <f t="shared" ca="1" si="200"/>
        <v>#N/A</v>
      </c>
      <c r="AE413" s="324" t="e">
        <f t="shared" ca="1" si="179"/>
        <v>#N/A</v>
      </c>
      <c r="AG413" s="306">
        <f t="shared" ca="1" si="201"/>
        <v>6.9327190137600549</v>
      </c>
      <c r="AH413" s="304">
        <f t="shared" ca="1" si="202"/>
        <v>-2.7081013140079118</v>
      </c>
    </row>
    <row r="414" spans="1:34" x14ac:dyDescent="0.25">
      <c r="A414" s="347">
        <f t="shared" ca="1" si="180"/>
        <v>0.1</v>
      </c>
      <c r="B414" s="304">
        <f t="shared" ca="1" si="181"/>
        <v>28.700000000000109</v>
      </c>
      <c r="D414" s="306">
        <f t="shared" ca="1" si="182"/>
        <v>-0.50407643940140701</v>
      </c>
      <c r="E414" s="307">
        <f t="shared" ca="1" si="183"/>
        <v>-7.0934276081800238</v>
      </c>
      <c r="F414" s="304">
        <f t="shared" ca="1" si="184"/>
        <v>7.1113155104558663</v>
      </c>
      <c r="G414" s="306">
        <f t="shared" ca="1" si="185"/>
        <v>13.099218266029629</v>
      </c>
      <c r="H414" s="307">
        <f t="shared" ca="1" si="186"/>
        <v>-71.575401789889924</v>
      </c>
      <c r="I414" s="304">
        <f t="shared" ca="1" si="187"/>
        <v>72.764192159091976</v>
      </c>
      <c r="J414" s="306">
        <f t="shared" ca="1" si="188"/>
        <v>526.78548846610988</v>
      </c>
      <c r="K414" s="307">
        <f t="shared" ca="1" si="189"/>
        <v>1976.8798186141025</v>
      </c>
      <c r="L414" s="304">
        <f t="shared" ca="1" si="174"/>
        <v>2045.8633307487098</v>
      </c>
      <c r="M414" s="306">
        <f t="shared" ca="1" si="190"/>
        <v>-1.3897866318946204</v>
      </c>
      <c r="N414" s="304">
        <f t="shared" ca="1" si="191"/>
        <v>-79.628908431263469</v>
      </c>
      <c r="P414" s="310">
        <f t="shared" ca="1" si="192"/>
        <v>23</v>
      </c>
      <c r="Q414" s="304">
        <f t="shared" ca="1" si="193"/>
        <v>0</v>
      </c>
      <c r="R414" s="306">
        <f t="shared" ca="1" si="194"/>
        <v>0</v>
      </c>
      <c r="S414" s="307">
        <f t="shared" ca="1" si="195"/>
        <v>2.0842999999999985</v>
      </c>
      <c r="T414" s="304">
        <f t="shared" ca="1" si="175"/>
        <v>20.446982999999985</v>
      </c>
      <c r="U414" s="311">
        <f t="shared" ca="1" si="176"/>
        <v>0</v>
      </c>
      <c r="V414" s="306">
        <f t="shared" ca="1" si="177"/>
        <v>1.0046158692417158</v>
      </c>
      <c r="W414" s="304">
        <f t="shared" ca="1" si="178"/>
        <v>5.8735675700084604</v>
      </c>
      <c r="Y414" s="314" t="str">
        <f t="shared" ca="1" si="196"/>
        <v/>
      </c>
      <c r="Z414" s="315" t="str">
        <f t="shared" ca="1" si="197"/>
        <v/>
      </c>
      <c r="AA414" s="316" t="str">
        <f t="shared" ca="1" si="198"/>
        <v/>
      </c>
      <c r="AC414" s="310" t="e">
        <f t="shared" ca="1" si="199"/>
        <v>#N/A</v>
      </c>
      <c r="AD414" s="323" t="e">
        <f t="shared" ca="1" si="200"/>
        <v>#N/A</v>
      </c>
      <c r="AE414" s="324" t="e">
        <f t="shared" ca="1" si="179"/>
        <v>#N/A</v>
      </c>
      <c r="AG414" s="306">
        <f t="shared" ca="1" si="201"/>
        <v>6.8824115529550234</v>
      </c>
      <c r="AH414" s="304">
        <f t="shared" ca="1" si="202"/>
        <v>-2.7629438316328669</v>
      </c>
    </row>
    <row r="415" spans="1:34" x14ac:dyDescent="0.25">
      <c r="A415" s="347">
        <f t="shared" ca="1" si="180"/>
        <v>0.1</v>
      </c>
      <c r="B415" s="304">
        <f t="shared" ca="1" si="181"/>
        <v>28.800000000000111</v>
      </c>
      <c r="D415" s="306">
        <f t="shared" ca="1" si="182"/>
        <v>-0.50730530902485116</v>
      </c>
      <c r="E415" s="307">
        <f t="shared" ca="1" si="183"/>
        <v>-7.038034483724676</v>
      </c>
      <c r="F415" s="304">
        <f t="shared" ca="1" si="184"/>
        <v>7.0562942165603095</v>
      </c>
      <c r="G415" s="306">
        <f t="shared" ca="1" si="185"/>
        <v>13.048487735127145</v>
      </c>
      <c r="H415" s="307">
        <f t="shared" ca="1" si="186"/>
        <v>-72.279205238262392</v>
      </c>
      <c r="I415" s="304">
        <f t="shared" ca="1" si="187"/>
        <v>73.447576828977958</v>
      </c>
      <c r="J415" s="306">
        <f t="shared" ca="1" si="188"/>
        <v>528.09287376616771</v>
      </c>
      <c r="K415" s="307">
        <f t="shared" ca="1" si="189"/>
        <v>1969.6870882626949</v>
      </c>
      <c r="L415" s="304">
        <f t="shared" ca="1" si="174"/>
        <v>2039.2521445351929</v>
      </c>
      <c r="M415" s="306">
        <f t="shared" ca="1" si="190"/>
        <v>-1.3921911033195149</v>
      </c>
      <c r="N415" s="304">
        <f t="shared" ca="1" si="191"/>
        <v>-79.766674495869736</v>
      </c>
      <c r="P415" s="310">
        <f t="shared" ca="1" si="192"/>
        <v>23</v>
      </c>
      <c r="Q415" s="304">
        <f t="shared" ca="1" si="193"/>
        <v>0</v>
      </c>
      <c r="R415" s="306">
        <f t="shared" ca="1" si="194"/>
        <v>0</v>
      </c>
      <c r="S415" s="307">
        <f t="shared" ca="1" si="195"/>
        <v>2.0842999999999985</v>
      </c>
      <c r="T415" s="304">
        <f t="shared" ca="1" si="175"/>
        <v>20.446982999999985</v>
      </c>
      <c r="U415" s="311">
        <f t="shared" ca="1" si="176"/>
        <v>0</v>
      </c>
      <c r="V415" s="306">
        <f t="shared" ca="1" si="177"/>
        <v>1.005345830741406</v>
      </c>
      <c r="W415" s="304">
        <f t="shared" ca="1" si="178"/>
        <v>5.9887603789748978</v>
      </c>
      <c r="Y415" s="314" t="str">
        <f t="shared" ca="1" si="196"/>
        <v/>
      </c>
      <c r="Z415" s="315" t="str">
        <f t="shared" ca="1" si="197"/>
        <v/>
      </c>
      <c r="AA415" s="316" t="str">
        <f t="shared" ca="1" si="198"/>
        <v/>
      </c>
      <c r="AC415" s="310" t="e">
        <f t="shared" ca="1" si="199"/>
        <v>#N/A</v>
      </c>
      <c r="AD415" s="323" t="e">
        <f t="shared" ca="1" si="200"/>
        <v>#N/A</v>
      </c>
      <c r="AE415" s="324" t="e">
        <f t="shared" ca="1" si="179"/>
        <v>#N/A</v>
      </c>
      <c r="AG415" s="306">
        <f t="shared" ca="1" si="201"/>
        <v>6.8317235203599811</v>
      </c>
      <c r="AH415" s="304">
        <f t="shared" ca="1" si="202"/>
        <v>-2.8180048793400494</v>
      </c>
    </row>
    <row r="416" spans="1:34" x14ac:dyDescent="0.25">
      <c r="A416" s="347">
        <f t="shared" ca="1" si="180"/>
        <v>0.1</v>
      </c>
      <c r="B416" s="304">
        <f t="shared" ca="1" si="181"/>
        <v>28.900000000000112</v>
      </c>
      <c r="D416" s="306">
        <f t="shared" ca="1" si="182"/>
        <v>-0.51045729824285635</v>
      </c>
      <c r="E416" s="307">
        <f t="shared" ca="1" si="183"/>
        <v>-6.9824349538421959</v>
      </c>
      <c r="F416" s="304">
        <f t="shared" ca="1" si="184"/>
        <v>7.0010688139716688</v>
      </c>
      <c r="G416" s="306">
        <f t="shared" ca="1" si="185"/>
        <v>12.99744200530286</v>
      </c>
      <c r="H416" s="307">
        <f t="shared" ca="1" si="186"/>
        <v>-72.977448733646611</v>
      </c>
      <c r="I416" s="304">
        <f t="shared" ca="1" si="187"/>
        <v>74.125849218428726</v>
      </c>
      <c r="J416" s="306">
        <f t="shared" ca="1" si="188"/>
        <v>529.39517025318924</v>
      </c>
      <c r="K416" s="307">
        <f t="shared" ca="1" si="189"/>
        <v>1962.4242555640994</v>
      </c>
      <c r="L416" s="304">
        <f t="shared" ca="1" si="174"/>
        <v>2032.5767402766651</v>
      </c>
      <c r="M416" s="306">
        <f t="shared" ca="1" si="190"/>
        <v>-1.3945422646762458</v>
      </c>
      <c r="N416" s="304">
        <f t="shared" ca="1" si="191"/>
        <v>-79.901386118564673</v>
      </c>
      <c r="P416" s="310">
        <f t="shared" ca="1" si="192"/>
        <v>23</v>
      </c>
      <c r="Q416" s="304">
        <f t="shared" ca="1" si="193"/>
        <v>0</v>
      </c>
      <c r="R416" s="306">
        <f t="shared" ca="1" si="194"/>
        <v>0</v>
      </c>
      <c r="S416" s="307">
        <f t="shared" ca="1" si="195"/>
        <v>2.0842999999999985</v>
      </c>
      <c r="T416" s="304">
        <f t="shared" ca="1" si="175"/>
        <v>20.446982999999985</v>
      </c>
      <c r="U416" s="311">
        <f t="shared" ca="1" si="176"/>
        <v>0</v>
      </c>
      <c r="V416" s="306">
        <f t="shared" ca="1" si="177"/>
        <v>1.0060833917884102</v>
      </c>
      <c r="W416" s="304">
        <f t="shared" ca="1" si="178"/>
        <v>6.1043560168716127</v>
      </c>
      <c r="Y416" s="314" t="str">
        <f t="shared" ca="1" si="196"/>
        <v/>
      </c>
      <c r="Z416" s="315" t="str">
        <f t="shared" ca="1" si="197"/>
        <v/>
      </c>
      <c r="AA416" s="316" t="str">
        <f t="shared" ca="1" si="198"/>
        <v/>
      </c>
      <c r="AC416" s="310" t="e">
        <f t="shared" ca="1" si="199"/>
        <v>#N/A</v>
      </c>
      <c r="AD416" s="323" t="e">
        <f t="shared" ca="1" si="200"/>
        <v>#N/A</v>
      </c>
      <c r="AE416" s="324" t="e">
        <f t="shared" ca="1" si="179"/>
        <v>#N/A</v>
      </c>
      <c r="AG416" s="306">
        <f t="shared" ca="1" si="201"/>
        <v>6.7806750719059661</v>
      </c>
      <c r="AH416" s="304">
        <f t="shared" ca="1" si="202"/>
        <v>-2.8732717838002695</v>
      </c>
    </row>
    <row r="417" spans="1:34" x14ac:dyDescent="0.25">
      <c r="A417" s="347">
        <f t="shared" ca="1" si="180"/>
        <v>0.1</v>
      </c>
      <c r="B417" s="304">
        <f t="shared" ca="1" si="181"/>
        <v>29.000000000000114</v>
      </c>
      <c r="D417" s="306">
        <f t="shared" ca="1" si="182"/>
        <v>-0.51353237979282018</v>
      </c>
      <c r="E417" s="307">
        <f t="shared" ca="1" si="183"/>
        <v>-6.9266416511719751</v>
      </c>
      <c r="F417" s="304">
        <f t="shared" ca="1" si="184"/>
        <v>6.9456518822099129</v>
      </c>
      <c r="G417" s="306">
        <f t="shared" ca="1" si="185"/>
        <v>12.946088767323578</v>
      </c>
      <c r="H417" s="307">
        <f t="shared" ca="1" si="186"/>
        <v>-73.670112898763804</v>
      </c>
      <c r="I417" s="304">
        <f t="shared" ca="1" si="187"/>
        <v>74.798975587156448</v>
      </c>
      <c r="J417" s="306">
        <f t="shared" ca="1" si="188"/>
        <v>530.69234679182057</v>
      </c>
      <c r="K417" s="307">
        <f t="shared" ca="1" si="189"/>
        <v>1955.0918774824788</v>
      </c>
      <c r="L417" s="304">
        <f t="shared" ca="1" si="174"/>
        <v>2025.8377566679355</v>
      </c>
      <c r="M417" s="306">
        <f t="shared" ca="1" si="190"/>
        <v>-1.3968419157558098</v>
      </c>
      <c r="N417" s="304">
        <f t="shared" ca="1" si="191"/>
        <v>-80.033146419776401</v>
      </c>
      <c r="P417" s="310">
        <f t="shared" ca="1" si="192"/>
        <v>23</v>
      </c>
      <c r="Q417" s="304">
        <f t="shared" ca="1" si="193"/>
        <v>0</v>
      </c>
      <c r="R417" s="306">
        <f t="shared" ca="1" si="194"/>
        <v>0</v>
      </c>
      <c r="S417" s="307">
        <f t="shared" ca="1" si="195"/>
        <v>2.0842999999999985</v>
      </c>
      <c r="T417" s="304">
        <f t="shared" ca="1" si="175"/>
        <v>20.446982999999985</v>
      </c>
      <c r="U417" s="311">
        <f t="shared" ca="1" si="176"/>
        <v>0</v>
      </c>
      <c r="V417" s="306">
        <f t="shared" ca="1" si="177"/>
        <v>1.0068285103719037</v>
      </c>
      <c r="W417" s="304">
        <f t="shared" ca="1" si="178"/>
        <v>6.2203284317429697</v>
      </c>
      <c r="Y417" s="314" t="str">
        <f t="shared" ca="1" si="196"/>
        <v/>
      </c>
      <c r="Z417" s="315" t="str">
        <f t="shared" ca="1" si="197"/>
        <v/>
      </c>
      <c r="AA417" s="316" t="str">
        <f t="shared" ca="1" si="198"/>
        <v/>
      </c>
      <c r="AC417" s="310">
        <f t="shared" ca="1" si="199"/>
        <v>29.000000000000114</v>
      </c>
      <c r="AD417" s="323">
        <f t="shared" ca="1" si="200"/>
        <v>530.69234679182057</v>
      </c>
      <c r="AE417" s="324" t="e">
        <f t="shared" ca="1" si="179"/>
        <v>#N/A</v>
      </c>
      <c r="AG417" s="306">
        <f t="shared" ca="1" si="201"/>
        <v>6.7292858554736066</v>
      </c>
      <c r="AH417" s="304">
        <f t="shared" ca="1" si="202"/>
        <v>-2.9287319564705738</v>
      </c>
    </row>
    <row r="418" spans="1:34" x14ac:dyDescent="0.25">
      <c r="A418" s="347">
        <f t="shared" ca="1" si="180"/>
        <v>0.1</v>
      </c>
      <c r="B418" s="304">
        <f t="shared" ca="1" si="181"/>
        <v>29.100000000000115</v>
      </c>
      <c r="D418" s="306">
        <f t="shared" ca="1" si="182"/>
        <v>-0.51653055609065723</v>
      </c>
      <c r="E418" s="307">
        <f t="shared" ca="1" si="183"/>
        <v>-6.8706671198712259</v>
      </c>
      <c r="F418" s="304">
        <f t="shared" ca="1" si="184"/>
        <v>6.8900559132313939</v>
      </c>
      <c r="G418" s="306">
        <f t="shared" ca="1" si="185"/>
        <v>12.894435711714513</v>
      </c>
      <c r="H418" s="307">
        <f t="shared" ca="1" si="186"/>
        <v>-74.357179610750933</v>
      </c>
      <c r="I418" s="304">
        <f t="shared" ca="1" si="187"/>
        <v>75.466924092538804</v>
      </c>
      <c r="J418" s="306">
        <f t="shared" ca="1" si="188"/>
        <v>531.98437301577246</v>
      </c>
      <c r="K418" s="307">
        <f t="shared" ca="1" si="189"/>
        <v>1947.6905128570031</v>
      </c>
      <c r="L418" s="304">
        <f t="shared" ca="1" si="174"/>
        <v>2019.035835988594</v>
      </c>
      <c r="M418" s="306">
        <f t="shared" ca="1" si="190"/>
        <v>-1.3990917765875541</v>
      </c>
      <c r="N418" s="304">
        <f t="shared" ca="1" si="191"/>
        <v>-80.162053949927127</v>
      </c>
      <c r="P418" s="310">
        <f t="shared" ca="1" si="192"/>
        <v>23</v>
      </c>
      <c r="Q418" s="304">
        <f t="shared" ca="1" si="193"/>
        <v>0</v>
      </c>
      <c r="R418" s="306">
        <f t="shared" ca="1" si="194"/>
        <v>0</v>
      </c>
      <c r="S418" s="307">
        <f t="shared" ca="1" si="195"/>
        <v>2.0842999999999985</v>
      </c>
      <c r="T418" s="304">
        <f t="shared" ca="1" si="175"/>
        <v>20.446982999999985</v>
      </c>
      <c r="U418" s="311">
        <f t="shared" ca="1" si="176"/>
        <v>0</v>
      </c>
      <c r="V418" s="306">
        <f t="shared" ca="1" si="177"/>
        <v>1.0075811443028913</v>
      </c>
      <c r="W418" s="304">
        <f t="shared" ca="1" si="178"/>
        <v>6.3366517673343239</v>
      </c>
      <c r="Y418" s="314" t="str">
        <f t="shared" ca="1" si="196"/>
        <v/>
      </c>
      <c r="Z418" s="315" t="str">
        <f t="shared" ca="1" si="197"/>
        <v/>
      </c>
      <c r="AA418" s="316" t="str">
        <f t="shared" ca="1" si="198"/>
        <v/>
      </c>
      <c r="AC418" s="310" t="e">
        <f t="shared" ca="1" si="199"/>
        <v>#N/A</v>
      </c>
      <c r="AD418" s="323" t="e">
        <f t="shared" ca="1" si="200"/>
        <v>#N/A</v>
      </c>
      <c r="AE418" s="324" t="e">
        <f t="shared" ca="1" si="179"/>
        <v>#N/A</v>
      </c>
      <c r="AG418" s="306">
        <f t="shared" ca="1" si="201"/>
        <v>6.6775750344141951</v>
      </c>
      <c r="AH418" s="304">
        <f t="shared" ca="1" si="202"/>
        <v>-2.9843728982118574</v>
      </c>
    </row>
    <row r="419" spans="1:34" x14ac:dyDescent="0.25">
      <c r="A419" s="347">
        <f t="shared" ca="1" si="180"/>
        <v>0.1</v>
      </c>
      <c r="B419" s="304">
        <f t="shared" ca="1" si="181"/>
        <v>29.200000000000117</v>
      </c>
      <c r="D419" s="306">
        <f t="shared" ca="1" si="182"/>
        <v>-0.51945185854459319</v>
      </c>
      <c r="E419" s="307">
        <f t="shared" ca="1" si="183"/>
        <v>-6.8145238110072439</v>
      </c>
      <c r="F419" s="304">
        <f t="shared" ca="1" si="184"/>
        <v>6.8342933068555176</v>
      </c>
      <c r="G419" s="306">
        <f t="shared" ca="1" si="185"/>
        <v>12.842490525860054</v>
      </c>
      <c r="H419" s="307">
        <f t="shared" ca="1" si="186"/>
        <v>-75.038631991851659</v>
      </c>
      <c r="I419" s="304">
        <f t="shared" ca="1" si="187"/>
        <v>76.129664744535347</v>
      </c>
      <c r="J419" s="306">
        <f t="shared" ca="1" si="188"/>
        <v>533.27121932765124</v>
      </c>
      <c r="K419" s="307">
        <f t="shared" ca="1" si="189"/>
        <v>1940.2207222768729</v>
      </c>
      <c r="L419" s="304">
        <f t="shared" ca="1" si="174"/>
        <v>2012.1716240211197</v>
      </c>
      <c r="M419" s="306">
        <f t="shared" ca="1" si="190"/>
        <v>-1.401293491748578</v>
      </c>
      <c r="N419" s="304">
        <f t="shared" ca="1" si="191"/>
        <v>-80.288202936343765</v>
      </c>
      <c r="P419" s="310">
        <f t="shared" ca="1" si="192"/>
        <v>23</v>
      </c>
      <c r="Q419" s="304">
        <f t="shared" ca="1" si="193"/>
        <v>0</v>
      </c>
      <c r="R419" s="306">
        <f t="shared" ca="1" si="194"/>
        <v>0</v>
      </c>
      <c r="S419" s="307">
        <f t="shared" ca="1" si="195"/>
        <v>2.0842999999999985</v>
      </c>
      <c r="T419" s="304">
        <f t="shared" ca="1" si="175"/>
        <v>20.446982999999985</v>
      </c>
      <c r="U419" s="311">
        <f t="shared" ca="1" si="176"/>
        <v>0</v>
      </c>
      <c r="V419" s="306">
        <f t="shared" ca="1" si="177"/>
        <v>1.0083412512230627</v>
      </c>
      <c r="W419" s="304">
        <f t="shared" ca="1" si="178"/>
        <v>6.4533003721775311</v>
      </c>
      <c r="Y419" s="314" t="str">
        <f t="shared" ca="1" si="196"/>
        <v/>
      </c>
      <c r="Z419" s="315" t="str">
        <f t="shared" ca="1" si="197"/>
        <v/>
      </c>
      <c r="AA419" s="316" t="str">
        <f t="shared" ca="1" si="198"/>
        <v/>
      </c>
      <c r="AC419" s="310" t="e">
        <f t="shared" ca="1" si="199"/>
        <v>#N/A</v>
      </c>
      <c r="AD419" s="323" t="e">
        <f t="shared" ca="1" si="200"/>
        <v>#N/A</v>
      </c>
      <c r="AE419" s="324" t="e">
        <f t="shared" ca="1" si="179"/>
        <v>#N/A</v>
      </c>
      <c r="AG419" s="306">
        <f t="shared" ca="1" si="201"/>
        <v>6.6255613090623546</v>
      </c>
      <c r="AH419" s="304">
        <f t="shared" ca="1" si="202"/>
        <v>-3.0401822037779249</v>
      </c>
    </row>
    <row r="420" spans="1:34" x14ac:dyDescent="0.25">
      <c r="A420" s="347">
        <f t="shared" ca="1" si="180"/>
        <v>0.1</v>
      </c>
      <c r="B420" s="304">
        <f t="shared" ca="1" si="181"/>
        <v>29.300000000000118</v>
      </c>
      <c r="D420" s="306">
        <f t="shared" ca="1" si="182"/>
        <v>-0.52229634687988014</v>
      </c>
      <c r="E420" s="307">
        <f t="shared" ca="1" si="183"/>
        <v>-6.7582240780875988</v>
      </c>
      <c r="F420" s="304">
        <f t="shared" ca="1" si="184"/>
        <v>6.7783763663289633</v>
      </c>
      <c r="G420" s="306">
        <f t="shared" ca="1" si="185"/>
        <v>12.790260891172066</v>
      </c>
      <c r="H420" s="307">
        <f t="shared" ca="1" si="186"/>
        <v>-75.714454399660426</v>
      </c>
      <c r="I420" s="304">
        <f t="shared" ca="1" si="187"/>
        <v>76.787169362482061</v>
      </c>
      <c r="J420" s="306">
        <f t="shared" ca="1" si="188"/>
        <v>534.5528568985028</v>
      </c>
      <c r="K420" s="307">
        <f t="shared" ca="1" si="189"/>
        <v>1932.6830679572975</v>
      </c>
      <c r="L420" s="304">
        <f t="shared" ca="1" si="174"/>
        <v>2005.2457699711481</v>
      </c>
      <c r="M420" s="306">
        <f t="shared" ca="1" si="190"/>
        <v>-1.4034486344004398</v>
      </c>
      <c r="N420" s="304">
        <f t="shared" ca="1" si="191"/>
        <v>-80.41168351454408</v>
      </c>
      <c r="P420" s="310">
        <f t="shared" ca="1" si="192"/>
        <v>23</v>
      </c>
      <c r="Q420" s="304">
        <f t="shared" ca="1" si="193"/>
        <v>0</v>
      </c>
      <c r="R420" s="306">
        <f t="shared" ca="1" si="194"/>
        <v>0</v>
      </c>
      <c r="S420" s="307">
        <f t="shared" ca="1" si="195"/>
        <v>2.0842999999999985</v>
      </c>
      <c r="T420" s="304">
        <f t="shared" ca="1" si="175"/>
        <v>20.446982999999985</v>
      </c>
      <c r="U420" s="311">
        <f t="shared" ca="1" si="176"/>
        <v>0</v>
      </c>
      <c r="V420" s="306">
        <f t="shared" ca="1" si="177"/>
        <v>1.0091087886135959</v>
      </c>
      <c r="W420" s="304">
        <f t="shared" ca="1" si="178"/>
        <v>6.5702488084028214</v>
      </c>
      <c r="Y420" s="314" t="str">
        <f t="shared" ca="1" si="196"/>
        <v/>
      </c>
      <c r="Z420" s="315" t="str">
        <f t="shared" ca="1" si="197"/>
        <v/>
      </c>
      <c r="AA420" s="316" t="str">
        <f t="shared" ca="1" si="198"/>
        <v/>
      </c>
      <c r="AC420" s="310" t="e">
        <f t="shared" ca="1" si="199"/>
        <v>#N/A</v>
      </c>
      <c r="AD420" s="323" t="e">
        <f t="shared" ca="1" si="200"/>
        <v>#N/A</v>
      </c>
      <c r="AE420" s="324" t="e">
        <f t="shared" ca="1" si="179"/>
        <v>#N/A</v>
      </c>
      <c r="AG420" s="306">
        <f t="shared" ca="1" si="201"/>
        <v>6.5732629364233564</v>
      </c>
      <c r="AH420" s="304">
        <f t="shared" ca="1" si="202"/>
        <v>-3.0961475661745124</v>
      </c>
    </row>
    <row r="421" spans="1:34" x14ac:dyDescent="0.25">
      <c r="A421" s="347">
        <f t="shared" ca="1" si="180"/>
        <v>0.1</v>
      </c>
      <c r="B421" s="304">
        <f t="shared" ca="1" si="181"/>
        <v>29.400000000000119</v>
      </c>
      <c r="D421" s="306">
        <f t="shared" ca="1" si="182"/>
        <v>-0.52506410847344787</v>
      </c>
      <c r="E421" s="307">
        <f t="shared" ca="1" si="183"/>
        <v>-6.7017801727288955</v>
      </c>
      <c r="F421" s="304">
        <f t="shared" ca="1" si="184"/>
        <v>6.7223172940280911</v>
      </c>
      <c r="G421" s="306">
        <f t="shared" ca="1" si="185"/>
        <v>12.737754480324721</v>
      </c>
      <c r="H421" s="307">
        <f t="shared" ca="1" si="186"/>
        <v>-76.384632416933314</v>
      </c>
      <c r="I421" s="304">
        <f t="shared" ca="1" si="187"/>
        <v>77.43941153360511</v>
      </c>
      <c r="J421" s="306">
        <f t="shared" ca="1" si="188"/>
        <v>535.82925766707763</v>
      </c>
      <c r="K421" s="307">
        <f t="shared" ca="1" si="189"/>
        <v>1925.0781136164678</v>
      </c>
      <c r="L421" s="304">
        <f t="shared" ca="1" si="174"/>
        <v>1998.2589263899686</v>
      </c>
      <c r="M421" s="306">
        <f t="shared" ca="1" si="190"/>
        <v>-1.4055587100728184</v>
      </c>
      <c r="N421" s="304">
        <f t="shared" ca="1" si="191"/>
        <v>-80.532581945024603</v>
      </c>
      <c r="P421" s="310">
        <f t="shared" ca="1" si="192"/>
        <v>23</v>
      </c>
      <c r="Q421" s="304">
        <f t="shared" ca="1" si="193"/>
        <v>0</v>
      </c>
      <c r="R421" s="306">
        <f t="shared" ca="1" si="194"/>
        <v>0</v>
      </c>
      <c r="S421" s="307">
        <f t="shared" ca="1" si="195"/>
        <v>2.0842999999999985</v>
      </c>
      <c r="T421" s="304">
        <f t="shared" ca="1" si="175"/>
        <v>20.446982999999985</v>
      </c>
      <c r="U421" s="311">
        <f t="shared" ca="1" si="176"/>
        <v>0</v>
      </c>
      <c r="V421" s="306">
        <f t="shared" ca="1" si="177"/>
        <v>1.0098837138039105</v>
      </c>
      <c r="W421" s="304">
        <f t="shared" ca="1" si="178"/>
        <v>6.6874718602746261</v>
      </c>
      <c r="Y421" s="314" t="str">
        <f t="shared" ca="1" si="196"/>
        <v/>
      </c>
      <c r="Z421" s="315" t="str">
        <f t="shared" ca="1" si="197"/>
        <v/>
      </c>
      <c r="AA421" s="316" t="str">
        <f t="shared" ca="1" si="198"/>
        <v/>
      </c>
      <c r="AC421" s="310" t="e">
        <f t="shared" ca="1" si="199"/>
        <v>#N/A</v>
      </c>
      <c r="AD421" s="323" t="e">
        <f t="shared" ca="1" si="200"/>
        <v>#N/A</v>
      </c>
      <c r="AE421" s="324" t="e">
        <f t="shared" ca="1" si="179"/>
        <v>#N/A</v>
      </c>
      <c r="AG421" s="306">
        <f t="shared" ca="1" si="201"/>
        <v>6.5206977482009822</v>
      </c>
      <c r="AH421" s="304">
        <f t="shared" ca="1" si="202"/>
        <v>-3.1522567808870252</v>
      </c>
    </row>
    <row r="422" spans="1:34" x14ac:dyDescent="0.25">
      <c r="A422" s="347">
        <f t="shared" ca="1" si="180"/>
        <v>0.1</v>
      </c>
      <c r="B422" s="304">
        <f t="shared" ca="1" si="181"/>
        <v>29.500000000000121</v>
      </c>
      <c r="D422" s="306">
        <f t="shared" ca="1" si="182"/>
        <v>-0.52775525769757659</v>
      </c>
      <c r="E422" s="307">
        <f t="shared" ca="1" si="183"/>
        <v>-6.64520424046471</v>
      </c>
      <c r="F422" s="304">
        <f t="shared" ca="1" si="184"/>
        <v>6.666128187300151</v>
      </c>
      <c r="G422" s="306">
        <f t="shared" ca="1" si="185"/>
        <v>12.684978954554964</v>
      </c>
      <c r="H422" s="307">
        <f t="shared" ca="1" si="186"/>
        <v>-77.049152840979787</v>
      </c>
      <c r="I422" s="304">
        <f t="shared" ca="1" si="187"/>
        <v>78.086366573110354</v>
      </c>
      <c r="J422" s="306">
        <f t="shared" ca="1" si="188"/>
        <v>537.10039433882162</v>
      </c>
      <c r="K422" s="307">
        <f t="shared" ca="1" si="189"/>
        <v>1917.4064243535722</v>
      </c>
      <c r="L422" s="304">
        <f t="shared" ca="1" si="174"/>
        <v>1991.2117490993439</v>
      </c>
      <c r="M422" s="306">
        <f t="shared" ca="1" si="190"/>
        <v>-1.4076251602121874</v>
      </c>
      <c r="N422" s="304">
        <f t="shared" ca="1" si="191"/>
        <v>-80.650980816584664</v>
      </c>
      <c r="P422" s="310">
        <f t="shared" ca="1" si="192"/>
        <v>23</v>
      </c>
      <c r="Q422" s="304">
        <f t="shared" ca="1" si="193"/>
        <v>0</v>
      </c>
      <c r="R422" s="306">
        <f t="shared" ca="1" si="194"/>
        <v>0</v>
      </c>
      <c r="S422" s="307">
        <f t="shared" ca="1" si="195"/>
        <v>2.0842999999999985</v>
      </c>
      <c r="T422" s="304">
        <f t="shared" ca="1" si="175"/>
        <v>20.446982999999985</v>
      </c>
      <c r="U422" s="311">
        <f t="shared" ca="1" si="176"/>
        <v>0</v>
      </c>
      <c r="V422" s="306">
        <f t="shared" ca="1" si="177"/>
        <v>1.0106659839803649</v>
      </c>
      <c r="W422" s="304">
        <f t="shared" ca="1" si="178"/>
        <v>6.8049445424494124</v>
      </c>
      <c r="Y422" s="314" t="str">
        <f t="shared" ca="1" si="196"/>
        <v/>
      </c>
      <c r="Z422" s="315" t="str">
        <f t="shared" ca="1" si="197"/>
        <v/>
      </c>
      <c r="AA422" s="316" t="str">
        <f t="shared" ca="1" si="198"/>
        <v/>
      </c>
      <c r="AC422" s="310" t="e">
        <f t="shared" ca="1" si="199"/>
        <v>#N/A</v>
      </c>
      <c r="AD422" s="323" t="e">
        <f t="shared" ca="1" si="200"/>
        <v>#N/A</v>
      </c>
      <c r="AE422" s="324" t="e">
        <f t="shared" ca="1" si="179"/>
        <v>#N/A</v>
      </c>
      <c r="AG422" s="306">
        <f t="shared" ca="1" si="201"/>
        <v>6.4678831673163888</v>
      </c>
      <c r="AH422" s="304">
        <f t="shared" ca="1" si="202"/>
        <v>-3.2084977499758343</v>
      </c>
    </row>
    <row r="423" spans="1:34" x14ac:dyDescent="0.25">
      <c r="A423" s="347">
        <f t="shared" ca="1" si="180"/>
        <v>0.1</v>
      </c>
      <c r="B423" s="304">
        <f t="shared" ca="1" si="181"/>
        <v>29.600000000000122</v>
      </c>
      <c r="D423" s="306">
        <f t="shared" ca="1" si="182"/>
        <v>-0.53036993527185317</v>
      </c>
      <c r="E423" s="307">
        <f t="shared" ca="1" si="183"/>
        <v>-6.5885083166931242</v>
      </c>
      <c r="F423" s="304">
        <f t="shared" ca="1" si="184"/>
        <v>6.6098210344437272</v>
      </c>
      <c r="G423" s="306">
        <f t="shared" ca="1" si="185"/>
        <v>12.631941961027779</v>
      </c>
      <c r="H423" s="307">
        <f t="shared" ca="1" si="186"/>
        <v>-77.708003672649099</v>
      </c>
      <c r="I423" s="304">
        <f t="shared" ca="1" si="187"/>
        <v>78.728011485717204</v>
      </c>
      <c r="J423" s="306">
        <f t="shared" ca="1" si="188"/>
        <v>538.3662403846007</v>
      </c>
      <c r="K423" s="307">
        <f t="shared" ca="1" si="189"/>
        <v>1909.6685665278908</v>
      </c>
      <c r="L423" s="304">
        <f t="shared" ca="1" si="174"/>
        <v>1984.1048971187331</v>
      </c>
      <c r="M423" s="306">
        <f t="shared" ca="1" si="190"/>
        <v>-1.4096493655121407</v>
      </c>
      <c r="N423" s="304">
        <f t="shared" ca="1" si="191"/>
        <v>-80.76695923714</v>
      </c>
      <c r="P423" s="310">
        <f t="shared" ca="1" si="192"/>
        <v>23</v>
      </c>
      <c r="Q423" s="304">
        <f t="shared" ca="1" si="193"/>
        <v>0</v>
      </c>
      <c r="R423" s="306">
        <f t="shared" ca="1" si="194"/>
        <v>0</v>
      </c>
      <c r="S423" s="307">
        <f t="shared" ca="1" si="195"/>
        <v>2.0842999999999985</v>
      </c>
      <c r="T423" s="304">
        <f t="shared" ca="1" si="175"/>
        <v>20.446982999999985</v>
      </c>
      <c r="U423" s="311">
        <f t="shared" ca="1" si="176"/>
        <v>0</v>
      </c>
      <c r="V423" s="306">
        <f t="shared" ca="1" si="177"/>
        <v>1.0114555561948979</v>
      </c>
      <c r="W423" s="304">
        <f t="shared" ca="1" si="178"/>
        <v>6.9226421079538492</v>
      </c>
      <c r="Y423" s="314" t="str">
        <f t="shared" ca="1" si="196"/>
        <v/>
      </c>
      <c r="Z423" s="315" t="str">
        <f t="shared" ca="1" si="197"/>
        <v/>
      </c>
      <c r="AA423" s="316" t="str">
        <f t="shared" ca="1" si="198"/>
        <v/>
      </c>
      <c r="AC423" s="310" t="e">
        <f t="shared" ca="1" si="199"/>
        <v>#N/A</v>
      </c>
      <c r="AD423" s="323" t="e">
        <f t="shared" ca="1" si="200"/>
        <v>#N/A</v>
      </c>
      <c r="AE423" s="324" t="e">
        <f t="shared" ca="1" si="179"/>
        <v>#N/A</v>
      </c>
      <c r="AG423" s="306">
        <f t="shared" ca="1" si="201"/>
        <v>6.4148362230545324</v>
      </c>
      <c r="AH423" s="304">
        <f t="shared" ca="1" si="202"/>
        <v>-3.2648584860381984</v>
      </c>
    </row>
    <row r="424" spans="1:34" x14ac:dyDescent="0.25">
      <c r="A424" s="347">
        <f t="shared" ca="1" si="180"/>
        <v>0.1</v>
      </c>
      <c r="B424" s="304">
        <f t="shared" ca="1" si="181"/>
        <v>29.700000000000124</v>
      </c>
      <c r="D424" s="306">
        <f t="shared" ca="1" si="182"/>
        <v>-0.53290830762270747</v>
      </c>
      <c r="E424" s="307">
        <f t="shared" ca="1" si="183"/>
        <v>-6.5317043227642237</v>
      </c>
      <c r="F424" s="304">
        <f t="shared" ca="1" si="184"/>
        <v>6.5534077108287825</v>
      </c>
      <c r="G424" s="306">
        <f t="shared" ca="1" si="185"/>
        <v>12.578651130265509</v>
      </c>
      <c r="H424" s="307">
        <f t="shared" ca="1" si="186"/>
        <v>-78.361174104925524</v>
      </c>
      <c r="I424" s="304">
        <f t="shared" ca="1" si="187"/>
        <v>79.364324928517988</v>
      </c>
      <c r="J424" s="306">
        <f t="shared" ca="1" si="188"/>
        <v>539.62677003916542</v>
      </c>
      <c r="K424" s="307">
        <f t="shared" ca="1" si="189"/>
        <v>1901.865107639012</v>
      </c>
      <c r="L424" s="304">
        <f t="shared" ca="1" si="174"/>
        <v>1976.9390325949996</v>
      </c>
      <c r="M424" s="306">
        <f t="shared" ca="1" si="190"/>
        <v>-1.4116326490406768</v>
      </c>
      <c r="N424" s="304">
        <f t="shared" ca="1" si="191"/>
        <v>-80.880593012902935</v>
      </c>
      <c r="P424" s="310">
        <f t="shared" ca="1" si="192"/>
        <v>23</v>
      </c>
      <c r="Q424" s="304">
        <f t="shared" ca="1" si="193"/>
        <v>0</v>
      </c>
      <c r="R424" s="306">
        <f t="shared" ca="1" si="194"/>
        <v>0</v>
      </c>
      <c r="S424" s="307">
        <f t="shared" ca="1" si="195"/>
        <v>2.0842999999999985</v>
      </c>
      <c r="T424" s="304">
        <f t="shared" ca="1" si="175"/>
        <v>20.446982999999985</v>
      </c>
      <c r="U424" s="311">
        <f t="shared" ca="1" si="176"/>
        <v>0</v>
      </c>
      <c r="V424" s="306">
        <f t="shared" ca="1" si="177"/>
        <v>1.0122523873736033</v>
      </c>
      <c r="W424" s="304">
        <f t="shared" ca="1" si="178"/>
        <v>7.0405400558819293</v>
      </c>
      <c r="Y424" s="314" t="str">
        <f t="shared" ca="1" si="196"/>
        <v/>
      </c>
      <c r="Z424" s="315" t="str">
        <f t="shared" ca="1" si="197"/>
        <v/>
      </c>
      <c r="AA424" s="316" t="str">
        <f t="shared" ca="1" si="198"/>
        <v/>
      </c>
      <c r="AC424" s="310" t="e">
        <f t="shared" ca="1" si="199"/>
        <v>#N/A</v>
      </c>
      <c r="AD424" s="323" t="e">
        <f t="shared" ca="1" si="200"/>
        <v>#N/A</v>
      </c>
      <c r="AE424" s="324" t="e">
        <f t="shared" ca="1" si="179"/>
        <v>#N/A</v>
      </c>
      <c r="AG424" s="306">
        <f t="shared" ca="1" si="201"/>
        <v>6.3615735649622209</v>
      </c>
      <c r="AH424" s="304">
        <f t="shared" ca="1" si="202"/>
        <v>-3.3213271160360094</v>
      </c>
    </row>
    <row r="425" spans="1:34" x14ac:dyDescent="0.25">
      <c r="A425" s="347">
        <f t="shared" ca="1" si="180"/>
        <v>0.1</v>
      </c>
      <c r="B425" s="304">
        <f t="shared" ca="1" si="181"/>
        <v>29.800000000000125</v>
      </c>
      <c r="D425" s="306">
        <f t="shared" ca="1" si="182"/>
        <v>-0.5353705662499757</v>
      </c>
      <c r="E425" s="307">
        <f t="shared" ca="1" si="183"/>
        <v>-6.4748040622077916</v>
      </c>
      <c r="F425" s="304">
        <f t="shared" ca="1" si="184"/>
        <v>6.4968999751565626</v>
      </c>
      <c r="G425" s="306">
        <f t="shared" ca="1" si="185"/>
        <v>12.525114073640511</v>
      </c>
      <c r="H425" s="307">
        <f t="shared" ca="1" si="186"/>
        <v>-79.008654511146304</v>
      </c>
      <c r="I425" s="304">
        <f t="shared" ca="1" si="187"/>
        <v>79.995287175054173</v>
      </c>
      <c r="J425" s="306">
        <f t="shared" ca="1" si="188"/>
        <v>540.88195829936069</v>
      </c>
      <c r="K425" s="307">
        <f t="shared" ca="1" si="189"/>
        <v>1893.9966162082085</v>
      </c>
      <c r="L425" s="304">
        <f t="shared" ca="1" si="174"/>
        <v>1969.7148207346909</v>
      </c>
      <c r="M425" s="306">
        <f t="shared" ca="1" si="190"/>
        <v>-1.4135762791785678</v>
      </c>
      <c r="N425" s="304">
        <f t="shared" ca="1" si="191"/>
        <v>-80.991954816738527</v>
      </c>
      <c r="P425" s="310">
        <f t="shared" ca="1" si="192"/>
        <v>23</v>
      </c>
      <c r="Q425" s="304">
        <f t="shared" ca="1" si="193"/>
        <v>0</v>
      </c>
      <c r="R425" s="306">
        <f t="shared" ca="1" si="194"/>
        <v>0</v>
      </c>
      <c r="S425" s="307">
        <f t="shared" ca="1" si="195"/>
        <v>2.0842999999999985</v>
      </c>
      <c r="T425" s="304">
        <f t="shared" ca="1" si="175"/>
        <v>20.446982999999985</v>
      </c>
      <c r="U425" s="311">
        <f t="shared" ca="1" si="176"/>
        <v>0</v>
      </c>
      <c r="V425" s="306">
        <f t="shared" ca="1" si="177"/>
        <v>1.0130564343252486</v>
      </c>
      <c r="W425" s="304">
        <f t="shared" ca="1" si="178"/>
        <v>7.1586141388100923</v>
      </c>
      <c r="Y425" s="314" t="str">
        <f t="shared" ca="1" si="196"/>
        <v/>
      </c>
      <c r="Z425" s="315" t="str">
        <f t="shared" ca="1" si="197"/>
        <v/>
      </c>
      <c r="AA425" s="316" t="str">
        <f t="shared" ca="1" si="198"/>
        <v/>
      </c>
      <c r="AC425" s="310" t="e">
        <f t="shared" ca="1" si="199"/>
        <v>#N/A</v>
      </c>
      <c r="AD425" s="323" t="e">
        <f t="shared" ca="1" si="200"/>
        <v>#N/A</v>
      </c>
      <c r="AE425" s="324" t="e">
        <f t="shared" ca="1" si="179"/>
        <v>#N/A</v>
      </c>
      <c r="AG425" s="306">
        <f t="shared" ca="1" si="201"/>
        <v>6.3081114756105983</v>
      </c>
      <c r="AH425" s="304">
        <f t="shared" ca="1" si="202"/>
        <v>-3.3778918849886939</v>
      </c>
    </row>
    <row r="426" spans="1:34" x14ac:dyDescent="0.25">
      <c r="A426" s="347">
        <f t="shared" ca="1" si="180"/>
        <v>0.1</v>
      </c>
      <c r="B426" s="304">
        <f t="shared" ca="1" si="181"/>
        <v>29.900000000000126</v>
      </c>
      <c r="D426" s="306">
        <f t="shared" ca="1" si="182"/>
        <v>-0.53775692709997447</v>
      </c>
      <c r="E426" s="307">
        <f t="shared" ca="1" si="183"/>
        <v>-6.417819217101286</v>
      </c>
      <c r="F426" s="304">
        <f t="shared" ca="1" si="184"/>
        <v>6.4403094658594293</v>
      </c>
      <c r="G426" s="306">
        <f t="shared" ca="1" si="185"/>
        <v>12.471338380930513</v>
      </c>
      <c r="H426" s="307">
        <f t="shared" ca="1" si="186"/>
        <v>-79.650436432856438</v>
      </c>
      <c r="I426" s="304">
        <f t="shared" ca="1" si="187"/>
        <v>80.620880080511242</v>
      </c>
      <c r="J426" s="306">
        <f t="shared" ca="1" si="188"/>
        <v>542.13178092208921</v>
      </c>
      <c r="K426" s="307">
        <f t="shared" ca="1" si="189"/>
        <v>1886.0636616610084</v>
      </c>
      <c r="L426" s="304">
        <f t="shared" ca="1" si="174"/>
        <v>1962.4329297389725</v>
      </c>
      <c r="M426" s="306">
        <f t="shared" ca="1" si="190"/>
        <v>-1.4154814723818283</v>
      </c>
      <c r="N426" s="304">
        <f t="shared" ca="1" si="191"/>
        <v>-81.101114346442358</v>
      </c>
      <c r="P426" s="310">
        <f t="shared" ca="1" si="192"/>
        <v>23</v>
      </c>
      <c r="Q426" s="304">
        <f t="shared" ca="1" si="193"/>
        <v>0</v>
      </c>
      <c r="R426" s="306">
        <f t="shared" ca="1" si="194"/>
        <v>0</v>
      </c>
      <c r="S426" s="307">
        <f t="shared" ca="1" si="195"/>
        <v>2.0842999999999985</v>
      </c>
      <c r="T426" s="304">
        <f t="shared" ca="1" si="175"/>
        <v>20.446982999999985</v>
      </c>
      <c r="U426" s="311">
        <f t="shared" ca="1" si="176"/>
        <v>0</v>
      </c>
      <c r="V426" s="306">
        <f t="shared" ca="1" si="177"/>
        <v>1.0138676537497207</v>
      </c>
      <c r="W426" s="304">
        <f t="shared" ca="1" si="178"/>
        <v>7.2768403699296416</v>
      </c>
      <c r="Y426" s="314" t="str">
        <f t="shared" ca="1" si="196"/>
        <v/>
      </c>
      <c r="Z426" s="315" t="str">
        <f t="shared" ca="1" si="197"/>
        <v/>
      </c>
      <c r="AA426" s="316" t="str">
        <f t="shared" ca="1" si="198"/>
        <v/>
      </c>
      <c r="AC426" s="310" t="e">
        <f t="shared" ca="1" si="199"/>
        <v>#N/A</v>
      </c>
      <c r="AD426" s="323" t="e">
        <f t="shared" ca="1" si="200"/>
        <v>#N/A</v>
      </c>
      <c r="AE426" s="324" t="e">
        <f t="shared" ca="1" si="179"/>
        <v>#N/A</v>
      </c>
      <c r="AG426" s="306">
        <f t="shared" ca="1" si="201"/>
        <v>6.2544658823245802</v>
      </c>
      <c r="AH426" s="304">
        <f t="shared" ca="1" si="202"/>
        <v>-3.4345411595308244</v>
      </c>
    </row>
    <row r="427" spans="1:34" x14ac:dyDescent="0.25">
      <c r="A427" s="347">
        <f t="shared" ca="1" si="180"/>
        <v>0.1</v>
      </c>
      <c r="B427" s="304">
        <f t="shared" ca="1" si="181"/>
        <v>30.000000000000128</v>
      </c>
      <c r="D427" s="306">
        <f t="shared" ca="1" si="182"/>
        <v>-0.54006762994468061</v>
      </c>
      <c r="E427" s="307">
        <f t="shared" ca="1" si="183"/>
        <v>-6.3607613445781066</v>
      </c>
      <c r="F427" s="304">
        <f t="shared" ca="1" si="184"/>
        <v>6.3836476976406793</v>
      </c>
      <c r="G427" s="306">
        <f t="shared" ca="1" si="185"/>
        <v>12.417331617936044</v>
      </c>
      <c r="H427" s="307">
        <f t="shared" ca="1" si="186"/>
        <v>-80.286512567314247</v>
      </c>
      <c r="I427" s="304">
        <f t="shared" ca="1" si="187"/>
        <v>81.241087047942088</v>
      </c>
      <c r="J427" s="306">
        <f t="shared" ca="1" si="188"/>
        <v>543.37621442203249</v>
      </c>
      <c r="K427" s="307">
        <f t="shared" ca="1" si="189"/>
        <v>1878.0668142109998</v>
      </c>
      <c r="L427" s="304">
        <f t="shared" ca="1" si="174"/>
        <v>1955.0940307413025</v>
      </c>
      <c r="M427" s="306">
        <f t="shared" ca="1" si="190"/>
        <v>-1.4173493957803083</v>
      </c>
      <c r="N427" s="304">
        <f t="shared" ca="1" si="191"/>
        <v>-81.208138473628992</v>
      </c>
      <c r="P427" s="310">
        <f t="shared" ca="1" si="192"/>
        <v>23</v>
      </c>
      <c r="Q427" s="304">
        <f t="shared" ca="1" si="193"/>
        <v>0</v>
      </c>
      <c r="R427" s="306">
        <f t="shared" ca="1" si="194"/>
        <v>0</v>
      </c>
      <c r="S427" s="307">
        <f t="shared" ca="1" si="195"/>
        <v>2.0842999999999985</v>
      </c>
      <c r="T427" s="304">
        <f t="shared" ca="1" si="175"/>
        <v>20.446982999999985</v>
      </c>
      <c r="U427" s="311">
        <f t="shared" ca="1" si="176"/>
        <v>0</v>
      </c>
      <c r="V427" s="306">
        <f t="shared" ca="1" si="177"/>
        <v>1.0146860022464061</v>
      </c>
      <c r="W427" s="304">
        <f t="shared" ca="1" si="178"/>
        <v>7.3951950298959916</v>
      </c>
      <c r="Y427" s="314" t="str">
        <f t="shared" ca="1" si="196"/>
        <v/>
      </c>
      <c r="Z427" s="315" t="str">
        <f t="shared" ca="1" si="197"/>
        <v/>
      </c>
      <c r="AA427" s="316" t="str">
        <f t="shared" ca="1" si="198"/>
        <v/>
      </c>
      <c r="AC427" s="310">
        <f t="shared" ca="1" si="199"/>
        <v>30.000000000000128</v>
      </c>
      <c r="AD427" s="323">
        <f t="shared" ca="1" si="200"/>
        <v>543.37621442203249</v>
      </c>
      <c r="AE427" s="324" t="e">
        <f t="shared" ca="1" si="179"/>
        <v>#N/A</v>
      </c>
      <c r="AG427" s="306">
        <f t="shared" ca="1" si="201"/>
        <v>6.2006523679726566</v>
      </c>
      <c r="AH427" s="304">
        <f t="shared" ca="1" si="202"/>
        <v>-3.4912634313340916</v>
      </c>
    </row>
    <row r="428" spans="1:34" x14ac:dyDescent="0.25">
      <c r="A428" s="347">
        <f t="shared" ca="1" si="180"/>
        <v>0.1</v>
      </c>
      <c r="B428" s="304">
        <f t="shared" ca="1" si="181"/>
        <v>30.100000000000129</v>
      </c>
      <c r="D428" s="306">
        <f t="shared" ca="1" si="182"/>
        <v>-0.54230293776664118</v>
      </c>
      <c r="E428" s="307">
        <f t="shared" ca="1" si="183"/>
        <v>-6.3036418734760469</v>
      </c>
      <c r="F428" s="304">
        <f t="shared" ca="1" si="184"/>
        <v>6.326926058154223</v>
      </c>
      <c r="G428" s="306">
        <f t="shared" ca="1" si="185"/>
        <v>12.363101324159381</v>
      </c>
      <c r="H428" s="307">
        <f t="shared" ca="1" si="186"/>
        <v>-80.916876754661857</v>
      </c>
      <c r="I428" s="304">
        <f t="shared" ca="1" si="187"/>
        <v>81.855892995437827</v>
      </c>
      <c r="J428" s="306">
        <f t="shared" ca="1" si="188"/>
        <v>544.61523606913727</v>
      </c>
      <c r="K428" s="307">
        <f t="shared" ca="1" si="189"/>
        <v>1870.006644744901</v>
      </c>
      <c r="L428" s="304">
        <f t="shared" ca="1" si="174"/>
        <v>1947.698797747928</v>
      </c>
      <c r="M428" s="306">
        <f t="shared" ca="1" si="190"/>
        <v>-1.4191811696235079</v>
      </c>
      <c r="N428" s="304">
        <f t="shared" ca="1" si="191"/>
        <v>-81.313091383866791</v>
      </c>
      <c r="P428" s="310">
        <f t="shared" ca="1" si="192"/>
        <v>23</v>
      </c>
      <c r="Q428" s="304">
        <f t="shared" ca="1" si="193"/>
        <v>0</v>
      </c>
      <c r="R428" s="306">
        <f t="shared" ca="1" si="194"/>
        <v>0</v>
      </c>
      <c r="S428" s="307">
        <f t="shared" ca="1" si="195"/>
        <v>2.0842999999999985</v>
      </c>
      <c r="T428" s="304">
        <f t="shared" ca="1" si="175"/>
        <v>20.446982999999985</v>
      </c>
      <c r="U428" s="311">
        <f t="shared" ca="1" si="176"/>
        <v>0</v>
      </c>
      <c r="V428" s="306">
        <f t="shared" ca="1" si="177"/>
        <v>1.0155114363224991</v>
      </c>
      <c r="W428" s="304">
        <f t="shared" ca="1" si="178"/>
        <v>7.5136546733947558</v>
      </c>
      <c r="Y428" s="314" t="str">
        <f t="shared" ca="1" si="196"/>
        <v/>
      </c>
      <c r="Z428" s="315" t="str">
        <f t="shared" ca="1" si="197"/>
        <v/>
      </c>
      <c r="AA428" s="316" t="str">
        <f t="shared" ca="1" si="198"/>
        <v/>
      </c>
      <c r="AC428" s="310" t="e">
        <f t="shared" ca="1" si="199"/>
        <v>#N/A</v>
      </c>
      <c r="AD428" s="323" t="e">
        <f t="shared" ca="1" si="200"/>
        <v>#N/A</v>
      </c>
      <c r="AE428" s="324" t="e">
        <f t="shared" ca="1" si="179"/>
        <v>#N/A</v>
      </c>
      <c r="AG428" s="306">
        <f t="shared" ca="1" si="201"/>
        <v>6.1466861809021429</v>
      </c>
      <c r="AH428" s="304">
        <f t="shared" ca="1" si="202"/>
        <v>-3.5480473203934162</v>
      </c>
    </row>
    <row r="429" spans="1:34" x14ac:dyDescent="0.25">
      <c r="A429" s="347">
        <f t="shared" ca="1" si="180"/>
        <v>0.1</v>
      </c>
      <c r="B429" s="304">
        <f t="shared" ca="1" si="181"/>
        <v>30.200000000000131</v>
      </c>
      <c r="D429" s="306">
        <f t="shared" ca="1" si="182"/>
        <v>-0.54446313614933506</v>
      </c>
      <c r="E429" s="307">
        <f t="shared" ca="1" si="183"/>
        <v>-6.246472101125649</v>
      </c>
      <c r="F429" s="304">
        <f t="shared" ca="1" si="184"/>
        <v>6.2701558048238839</v>
      </c>
      <c r="G429" s="306">
        <f t="shared" ca="1" si="185"/>
        <v>12.308655010544447</v>
      </c>
      <c r="H429" s="307">
        <f t="shared" ca="1" si="186"/>
        <v>-81.541523964774427</v>
      </c>
      <c r="I429" s="304">
        <f t="shared" ca="1" si="187"/>
        <v>82.465284324171719</v>
      </c>
      <c r="J429" s="306">
        <f t="shared" ca="1" si="188"/>
        <v>545.84882388587243</v>
      </c>
      <c r="K429" s="307">
        <f t="shared" ca="1" si="189"/>
        <v>1861.8837247089291</v>
      </c>
      <c r="L429" s="304">
        <f t="shared" ca="1" si="174"/>
        <v>1940.247907581293</v>
      </c>
      <c r="M429" s="306">
        <f t="shared" ca="1" si="190"/>
        <v>-1.4209778695838793</v>
      </c>
      <c r="N429" s="304">
        <f t="shared" ca="1" si="191"/>
        <v>-81.416034708647402</v>
      </c>
      <c r="P429" s="310">
        <f t="shared" ca="1" si="192"/>
        <v>23</v>
      </c>
      <c r="Q429" s="304">
        <f t="shared" ca="1" si="193"/>
        <v>0</v>
      </c>
      <c r="R429" s="306">
        <f t="shared" ca="1" si="194"/>
        <v>0</v>
      </c>
      <c r="S429" s="307">
        <f t="shared" ca="1" si="195"/>
        <v>2.0842999999999985</v>
      </c>
      <c r="T429" s="304">
        <f t="shared" ca="1" si="175"/>
        <v>20.446982999999985</v>
      </c>
      <c r="U429" s="311">
        <f t="shared" ca="1" si="176"/>
        <v>0</v>
      </c>
      <c r="V429" s="306">
        <f t="shared" ca="1" si="177"/>
        <v>1.0163439124012352</v>
      </c>
      <c r="W429" s="304">
        <f t="shared" ca="1" si="178"/>
        <v>7.6321961354248389</v>
      </c>
      <c r="Y429" s="314" t="str">
        <f t="shared" ca="1" si="196"/>
        <v/>
      </c>
      <c r="Z429" s="315" t="str">
        <f t="shared" ca="1" si="197"/>
        <v/>
      </c>
      <c r="AA429" s="316" t="str">
        <f t="shared" ca="1" si="198"/>
        <v/>
      </c>
      <c r="AC429" s="310" t="e">
        <f t="shared" ca="1" si="199"/>
        <v>#N/A</v>
      </c>
      <c r="AD429" s="323" t="e">
        <f t="shared" ca="1" si="200"/>
        <v>#N/A</v>
      </c>
      <c r="AE429" s="324" t="e">
        <f t="shared" ca="1" si="179"/>
        <v>#N/A</v>
      </c>
      <c r="AG429" s="306">
        <f t="shared" ca="1" si="201"/>
        <v>6.0925822440973096</v>
      </c>
      <c r="AH429" s="304">
        <f t="shared" ca="1" si="202"/>
        <v>-3.6048815781772112</v>
      </c>
    </row>
    <row r="430" spans="1:34" x14ac:dyDescent="0.25">
      <c r="A430" s="347">
        <f t="shared" ca="1" si="180"/>
        <v>0.1</v>
      </c>
      <c r="B430" s="304">
        <f t="shared" ca="1" si="181"/>
        <v>30.300000000000132</v>
      </c>
      <c r="D430" s="306">
        <f t="shared" ca="1" si="182"/>
        <v>-0.54654853267273162</v>
      </c>
      <c r="E430" s="307">
        <f t="shared" ca="1" si="183"/>
        <v>-6.1892631902781297</v>
      </c>
      <c r="F430" s="304">
        <f t="shared" ca="1" si="184"/>
        <v>6.2133480618019892</v>
      </c>
      <c r="G430" s="306">
        <f t="shared" ca="1" si="185"/>
        <v>12.254000157277174</v>
      </c>
      <c r="H430" s="307">
        <f t="shared" ca="1" si="186"/>
        <v>-82.160450283802234</v>
      </c>
      <c r="I430" s="304">
        <f t="shared" ca="1" si="187"/>
        <v>83.069248887248818</v>
      </c>
      <c r="J430" s="306">
        <f t="shared" ca="1" si="188"/>
        <v>547.07695664426353</v>
      </c>
      <c r="K430" s="307">
        <f t="shared" ca="1" si="189"/>
        <v>1853.6986259965004</v>
      </c>
      <c r="L430" s="304">
        <f t="shared" ca="1" si="174"/>
        <v>1932.7420398264385</v>
      </c>
      <c r="M430" s="306">
        <f t="shared" ca="1" si="190"/>
        <v>-1.4227405289270991</v>
      </c>
      <c r="N430" s="304">
        <f t="shared" ca="1" si="191"/>
        <v>-81.517027649733194</v>
      </c>
      <c r="P430" s="310">
        <f t="shared" ca="1" si="192"/>
        <v>23</v>
      </c>
      <c r="Q430" s="304">
        <f t="shared" ca="1" si="193"/>
        <v>0</v>
      </c>
      <c r="R430" s="306">
        <f t="shared" ca="1" si="194"/>
        <v>0</v>
      </c>
      <c r="S430" s="307">
        <f t="shared" ca="1" si="195"/>
        <v>2.0842999999999985</v>
      </c>
      <c r="T430" s="304">
        <f t="shared" ca="1" si="175"/>
        <v>20.446982999999985</v>
      </c>
      <c r="U430" s="311">
        <f t="shared" ca="1" si="176"/>
        <v>0</v>
      </c>
      <c r="V430" s="306">
        <f t="shared" ca="1" si="177"/>
        <v>1.0171833868300479</v>
      </c>
      <c r="W430" s="304">
        <f t="shared" ca="1" si="178"/>
        <v>7.750796537298986</v>
      </c>
      <c r="Y430" s="314" t="str">
        <f t="shared" ca="1" si="196"/>
        <v/>
      </c>
      <c r="Z430" s="315" t="str">
        <f t="shared" ca="1" si="197"/>
        <v/>
      </c>
      <c r="AA430" s="316" t="str">
        <f t="shared" ca="1" si="198"/>
        <v/>
      </c>
      <c r="AC430" s="310" t="e">
        <f t="shared" ca="1" si="199"/>
        <v>#N/A</v>
      </c>
      <c r="AD430" s="323" t="e">
        <f t="shared" ca="1" si="200"/>
        <v>#N/A</v>
      </c>
      <c r="AE430" s="324" t="e">
        <f t="shared" ca="1" si="179"/>
        <v>#N/A</v>
      </c>
      <c r="AG430" s="306">
        <f t="shared" ca="1" si="201"/>
        <v>6.0383551636311372</v>
      </c>
      <c r="AH430" s="304">
        <f t="shared" ca="1" si="202"/>
        <v>-3.6617550906418677</v>
      </c>
    </row>
    <row r="431" spans="1:34" x14ac:dyDescent="0.25">
      <c r="A431" s="347">
        <f t="shared" ca="1" si="180"/>
        <v>0.1</v>
      </c>
      <c r="B431" s="304">
        <f t="shared" ca="1" si="181"/>
        <v>30.400000000000134</v>
      </c>
      <c r="D431" s="306">
        <f t="shared" ca="1" si="182"/>
        <v>-0.54855945631386216</v>
      </c>
      <c r="E431" s="307">
        <f t="shared" ca="1" si="183"/>
        <v>-6.1320261661724054</v>
      </c>
      <c r="F431" s="304">
        <f t="shared" ca="1" si="184"/>
        <v>6.1565138170667995</v>
      </c>
      <c r="G431" s="306">
        <f t="shared" ca="1" si="185"/>
        <v>12.199144211645788</v>
      </c>
      <c r="H431" s="307">
        <f t="shared" ca="1" si="186"/>
        <v>-82.773652900419478</v>
      </c>
      <c r="I431" s="304">
        <f t="shared" ca="1" si="187"/>
        <v>83.667775959300201</v>
      </c>
      <c r="J431" s="306">
        <f t="shared" ca="1" si="188"/>
        <v>548.29961386270963</v>
      </c>
      <c r="K431" s="307">
        <f t="shared" ca="1" si="189"/>
        <v>1845.4519208372892</v>
      </c>
      <c r="L431" s="304">
        <f t="shared" ca="1" si="174"/>
        <v>1925.1818767804866</v>
      </c>
      <c r="M431" s="306">
        <f t="shared" ca="1" si="190"/>
        <v>-1.4244701405581024</v>
      </c>
      <c r="N431" s="304">
        <f t="shared" ca="1" si="191"/>
        <v>-81.616127096386421</v>
      </c>
      <c r="P431" s="310">
        <f t="shared" ca="1" si="192"/>
        <v>23</v>
      </c>
      <c r="Q431" s="304">
        <f t="shared" ca="1" si="193"/>
        <v>0</v>
      </c>
      <c r="R431" s="306">
        <f t="shared" ca="1" si="194"/>
        <v>0</v>
      </c>
      <c r="S431" s="307">
        <f t="shared" ca="1" si="195"/>
        <v>2.0842999999999985</v>
      </c>
      <c r="T431" s="304">
        <f t="shared" ca="1" si="175"/>
        <v>20.446982999999985</v>
      </c>
      <c r="U431" s="311">
        <f t="shared" ca="1" si="176"/>
        <v>0</v>
      </c>
      <c r="V431" s="306">
        <f t="shared" ca="1" si="177"/>
        <v>1.0180298158886492</v>
      </c>
      <c r="W431" s="304">
        <f t="shared" ca="1" si="178"/>
        <v>7.8694332923626344</v>
      </c>
      <c r="Y431" s="314" t="str">
        <f t="shared" ca="1" si="196"/>
        <v/>
      </c>
      <c r="Z431" s="315" t="str">
        <f t="shared" ca="1" si="197"/>
        <v/>
      </c>
      <c r="AA431" s="316" t="str">
        <f t="shared" ca="1" si="198"/>
        <v/>
      </c>
      <c r="AC431" s="310" t="e">
        <f t="shared" ca="1" si="199"/>
        <v>#N/A</v>
      </c>
      <c r="AD431" s="323" t="e">
        <f t="shared" ca="1" si="200"/>
        <v>#N/A</v>
      </c>
      <c r="AE431" s="324" t="e">
        <f t="shared" ca="1" si="179"/>
        <v>#N/A</v>
      </c>
      <c r="AG431" s="306">
        <f t="shared" ca="1" si="201"/>
        <v>5.9840192364751204</v>
      </c>
      <c r="AH431" s="304">
        <f t="shared" ca="1" si="202"/>
        <v>-3.7186568811106806</v>
      </c>
    </row>
    <row r="432" spans="1:34" x14ac:dyDescent="0.25">
      <c r="A432" s="347">
        <f t="shared" ca="1" si="180"/>
        <v>0.1</v>
      </c>
      <c r="B432" s="304">
        <f t="shared" ca="1" si="181"/>
        <v>30.500000000000135</v>
      </c>
      <c r="D432" s="306">
        <f t="shared" ca="1" si="182"/>
        <v>-0.55049625685224568</v>
      </c>
      <c r="E432" s="307">
        <f t="shared" ca="1" si="183"/>
        <v>-6.074771913740614</v>
      </c>
      <c r="F432" s="304">
        <f t="shared" ca="1" si="184"/>
        <v>6.0996639196582079</v>
      </c>
      <c r="G432" s="306">
        <f t="shared" ca="1" si="185"/>
        <v>12.144094585960563</v>
      </c>
      <c r="H432" s="307">
        <f t="shared" ca="1" si="186"/>
        <v>-83.381130091793537</v>
      </c>
      <c r="I432" s="304">
        <f t="shared" ca="1" si="187"/>
        <v>84.260856206766348</v>
      </c>
      <c r="J432" s="306">
        <f t="shared" ca="1" si="188"/>
        <v>549.5167758025899</v>
      </c>
      <c r="K432" s="307">
        <f t="shared" ca="1" si="189"/>
        <v>1837.1441816876786</v>
      </c>
      <c r="L432" s="304">
        <f t="shared" ca="1" si="174"/>
        <v>1917.5681034052909</v>
      </c>
      <c r="M432" s="306">
        <f t="shared" ca="1" si="190"/>
        <v>-1.4261676589510055</v>
      </c>
      <c r="N432" s="304">
        <f t="shared" ca="1" si="191"/>
        <v>-81.713387735945602</v>
      </c>
      <c r="P432" s="310">
        <f t="shared" ca="1" si="192"/>
        <v>23</v>
      </c>
      <c r="Q432" s="304">
        <f t="shared" ca="1" si="193"/>
        <v>0</v>
      </c>
      <c r="R432" s="306">
        <f t="shared" ca="1" si="194"/>
        <v>0</v>
      </c>
      <c r="S432" s="307">
        <f t="shared" ca="1" si="195"/>
        <v>2.0842999999999985</v>
      </c>
      <c r="T432" s="304">
        <f t="shared" ca="1" si="175"/>
        <v>20.446982999999985</v>
      </c>
      <c r="U432" s="311">
        <f t="shared" ca="1" si="176"/>
        <v>0</v>
      </c>
      <c r="V432" s="306">
        <f t="shared" ca="1" si="177"/>
        <v>1.0188831557970255</v>
      </c>
      <c r="W432" s="304">
        <f t="shared" ca="1" si="178"/>
        <v>7.9880841114320704</v>
      </c>
      <c r="Y432" s="314" t="str">
        <f t="shared" ca="1" si="196"/>
        <v/>
      </c>
      <c r="Z432" s="315" t="str">
        <f t="shared" ca="1" si="197"/>
        <v/>
      </c>
      <c r="AA432" s="316" t="str">
        <f t="shared" ca="1" si="198"/>
        <v/>
      </c>
      <c r="AC432" s="310" t="e">
        <f t="shared" ca="1" si="199"/>
        <v>#N/A</v>
      </c>
      <c r="AD432" s="323" t="e">
        <f t="shared" ca="1" si="200"/>
        <v>#N/A</v>
      </c>
      <c r="AE432" s="324" t="e">
        <f t="shared" ca="1" si="179"/>
        <v>#N/A</v>
      </c>
      <c r="AG432" s="306">
        <f t="shared" ca="1" si="201"/>
        <v>5.9295884577259921</v>
      </c>
      <c r="AH432" s="304">
        <f t="shared" ca="1" si="202"/>
        <v>-3.7755761130176273</v>
      </c>
    </row>
    <row r="433" spans="1:34" x14ac:dyDescent="0.25">
      <c r="A433" s="347">
        <f t="shared" ca="1" si="180"/>
        <v>0.1</v>
      </c>
      <c r="B433" s="304">
        <f t="shared" ca="1" si="181"/>
        <v>30.600000000000136</v>
      </c>
      <c r="D433" s="306">
        <f t="shared" ca="1" si="182"/>
        <v>-0.55235930428006175</v>
      </c>
      <c r="E433" s="307">
        <f t="shared" ca="1" si="183"/>
        <v>-6.0175111749514212</v>
      </c>
      <c r="F433" s="304">
        <f t="shared" ca="1" si="184"/>
        <v>6.042809077051003</v>
      </c>
      <c r="G433" s="306">
        <f t="shared" ca="1" si="185"/>
        <v>12.088858655532556</v>
      </c>
      <c r="H433" s="307">
        <f t="shared" ca="1" si="186"/>
        <v>-83.982881209288678</v>
      </c>
      <c r="I433" s="304">
        <f t="shared" ca="1" si="187"/>
        <v>84.848481658818969</v>
      </c>
      <c r="J433" s="306">
        <f t="shared" ca="1" si="188"/>
        <v>550.72842346466462</v>
      </c>
      <c r="K433" s="307">
        <f t="shared" ca="1" si="189"/>
        <v>1828.7759811226244</v>
      </c>
      <c r="L433" s="304">
        <f t="shared" ca="1" si="174"/>
        <v>1909.9014072833427</v>
      </c>
      <c r="M433" s="306">
        <f t="shared" ca="1" si="190"/>
        <v>-1.4278340019704596</v>
      </c>
      <c r="N433" s="304">
        <f t="shared" ca="1" si="191"/>
        <v>-81.808862158181412</v>
      </c>
      <c r="P433" s="310">
        <f t="shared" ca="1" si="192"/>
        <v>23</v>
      </c>
      <c r="Q433" s="304">
        <f t="shared" ca="1" si="193"/>
        <v>0</v>
      </c>
      <c r="R433" s="306">
        <f t="shared" ca="1" si="194"/>
        <v>0</v>
      </c>
      <c r="S433" s="307">
        <f t="shared" ca="1" si="195"/>
        <v>2.0842999999999985</v>
      </c>
      <c r="T433" s="304">
        <f t="shared" ca="1" si="175"/>
        <v>20.446982999999985</v>
      </c>
      <c r="U433" s="311">
        <f t="shared" ca="1" si="176"/>
        <v>0</v>
      </c>
      <c r="V433" s="306">
        <f t="shared" ca="1" si="177"/>
        <v>1.019743362723355</v>
      </c>
      <c r="W433" s="304">
        <f t="shared" ca="1" si="178"/>
        <v>8.1067270079531859</v>
      </c>
      <c r="Y433" s="314" t="str">
        <f t="shared" ca="1" si="196"/>
        <v/>
      </c>
      <c r="Z433" s="315" t="str">
        <f t="shared" ca="1" si="197"/>
        <v/>
      </c>
      <c r="AA433" s="316" t="str">
        <f t="shared" ca="1" si="198"/>
        <v/>
      </c>
      <c r="AC433" s="310" t="e">
        <f t="shared" ca="1" si="199"/>
        <v>#N/A</v>
      </c>
      <c r="AD433" s="323" t="e">
        <f t="shared" ca="1" si="200"/>
        <v>#N/A</v>
      </c>
      <c r="AE433" s="324" t="e">
        <f t="shared" ca="1" si="179"/>
        <v>#N/A</v>
      </c>
      <c r="AG433" s="306">
        <f t="shared" ca="1" si="201"/>
        <v>5.8750765273030829</v>
      </c>
      <c r="AH433" s="304">
        <f t="shared" ca="1" si="202"/>
        <v>-3.832502092516469</v>
      </c>
    </row>
    <row r="434" spans="1:34" x14ac:dyDescent="0.25">
      <c r="A434" s="347">
        <f t="shared" ca="1" si="180"/>
        <v>0.1</v>
      </c>
      <c r="B434" s="304">
        <f t="shared" ca="1" si="181"/>
        <v>30.700000000000138</v>
      </c>
      <c r="D434" s="306">
        <f t="shared" ca="1" si="182"/>
        <v>-0.55414898821699199</v>
      </c>
      <c r="E434" s="307">
        <f t="shared" ca="1" si="183"/>
        <v>-5.9602545462903391</v>
      </c>
      <c r="F434" s="304">
        <f t="shared" ca="1" si="184"/>
        <v>5.9859598526649487</v>
      </c>
      <c r="G434" s="306">
        <f t="shared" ca="1" si="185"/>
        <v>12.033443756710858</v>
      </c>
      <c r="H434" s="307">
        <f t="shared" ca="1" si="186"/>
        <v>-84.578906663917707</v>
      </c>
      <c r="I434" s="304">
        <f t="shared" ca="1" si="187"/>
        <v>85.430645678875834</v>
      </c>
      <c r="J434" s="306">
        <f t="shared" ca="1" si="188"/>
        <v>551.93453858527675</v>
      </c>
      <c r="K434" s="307">
        <f t="shared" ca="1" si="189"/>
        <v>1820.3478917289642</v>
      </c>
      <c r="L434" s="304">
        <f t="shared" ca="1" si="174"/>
        <v>1902.1824785770232</v>
      </c>
      <c r="M434" s="306">
        <f t="shared" ca="1" si="190"/>
        <v>-1.4294700525914219</v>
      </c>
      <c r="N434" s="304">
        <f t="shared" ca="1" si="191"/>
        <v>-81.902600953832305</v>
      </c>
      <c r="P434" s="310">
        <f t="shared" ca="1" si="192"/>
        <v>23</v>
      </c>
      <c r="Q434" s="304">
        <f t="shared" ca="1" si="193"/>
        <v>0</v>
      </c>
      <c r="R434" s="306">
        <f t="shared" ca="1" si="194"/>
        <v>0</v>
      </c>
      <c r="S434" s="307">
        <f t="shared" ca="1" si="195"/>
        <v>2.0842999999999985</v>
      </c>
      <c r="T434" s="304">
        <f t="shared" ca="1" si="175"/>
        <v>20.446982999999985</v>
      </c>
      <c r="U434" s="311">
        <f t="shared" ca="1" si="176"/>
        <v>0</v>
      </c>
      <c r="V434" s="306">
        <f t="shared" ca="1" si="177"/>
        <v>1.0206103927918364</v>
      </c>
      <c r="W434" s="304">
        <f t="shared" ca="1" si="178"/>
        <v>8.2253403028824295</v>
      </c>
      <c r="Y434" s="314" t="str">
        <f t="shared" ca="1" si="196"/>
        <v/>
      </c>
      <c r="Z434" s="315" t="str">
        <f t="shared" ca="1" si="197"/>
        <v/>
      </c>
      <c r="AA434" s="316" t="str">
        <f t="shared" ca="1" si="198"/>
        <v/>
      </c>
      <c r="AC434" s="310" t="e">
        <f t="shared" ca="1" si="199"/>
        <v>#N/A</v>
      </c>
      <c r="AD434" s="323" t="e">
        <f t="shared" ca="1" si="200"/>
        <v>#N/A</v>
      </c>
      <c r="AE434" s="324" t="e">
        <f t="shared" ca="1" si="179"/>
        <v>#N/A</v>
      </c>
      <c r="AG434" s="306">
        <f t="shared" ca="1" si="201"/>
        <v>5.8204968561653914</v>
      </c>
      <c r="AH434" s="304">
        <f t="shared" ca="1" si="202"/>
        <v>-3.8894242709558084</v>
      </c>
    </row>
    <row r="435" spans="1:34" x14ac:dyDescent="0.25">
      <c r="A435" s="347">
        <f t="shared" ca="1" si="180"/>
        <v>0.1</v>
      </c>
      <c r="B435" s="304">
        <f t="shared" ca="1" si="181"/>
        <v>30.800000000000139</v>
      </c>
      <c r="D435" s="306">
        <f t="shared" ca="1" si="182"/>
        <v>-0.55586571732968593</v>
      </c>
      <c r="E435" s="307">
        <f t="shared" ca="1" si="183"/>
        <v>-5.9030124763761052</v>
      </c>
      <c r="F435" s="304">
        <f t="shared" ca="1" si="184"/>
        <v>5.9291266635107736</v>
      </c>
      <c r="G435" s="306">
        <f t="shared" ca="1" si="185"/>
        <v>11.977857184977889</v>
      </c>
      <c r="H435" s="307">
        <f t="shared" ca="1" si="186"/>
        <v>-85.169207911555318</v>
      </c>
      <c r="I435" s="304">
        <f t="shared" ca="1" si="187"/>
        <v>86.007342936667115</v>
      </c>
      <c r="J435" s="306">
        <f t="shared" ca="1" si="188"/>
        <v>553.13510363236117</v>
      </c>
      <c r="K435" s="307">
        <f t="shared" ca="1" si="189"/>
        <v>1811.8604860001906</v>
      </c>
      <c r="L435" s="304">
        <f t="shared" ca="1" si="174"/>
        <v>1894.4120099912875</v>
      </c>
      <c r="M435" s="306">
        <f t="shared" ca="1" si="190"/>
        <v>-1.4310766605238314</v>
      </c>
      <c r="N435" s="304">
        <f t="shared" ca="1" si="191"/>
        <v>-81.994652807691608</v>
      </c>
      <c r="P435" s="310">
        <f t="shared" ca="1" si="192"/>
        <v>23</v>
      </c>
      <c r="Q435" s="304">
        <f t="shared" ca="1" si="193"/>
        <v>0</v>
      </c>
      <c r="R435" s="306">
        <f t="shared" ca="1" si="194"/>
        <v>0</v>
      </c>
      <c r="S435" s="307">
        <f t="shared" ca="1" si="195"/>
        <v>2.0842999999999985</v>
      </c>
      <c r="T435" s="304">
        <f t="shared" ca="1" si="175"/>
        <v>20.446982999999985</v>
      </c>
      <c r="U435" s="311">
        <f t="shared" ca="1" si="176"/>
        <v>0</v>
      </c>
      <c r="V435" s="306">
        <f t="shared" ca="1" si="177"/>
        <v>1.0214842020904338</v>
      </c>
      <c r="W435" s="304">
        <f t="shared" ca="1" si="178"/>
        <v>8.3439026292917546</v>
      </c>
      <c r="Y435" s="314" t="str">
        <f t="shared" ca="1" si="196"/>
        <v/>
      </c>
      <c r="Z435" s="315" t="str">
        <f t="shared" ca="1" si="197"/>
        <v/>
      </c>
      <c r="AA435" s="316" t="str">
        <f t="shared" ca="1" si="198"/>
        <v/>
      </c>
      <c r="AC435" s="310" t="e">
        <f t="shared" ca="1" si="199"/>
        <v>#N/A</v>
      </c>
      <c r="AD435" s="323" t="e">
        <f t="shared" ca="1" si="200"/>
        <v>#N/A</v>
      </c>
      <c r="AE435" s="324" t="e">
        <f t="shared" ca="1" si="179"/>
        <v>#N/A</v>
      </c>
      <c r="AG435" s="306">
        <f t="shared" ca="1" si="201"/>
        <v>5.765862572093198</v>
      </c>
      <c r="AH435" s="304">
        <f t="shared" ca="1" si="202"/>
        <v>-3.9463322472208584</v>
      </c>
    </row>
    <row r="436" spans="1:34" x14ac:dyDescent="0.25">
      <c r="A436" s="347">
        <f t="shared" ca="1" si="180"/>
        <v>0.1</v>
      </c>
      <c r="B436" s="304">
        <f t="shared" ca="1" si="181"/>
        <v>30.900000000000141</v>
      </c>
      <c r="D436" s="306">
        <f t="shared" ca="1" si="182"/>
        <v>-0.55750991875582911</v>
      </c>
      <c r="E436" s="307">
        <f t="shared" ca="1" si="183"/>
        <v>-5.8457952637120876</v>
      </c>
      <c r="F436" s="304">
        <f t="shared" ca="1" si="184"/>
        <v>5.872319777971037</v>
      </c>
      <c r="G436" s="306">
        <f t="shared" ca="1" si="185"/>
        <v>11.922106193102307</v>
      </c>
      <c r="H436" s="307">
        <f t="shared" ca="1" si="186"/>
        <v>-85.753787437926533</v>
      </c>
      <c r="I436" s="304">
        <f t="shared" ca="1" si="187"/>
        <v>86.578569380815566</v>
      </c>
      <c r="J436" s="306">
        <f t="shared" ca="1" si="188"/>
        <v>554.33010180126519</v>
      </c>
      <c r="K436" s="307">
        <f t="shared" ca="1" si="189"/>
        <v>1803.3143362327164</v>
      </c>
      <c r="L436" s="304">
        <f t="shared" ca="1" si="174"/>
        <v>1886.5906967398741</v>
      </c>
      <c r="M436" s="306">
        <f t="shared" ca="1" si="190"/>
        <v>-1.4326546437482102</v>
      </c>
      <c r="N436" s="304">
        <f t="shared" ca="1" si="191"/>
        <v>-82.08506458659096</v>
      </c>
      <c r="P436" s="310">
        <f t="shared" ca="1" si="192"/>
        <v>23</v>
      </c>
      <c r="Q436" s="304">
        <f t="shared" ca="1" si="193"/>
        <v>0</v>
      </c>
      <c r="R436" s="306">
        <f t="shared" ca="1" si="194"/>
        <v>0</v>
      </c>
      <c r="S436" s="307">
        <f t="shared" ca="1" si="195"/>
        <v>2.0842999999999985</v>
      </c>
      <c r="T436" s="304">
        <f t="shared" ca="1" si="175"/>
        <v>20.446982999999985</v>
      </c>
      <c r="U436" s="311">
        <f t="shared" ca="1" si="176"/>
        <v>0</v>
      </c>
      <c r="V436" s="306">
        <f t="shared" ca="1" si="177"/>
        <v>1.0223647466785299</v>
      </c>
      <c r="W436" s="304">
        <f t="shared" ca="1" si="178"/>
        <v>8.4623929366995689</v>
      </c>
      <c r="Y436" s="314" t="str">
        <f t="shared" ca="1" si="196"/>
        <v/>
      </c>
      <c r="Z436" s="315" t="str">
        <f t="shared" ca="1" si="197"/>
        <v/>
      </c>
      <c r="AA436" s="316" t="str">
        <f t="shared" ca="1" si="198"/>
        <v/>
      </c>
      <c r="AC436" s="310" t="e">
        <f t="shared" ca="1" si="199"/>
        <v>#N/A</v>
      </c>
      <c r="AD436" s="323" t="e">
        <f t="shared" ca="1" si="200"/>
        <v>#N/A</v>
      </c>
      <c r="AE436" s="324" t="e">
        <f t="shared" ca="1" si="179"/>
        <v>#N/A</v>
      </c>
      <c r="AG436" s="306">
        <f t="shared" ca="1" si="201"/>
        <v>5.7111865250751901</v>
      </c>
      <c r="AH436" s="304">
        <f t="shared" ca="1" si="202"/>
        <v>-4.0032157699427913</v>
      </c>
    </row>
    <row r="437" spans="1:34" x14ac:dyDescent="0.25">
      <c r="A437" s="347">
        <f t="shared" ca="1" si="180"/>
        <v>0.1</v>
      </c>
      <c r="B437" s="304">
        <f t="shared" ca="1" si="181"/>
        <v>31.000000000000142</v>
      </c>
      <c r="D437" s="306">
        <f t="shared" ca="1" si="182"/>
        <v>-0.55908203753281893</v>
      </c>
      <c r="E437" s="307">
        <f t="shared" ca="1" si="183"/>
        <v>-5.7886130545716421</v>
      </c>
      <c r="F437" s="304">
        <f t="shared" ca="1" si="184"/>
        <v>5.8155493137148344</v>
      </c>
      <c r="G437" s="306">
        <f t="shared" ca="1" si="185"/>
        <v>11.866197989349025</v>
      </c>
      <c r="H437" s="307">
        <f t="shared" ca="1" si="186"/>
        <v>-86.3326487433837</v>
      </c>
      <c r="I437" s="304">
        <f t="shared" ca="1" si="187"/>
        <v>87.144322211896863</v>
      </c>
      <c r="J437" s="306">
        <f t="shared" ca="1" si="188"/>
        <v>555.51951701038774</v>
      </c>
      <c r="K437" s="307">
        <f t="shared" ca="1" si="189"/>
        <v>1794.7100144236508</v>
      </c>
      <c r="L437" s="304">
        <f t="shared" ca="1" si="174"/>
        <v>1878.7192365151307</v>
      </c>
      <c r="M437" s="306">
        <f t="shared" ca="1" si="190"/>
        <v>-1.4342047899677841</v>
      </c>
      <c r="N437" s="304">
        <f t="shared" ca="1" si="191"/>
        <v>-82.173881422600701</v>
      </c>
      <c r="P437" s="310">
        <f t="shared" ca="1" si="192"/>
        <v>23</v>
      </c>
      <c r="Q437" s="304">
        <f t="shared" ca="1" si="193"/>
        <v>0</v>
      </c>
      <c r="R437" s="306">
        <f t="shared" ca="1" si="194"/>
        <v>0</v>
      </c>
      <c r="S437" s="307">
        <f t="shared" ca="1" si="195"/>
        <v>2.0842999999999985</v>
      </c>
      <c r="T437" s="304">
        <f t="shared" ca="1" si="175"/>
        <v>20.446982999999985</v>
      </c>
      <c r="U437" s="311">
        <f t="shared" ca="1" si="176"/>
        <v>0</v>
      </c>
      <c r="V437" s="306">
        <f t="shared" ca="1" si="177"/>
        <v>1.0232519825944919</v>
      </c>
      <c r="W437" s="304">
        <f t="shared" ca="1" si="178"/>
        <v>8.5807904951300245</v>
      </c>
      <c r="Y437" s="314" t="str">
        <f t="shared" ca="1" si="196"/>
        <v/>
      </c>
      <c r="Z437" s="315" t="str">
        <f t="shared" ca="1" si="197"/>
        <v/>
      </c>
      <c r="AA437" s="316" t="str">
        <f t="shared" ca="1" si="198"/>
        <v/>
      </c>
      <c r="AC437" s="310">
        <f t="shared" ca="1" si="199"/>
        <v>31.000000000000142</v>
      </c>
      <c r="AD437" s="323">
        <f t="shared" ca="1" si="200"/>
        <v>555.51951701038774</v>
      </c>
      <c r="AE437" s="324" t="e">
        <f t="shared" ca="1" si="179"/>
        <v>#N/A</v>
      </c>
      <c r="AG437" s="306">
        <f t="shared" ca="1" si="201"/>
        <v>5.6564812923385785</v>
      </c>
      <c r="AH437" s="304">
        <f t="shared" ca="1" si="202"/>
        <v>-4.0600647395766325</v>
      </c>
    </row>
    <row r="438" spans="1:34" x14ac:dyDescent="0.25">
      <c r="A438" s="347">
        <f t="shared" ca="1" si="180"/>
        <v>0.1</v>
      </c>
      <c r="B438" s="304">
        <f t="shared" ca="1" si="181"/>
        <v>31.100000000000144</v>
      </c>
      <c r="D438" s="306">
        <f t="shared" ca="1" si="182"/>
        <v>-0.56058253603107178</v>
      </c>
      <c r="E438" s="307">
        <f t="shared" ca="1" si="183"/>
        <v>-5.7314758410161373</v>
      </c>
      <c r="F438" s="304">
        <f t="shared" ca="1" si="184"/>
        <v>5.7588252357451051</v>
      </c>
      <c r="G438" s="306">
        <f t="shared" ca="1" si="185"/>
        <v>11.810139735745919</v>
      </c>
      <c r="H438" s="307">
        <f t="shared" ca="1" si="186"/>
        <v>-86.905796327485319</v>
      </c>
      <c r="I438" s="304">
        <f t="shared" ca="1" si="187"/>
        <v>87.704599855949439</v>
      </c>
      <c r="J438" s="306">
        <f t="shared" ca="1" si="188"/>
        <v>556.70333389664245</v>
      </c>
      <c r="K438" s="307">
        <f t="shared" ca="1" si="189"/>
        <v>1786.0480921701073</v>
      </c>
      <c r="L438" s="304">
        <f t="shared" ca="1" si="174"/>
        <v>1870.7983294615474</v>
      </c>
      <c r="M438" s="306">
        <f t="shared" ca="1" si="190"/>
        <v>-1.4357278579823212</v>
      </c>
      <c r="N438" s="304">
        <f t="shared" ca="1" si="191"/>
        <v>-82.261146791745048</v>
      </c>
      <c r="P438" s="310">
        <f t="shared" ca="1" si="192"/>
        <v>23</v>
      </c>
      <c r="Q438" s="304">
        <f t="shared" ca="1" si="193"/>
        <v>0</v>
      </c>
      <c r="R438" s="306">
        <f t="shared" ca="1" si="194"/>
        <v>0</v>
      </c>
      <c r="S438" s="307">
        <f t="shared" ca="1" si="195"/>
        <v>2.0842999999999985</v>
      </c>
      <c r="T438" s="304">
        <f t="shared" ca="1" si="175"/>
        <v>20.446982999999985</v>
      </c>
      <c r="U438" s="311">
        <f t="shared" ca="1" si="176"/>
        <v>0</v>
      </c>
      <c r="V438" s="306">
        <f t="shared" ca="1" si="177"/>
        <v>1.0241458658631424</v>
      </c>
      <c r="W438" s="304">
        <f t="shared" ca="1" si="178"/>
        <v>8.6990748989031026</v>
      </c>
      <c r="Y438" s="314" t="str">
        <f t="shared" ca="1" si="196"/>
        <v/>
      </c>
      <c r="Z438" s="315" t="str">
        <f t="shared" ca="1" si="197"/>
        <v/>
      </c>
      <c r="AA438" s="316" t="str">
        <f t="shared" ca="1" si="198"/>
        <v/>
      </c>
      <c r="AC438" s="310" t="e">
        <f t="shared" ca="1" si="199"/>
        <v>#N/A</v>
      </c>
      <c r="AD438" s="323" t="e">
        <f t="shared" ca="1" si="200"/>
        <v>#N/A</v>
      </c>
      <c r="AE438" s="324" t="e">
        <f t="shared" ca="1" si="179"/>
        <v>#N/A</v>
      </c>
      <c r="AG438" s="306">
        <f t="shared" ca="1" si="201"/>
        <v>5.6017591830564077</v>
      </c>
      <c r="AH438" s="304">
        <f t="shared" ca="1" si="202"/>
        <v>-4.1168692103488125</v>
      </c>
    </row>
    <row r="439" spans="1:34" x14ac:dyDescent="0.25">
      <c r="A439" s="347">
        <f t="shared" ca="1" si="180"/>
        <v>0.1</v>
      </c>
      <c r="B439" s="304">
        <f t="shared" ca="1" si="181"/>
        <v>31.200000000000145</v>
      </c>
      <c r="D439" s="306">
        <f t="shared" ca="1" si="182"/>
        <v>-0.56201189339201774</v>
      </c>
      <c r="E439" s="307">
        <f t="shared" ca="1" si="183"/>
        <v>-5.6743934590443503</v>
      </c>
      <c r="F439" s="304">
        <f t="shared" ca="1" si="184"/>
        <v>5.7021573545772464</v>
      </c>
      <c r="G439" s="306">
        <f t="shared" ca="1" si="185"/>
        <v>11.753938546406717</v>
      </c>
      <c r="H439" s="307">
        <f t="shared" ca="1" si="186"/>
        <v>-87.473235673389752</v>
      </c>
      <c r="I439" s="304">
        <f t="shared" ca="1" si="187"/>
        <v>88.259401938405929</v>
      </c>
      <c r="J439" s="306">
        <f t="shared" ca="1" si="188"/>
        <v>557.88153781075005</v>
      </c>
      <c r="K439" s="307">
        <f t="shared" ca="1" si="189"/>
        <v>1777.3291405700636</v>
      </c>
      <c r="L439" s="304">
        <f t="shared" ca="1" si="174"/>
        <v>1862.8286781530953</v>
      </c>
      <c r="M439" s="306">
        <f t="shared" ca="1" si="190"/>
        <v>-1.4372245789885265</v>
      </c>
      <c r="N439" s="304">
        <f t="shared" ca="1" si="191"/>
        <v>-82.346902588509181</v>
      </c>
      <c r="P439" s="310">
        <f t="shared" ca="1" si="192"/>
        <v>23</v>
      </c>
      <c r="Q439" s="304">
        <f t="shared" ca="1" si="193"/>
        <v>0</v>
      </c>
      <c r="R439" s="306">
        <f t="shared" ca="1" si="194"/>
        <v>0</v>
      </c>
      <c r="S439" s="307">
        <f t="shared" ca="1" si="195"/>
        <v>2.0842999999999985</v>
      </c>
      <c r="T439" s="304">
        <f t="shared" ca="1" si="175"/>
        <v>20.446982999999985</v>
      </c>
      <c r="U439" s="311">
        <f t="shared" ca="1" si="176"/>
        <v>0</v>
      </c>
      <c r="V439" s="306">
        <f t="shared" ca="1" si="177"/>
        <v>1.0250463525031397</v>
      </c>
      <c r="W439" s="304">
        <f t="shared" ca="1" si="178"/>
        <v>8.8172260701582168</v>
      </c>
      <c r="Y439" s="314" t="str">
        <f t="shared" ca="1" si="196"/>
        <v/>
      </c>
      <c r="Z439" s="315" t="str">
        <f t="shared" ca="1" si="197"/>
        <v/>
      </c>
      <c r="AA439" s="316" t="str">
        <f t="shared" ca="1" si="198"/>
        <v/>
      </c>
      <c r="AC439" s="310" t="e">
        <f t="shared" ca="1" si="199"/>
        <v>#N/A</v>
      </c>
      <c r="AD439" s="323" t="e">
        <f t="shared" ca="1" si="200"/>
        <v>#N/A</v>
      </c>
      <c r="AE439" s="324" t="e">
        <f t="shared" ca="1" si="179"/>
        <v>#N/A</v>
      </c>
      <c r="AG439" s="306">
        <f t="shared" ca="1" si="201"/>
        <v>5.5470322427633825</v>
      </c>
      <c r="AH439" s="304">
        <f t="shared" ca="1" si="202"/>
        <v>-4.1736193920755689</v>
      </c>
    </row>
    <row r="440" spans="1:34" x14ac:dyDescent="0.25">
      <c r="A440" s="347">
        <f t="shared" ca="1" si="180"/>
        <v>0.1</v>
      </c>
      <c r="B440" s="304">
        <f t="shared" ca="1" si="181"/>
        <v>31.300000000000146</v>
      </c>
      <c r="D440" s="306">
        <f t="shared" ca="1" si="182"/>
        <v>-0.56337060497082458</v>
      </c>
      <c r="E440" s="307">
        <f t="shared" ca="1" si="183"/>
        <v>-5.6173755868718267</v>
      </c>
      <c r="F440" s="304">
        <f t="shared" ca="1" si="184"/>
        <v>5.6455553245476917</v>
      </c>
      <c r="G440" s="306">
        <f t="shared" ca="1" si="185"/>
        <v>11.697601485909635</v>
      </c>
      <c r="H440" s="307">
        <f t="shared" ca="1" si="186"/>
        <v>-88.034973232076936</v>
      </c>
      <c r="I440" s="304">
        <f t="shared" ca="1" si="187"/>
        <v>88.808729258421764</v>
      </c>
      <c r="J440" s="306">
        <f t="shared" ca="1" si="188"/>
        <v>559.05411481236581</v>
      </c>
      <c r="K440" s="307">
        <f t="shared" ca="1" si="189"/>
        <v>1768.5537301247903</v>
      </c>
      <c r="L440" s="304">
        <f t="shared" ca="1" si="174"/>
        <v>1854.810987574461</v>
      </c>
      <c r="M440" s="306">
        <f t="shared" ca="1" si="190"/>
        <v>-1.4386956578114927</v>
      </c>
      <c r="N440" s="304">
        <f t="shared" ca="1" si="191"/>
        <v>-82.431189196396218</v>
      </c>
      <c r="P440" s="310">
        <f t="shared" ca="1" si="192"/>
        <v>23</v>
      </c>
      <c r="Q440" s="304">
        <f t="shared" ca="1" si="193"/>
        <v>0</v>
      </c>
      <c r="R440" s="306">
        <f t="shared" ca="1" si="194"/>
        <v>0</v>
      </c>
      <c r="S440" s="307">
        <f t="shared" ca="1" si="195"/>
        <v>2.0842999999999985</v>
      </c>
      <c r="T440" s="304">
        <f t="shared" ca="1" si="175"/>
        <v>20.446982999999985</v>
      </c>
      <c r="U440" s="311">
        <f t="shared" ca="1" si="176"/>
        <v>0</v>
      </c>
      <c r="V440" s="306">
        <f t="shared" ca="1" si="177"/>
        <v>1.0259533985342584</v>
      </c>
      <c r="W440" s="304">
        <f t="shared" ca="1" si="178"/>
        <v>8.9352242621142359</v>
      </c>
      <c r="Y440" s="314" t="str">
        <f t="shared" ca="1" si="196"/>
        <v/>
      </c>
      <c r="Z440" s="315" t="str">
        <f t="shared" ca="1" si="197"/>
        <v/>
      </c>
      <c r="AA440" s="316" t="str">
        <f t="shared" ca="1" si="198"/>
        <v/>
      </c>
      <c r="AC440" s="310" t="e">
        <f t="shared" ca="1" si="199"/>
        <v>#N/A</v>
      </c>
      <c r="AD440" s="323" t="e">
        <f t="shared" ca="1" si="200"/>
        <v>#N/A</v>
      </c>
      <c r="AE440" s="324" t="e">
        <f t="shared" ca="1" si="179"/>
        <v>#N/A</v>
      </c>
      <c r="AG440" s="306">
        <f t="shared" ca="1" si="201"/>
        <v>5.4923122575088401</v>
      </c>
      <c r="AH440" s="304">
        <f t="shared" ca="1" si="202"/>
        <v>-4.2303056518534872</v>
      </c>
    </row>
    <row r="441" spans="1:34" x14ac:dyDescent="0.25">
      <c r="A441" s="347">
        <f t="shared" ca="1" si="180"/>
        <v>0.1</v>
      </c>
      <c r="B441" s="304">
        <f t="shared" ca="1" si="181"/>
        <v>31.400000000000148</v>
      </c>
      <c r="D441" s="306">
        <f t="shared" ca="1" si="182"/>
        <v>-0.56465918178394148</v>
      </c>
      <c r="E441" s="307">
        <f t="shared" ca="1" si="183"/>
        <v>-5.5604317433386923</v>
      </c>
      <c r="F441" s="304">
        <f t="shared" ca="1" si="184"/>
        <v>5.5890286422509483</v>
      </c>
      <c r="G441" s="306">
        <f t="shared" ca="1" si="185"/>
        <v>11.64113556773124</v>
      </c>
      <c r="H441" s="307">
        <f t="shared" ca="1" si="186"/>
        <v>-88.591016406410802</v>
      </c>
      <c r="I441" s="304">
        <f t="shared" ca="1" si="187"/>
        <v>89.352583763578124</v>
      </c>
      <c r="J441" s="306">
        <f t="shared" ca="1" si="188"/>
        <v>560.22105166504787</v>
      </c>
      <c r="K441" s="307">
        <f t="shared" ca="1" si="189"/>
        <v>1759.7224306428659</v>
      </c>
      <c r="L441" s="304">
        <f t="shared" ca="1" si="174"/>
        <v>1846.7459651062807</v>
      </c>
      <c r="M441" s="306">
        <f t="shared" ca="1" si="190"/>
        <v>-1.4401417740713984</v>
      </c>
      <c r="N441" s="304">
        <f t="shared" ca="1" si="191"/>
        <v>-82.514045554774057</v>
      </c>
      <c r="P441" s="310">
        <f t="shared" ca="1" si="192"/>
        <v>23</v>
      </c>
      <c r="Q441" s="304">
        <f t="shared" ca="1" si="193"/>
        <v>0</v>
      </c>
      <c r="R441" s="306">
        <f t="shared" ca="1" si="194"/>
        <v>0</v>
      </c>
      <c r="S441" s="307">
        <f t="shared" ca="1" si="195"/>
        <v>2.0842999999999985</v>
      </c>
      <c r="T441" s="304">
        <f t="shared" ca="1" si="175"/>
        <v>20.446982999999985</v>
      </c>
      <c r="U441" s="311">
        <f t="shared" ca="1" si="176"/>
        <v>0</v>
      </c>
      <c r="V441" s="306">
        <f t="shared" ca="1" si="177"/>
        <v>1.026866959984579</v>
      </c>
      <c r="W441" s="304">
        <f t="shared" ca="1" si="178"/>
        <v>9.0530500620690564</v>
      </c>
      <c r="Y441" s="314" t="str">
        <f t="shared" ca="1" si="196"/>
        <v/>
      </c>
      <c r="Z441" s="315" t="str">
        <f t="shared" ca="1" si="197"/>
        <v/>
      </c>
      <c r="AA441" s="316" t="str">
        <f t="shared" ca="1" si="198"/>
        <v/>
      </c>
      <c r="AC441" s="310" t="e">
        <f t="shared" ca="1" si="199"/>
        <v>#N/A</v>
      </c>
      <c r="AD441" s="323" t="e">
        <f t="shared" ca="1" si="200"/>
        <v>#N/A</v>
      </c>
      <c r="AE441" s="324" t="e">
        <f t="shared" ca="1" si="179"/>
        <v>#N/A</v>
      </c>
      <c r="AG441" s="306">
        <f t="shared" ca="1" si="201"/>
        <v>5.4376107577730037</v>
      </c>
      <c r="AH441" s="304">
        <f t="shared" ca="1" si="202"/>
        <v>-4.2869185156235874</v>
      </c>
    </row>
    <row r="442" spans="1:34" x14ac:dyDescent="0.25">
      <c r="A442" s="347">
        <f t="shared" ca="1" si="180"/>
        <v>0.1</v>
      </c>
      <c r="B442" s="304">
        <f t="shared" ca="1" si="181"/>
        <v>31.500000000000149</v>
      </c>
      <c r="D442" s="306">
        <f t="shared" ca="1" si="182"/>
        <v>-0.56587814996153984</v>
      </c>
      <c r="E442" s="307">
        <f t="shared" ca="1" si="183"/>
        <v>-5.5035712864443118</v>
      </c>
      <c r="F442" s="304">
        <f t="shared" ca="1" si="184"/>
        <v>5.532586645103553</v>
      </c>
      <c r="G442" s="306">
        <f t="shared" ca="1" si="185"/>
        <v>11.584547752735086</v>
      </c>
      <c r="H442" s="307">
        <f t="shared" ca="1" si="186"/>
        <v>-89.141373535055237</v>
      </c>
      <c r="I442" s="304">
        <f t="shared" ca="1" si="187"/>
        <v>89.890968524939396</v>
      </c>
      <c r="J442" s="306">
        <f t="shared" ca="1" si="188"/>
        <v>561.38233583107115</v>
      </c>
      <c r="K442" s="307">
        <f t="shared" ca="1" si="189"/>
        <v>1750.8358111457926</v>
      </c>
      <c r="L442" s="304">
        <f t="shared" ca="1" si="174"/>
        <v>1838.6343205144667</v>
      </c>
      <c r="M442" s="306">
        <f t="shared" ca="1" si="190"/>
        <v>-1.4415635832893594</v>
      </c>
      <c r="N442" s="304">
        <f t="shared" ca="1" si="191"/>
        <v>-82.595509222236018</v>
      </c>
      <c r="P442" s="310">
        <f t="shared" ca="1" si="192"/>
        <v>23</v>
      </c>
      <c r="Q442" s="304">
        <f t="shared" ca="1" si="193"/>
        <v>0</v>
      </c>
      <c r="R442" s="306">
        <f t="shared" ca="1" si="194"/>
        <v>0</v>
      </c>
      <c r="S442" s="307">
        <f t="shared" ca="1" si="195"/>
        <v>2.0842999999999985</v>
      </c>
      <c r="T442" s="304">
        <f t="shared" ca="1" si="175"/>
        <v>20.446982999999985</v>
      </c>
      <c r="U442" s="311">
        <f t="shared" ca="1" si="176"/>
        <v>0</v>
      </c>
      <c r="V442" s="306">
        <f t="shared" ca="1" si="177"/>
        <v>1.0277869928975742</v>
      </c>
      <c r="W442" s="304">
        <f t="shared" ca="1" si="178"/>
        <v>9.1706843941419738</v>
      </c>
      <c r="Y442" s="314" t="str">
        <f t="shared" ca="1" si="196"/>
        <v/>
      </c>
      <c r="Z442" s="315" t="str">
        <f t="shared" ca="1" si="197"/>
        <v/>
      </c>
      <c r="AA442" s="316" t="str">
        <f t="shared" ca="1" si="198"/>
        <v/>
      </c>
      <c r="AC442" s="310" t="e">
        <f t="shared" ca="1" si="199"/>
        <v>#N/A</v>
      </c>
      <c r="AD442" s="323" t="e">
        <f t="shared" ca="1" si="200"/>
        <v>#N/A</v>
      </c>
      <c r="AE442" s="324" t="e">
        <f t="shared" ca="1" si="179"/>
        <v>#N/A</v>
      </c>
      <c r="AG442" s="306">
        <f t="shared" ca="1" si="201"/>
        <v>5.3829390221704685</v>
      </c>
      <c r="AH442" s="304">
        <f t="shared" ca="1" si="202"/>
        <v>-4.3434486696104511</v>
      </c>
    </row>
    <row r="443" spans="1:34" x14ac:dyDescent="0.25">
      <c r="A443" s="347">
        <f t="shared" ca="1" si="180"/>
        <v>0.1</v>
      </c>
      <c r="B443" s="304">
        <f t="shared" ca="1" si="181"/>
        <v>31.600000000000151</v>
      </c>
      <c r="D443" s="306">
        <f t="shared" ca="1" si="182"/>
        <v>-0.56702805020495406</v>
      </c>
      <c r="E443" s="307">
        <f t="shared" ca="1" si="183"/>
        <v>-5.4468034120071556</v>
      </c>
      <c r="F443" s="304">
        <f t="shared" ca="1" si="184"/>
        <v>5.4762385100333262</v>
      </c>
      <c r="G443" s="306">
        <f t="shared" ca="1" si="185"/>
        <v>11.527844947714589</v>
      </c>
      <c r="H443" s="307">
        <f t="shared" ca="1" si="186"/>
        <v>-89.686053876255954</v>
      </c>
      <c r="I443" s="304">
        <f t="shared" ca="1" si="187"/>
        <v>90.423887712447055</v>
      </c>
      <c r="J443" s="306">
        <f t="shared" ca="1" si="188"/>
        <v>562.53795546609365</v>
      </c>
      <c r="K443" s="307">
        <f t="shared" ca="1" si="189"/>
        <v>1741.8944397752271</v>
      </c>
      <c r="L443" s="304">
        <f t="shared" ca="1" si="174"/>
        <v>1830.4767659437321</v>
      </c>
      <c r="M443" s="306">
        <f t="shared" ca="1" si="190"/>
        <v>-1.4429617179360734</v>
      </c>
      <c r="N443" s="304">
        <f t="shared" ca="1" si="191"/>
        <v>-82.675616436683754</v>
      </c>
      <c r="P443" s="310">
        <f t="shared" ca="1" si="192"/>
        <v>23</v>
      </c>
      <c r="Q443" s="304">
        <f t="shared" ca="1" si="193"/>
        <v>0</v>
      </c>
      <c r="R443" s="306">
        <f t="shared" ca="1" si="194"/>
        <v>0</v>
      </c>
      <c r="S443" s="307">
        <f t="shared" ca="1" si="195"/>
        <v>2.0842999999999985</v>
      </c>
      <c r="T443" s="304">
        <f t="shared" ca="1" si="175"/>
        <v>20.446982999999985</v>
      </c>
      <c r="U443" s="311">
        <f t="shared" ca="1" si="176"/>
        <v>0</v>
      </c>
      <c r="V443" s="306">
        <f t="shared" ca="1" si="177"/>
        <v>1.0287134533390998</v>
      </c>
      <c r="W443" s="304">
        <f t="shared" ca="1" si="178"/>
        <v>9.2881085217623625</v>
      </c>
      <c r="Y443" s="314" t="str">
        <f t="shared" ca="1" si="196"/>
        <v/>
      </c>
      <c r="Z443" s="315" t="str">
        <f t="shared" ca="1" si="197"/>
        <v/>
      </c>
      <c r="AA443" s="316" t="str">
        <f t="shared" ca="1" si="198"/>
        <v/>
      </c>
      <c r="AC443" s="310" t="e">
        <f t="shared" ca="1" si="199"/>
        <v>#N/A</v>
      </c>
      <c r="AD443" s="323" t="e">
        <f t="shared" ca="1" si="200"/>
        <v>#N/A</v>
      </c>
      <c r="AE443" s="324" t="e">
        <f t="shared" ca="1" si="179"/>
        <v>#N/A</v>
      </c>
      <c r="AG443" s="306">
        <f t="shared" ca="1" si="201"/>
        <v>5.328308080962759</v>
      </c>
      <c r="AH443" s="304">
        <f t="shared" ca="1" si="202"/>
        <v>-4.399886961637951</v>
      </c>
    </row>
    <row r="444" spans="1:34" x14ac:dyDescent="0.25">
      <c r="A444" s="347">
        <f t="shared" ca="1" si="180"/>
        <v>0.1</v>
      </c>
      <c r="B444" s="304">
        <f t="shared" ca="1" si="181"/>
        <v>31.700000000000152</v>
      </c>
      <c r="D444" s="306">
        <f t="shared" ca="1" si="182"/>
        <v>-0.56810943724921636</v>
      </c>
      <c r="E444" s="307">
        <f t="shared" ca="1" si="183"/>
        <v>-5.3901371524480926</v>
      </c>
      <c r="F444" s="304">
        <f t="shared" ca="1" si="184"/>
        <v>5.4199932522921879</v>
      </c>
      <c r="G444" s="306">
        <f t="shared" ca="1" si="185"/>
        <v>11.471034003989669</v>
      </c>
      <c r="H444" s="307">
        <f t="shared" ca="1" si="186"/>
        <v>-90.22506759150076</v>
      </c>
      <c r="I444" s="304">
        <f t="shared" ca="1" si="187"/>
        <v>90.951346570633959</v>
      </c>
      <c r="J444" s="306">
        <f t="shared" ca="1" si="188"/>
        <v>563.68789941367891</v>
      </c>
      <c r="K444" s="307">
        <f t="shared" ca="1" si="189"/>
        <v>1732.8988837018392</v>
      </c>
      <c r="L444" s="304">
        <f t="shared" ca="1" si="174"/>
        <v>1822.2740159154127</v>
      </c>
      <c r="M444" s="306">
        <f t="shared" ca="1" si="190"/>
        <v>-1.4443367884266547</v>
      </c>
      <c r="N444" s="304">
        <f t="shared" ca="1" si="191"/>
        <v>-82.754402172327033</v>
      </c>
      <c r="P444" s="310">
        <f t="shared" ca="1" si="192"/>
        <v>23</v>
      </c>
      <c r="Q444" s="304">
        <f t="shared" ca="1" si="193"/>
        <v>0</v>
      </c>
      <c r="R444" s="306">
        <f t="shared" ca="1" si="194"/>
        <v>0</v>
      </c>
      <c r="S444" s="307">
        <f t="shared" ca="1" si="195"/>
        <v>2.0842999999999985</v>
      </c>
      <c r="T444" s="304">
        <f t="shared" ca="1" si="175"/>
        <v>20.446982999999985</v>
      </c>
      <c r="U444" s="311">
        <f t="shared" ca="1" si="176"/>
        <v>0</v>
      </c>
      <c r="V444" s="306">
        <f t="shared" ca="1" si="177"/>
        <v>1.0296462974042817</v>
      </c>
      <c r="W444" s="304">
        <f t="shared" ca="1" si="178"/>
        <v>9.4053040499082634</v>
      </c>
      <c r="Y444" s="314" t="str">
        <f t="shared" ca="1" si="196"/>
        <v/>
      </c>
      <c r="Z444" s="315" t="str">
        <f t="shared" ca="1" si="197"/>
        <v/>
      </c>
      <c r="AA444" s="316" t="str">
        <f t="shared" ca="1" si="198"/>
        <v/>
      </c>
      <c r="AC444" s="310" t="e">
        <f t="shared" ca="1" si="199"/>
        <v>#N/A</v>
      </c>
      <c r="AD444" s="323" t="e">
        <f t="shared" ca="1" si="200"/>
        <v>#N/A</v>
      </c>
      <c r="AE444" s="324" t="e">
        <f t="shared" ca="1" si="179"/>
        <v>#N/A</v>
      </c>
      <c r="AG444" s="306">
        <f t="shared" ca="1" si="201"/>
        <v>5.2737287193999238</v>
      </c>
      <c r="AH444" s="304">
        <f t="shared" ca="1" si="202"/>
        <v>-4.4562244023232589</v>
      </c>
    </row>
    <row r="445" spans="1:34" x14ac:dyDescent="0.25">
      <c r="A445" s="347">
        <f t="shared" ca="1" si="180"/>
        <v>0.1</v>
      </c>
      <c r="B445" s="304">
        <f t="shared" ca="1" si="181"/>
        <v>31.800000000000153</v>
      </c>
      <c r="D445" s="306">
        <f t="shared" ca="1" si="182"/>
        <v>-0.56912287933080952</v>
      </c>
      <c r="E445" s="307">
        <f t="shared" ca="1" si="183"/>
        <v>-5.3335813756953057</v>
      </c>
      <c r="F445" s="304">
        <f t="shared" ca="1" si="184"/>
        <v>5.363859724390788</v>
      </c>
      <c r="G445" s="306">
        <f t="shared" ca="1" si="185"/>
        <v>11.414121716056588</v>
      </c>
      <c r="H445" s="307">
        <f t="shared" ca="1" si="186"/>
        <v>-90.758425729070296</v>
      </c>
      <c r="I445" s="304">
        <f t="shared" ca="1" si="187"/>
        <v>91.473351394644567</v>
      </c>
      <c r="J445" s="306">
        <f t="shared" ca="1" si="188"/>
        <v>564.83215719968121</v>
      </c>
      <c r="K445" s="307">
        <f t="shared" ca="1" si="189"/>
        <v>1723.8497090358105</v>
      </c>
      <c r="L445" s="304">
        <f t="shared" ca="1" si="174"/>
        <v>1814.0267873296948</v>
      </c>
      <c r="M445" s="306">
        <f t="shared" ca="1" si="190"/>
        <v>-1.4456893840648266</v>
      </c>
      <c r="N445" s="304">
        <f t="shared" ca="1" si="191"/>
        <v>-82.83190019378209</v>
      </c>
      <c r="P445" s="310">
        <f t="shared" ca="1" si="192"/>
        <v>23</v>
      </c>
      <c r="Q445" s="304">
        <f t="shared" ca="1" si="193"/>
        <v>0</v>
      </c>
      <c r="R445" s="306">
        <f t="shared" ca="1" si="194"/>
        <v>0</v>
      </c>
      <c r="S445" s="307">
        <f t="shared" ca="1" si="195"/>
        <v>2.0842999999999985</v>
      </c>
      <c r="T445" s="304">
        <f t="shared" ca="1" si="175"/>
        <v>20.446982999999985</v>
      </c>
      <c r="U445" s="311">
        <f t="shared" ca="1" si="176"/>
        <v>0</v>
      </c>
      <c r="V445" s="306">
        <f t="shared" ca="1" si="177"/>
        <v>1.0305854812243043</v>
      </c>
      <c r="W445" s="304">
        <f t="shared" ca="1" si="178"/>
        <v>9.5222529270986893</v>
      </c>
      <c r="Y445" s="314" t="str">
        <f t="shared" ca="1" si="196"/>
        <v/>
      </c>
      <c r="Z445" s="315" t="str">
        <f t="shared" ca="1" si="197"/>
        <v/>
      </c>
      <c r="AA445" s="316" t="str">
        <f t="shared" ca="1" si="198"/>
        <v/>
      </c>
      <c r="AC445" s="310" t="e">
        <f t="shared" ca="1" si="199"/>
        <v>#N/A</v>
      </c>
      <c r="AD445" s="323" t="e">
        <f t="shared" ca="1" si="200"/>
        <v>#N/A</v>
      </c>
      <c r="AE445" s="324" t="e">
        <f t="shared" ca="1" si="179"/>
        <v>#N/A</v>
      </c>
      <c r="AG445" s="306">
        <f t="shared" ca="1" si="201"/>
        <v>5.2192114809094399</v>
      </c>
      <c r="AH445" s="304">
        <f t="shared" ca="1" si="202"/>
        <v>-4.5124521661508759</v>
      </c>
    </row>
    <row r="446" spans="1:34" x14ac:dyDescent="0.25">
      <c r="A446" s="347">
        <f t="shared" ca="1" si="180"/>
        <v>0.1</v>
      </c>
      <c r="B446" s="304">
        <f t="shared" ca="1" si="181"/>
        <v>31.900000000000155</v>
      </c>
      <c r="D446" s="306">
        <f t="shared" ca="1" si="182"/>
        <v>-0.57006895766074506</v>
      </c>
      <c r="E446" s="307">
        <f t="shared" ca="1" si="183"/>
        <v>-5.2771447842089305</v>
      </c>
      <c r="F446" s="304">
        <f t="shared" ca="1" si="184"/>
        <v>5.3078466151530721</v>
      </c>
      <c r="G446" s="306">
        <f t="shared" ca="1" si="185"/>
        <v>11.357114820290514</v>
      </c>
      <c r="H446" s="307">
        <f t="shared" ca="1" si="186"/>
        <v>-91.286140207491187</v>
      </c>
      <c r="I446" s="304">
        <f t="shared" ca="1" si="187"/>
        <v>91.989909506548599</v>
      </c>
      <c r="J446" s="306">
        <f t="shared" ca="1" si="188"/>
        <v>565.97071902649861</v>
      </c>
      <c r="K446" s="307">
        <f t="shared" ca="1" si="189"/>
        <v>1714.7474807389824</v>
      </c>
      <c r="L446" s="304">
        <f t="shared" ca="1" si="174"/>
        <v>1805.7357994723532</v>
      </c>
      <c r="M446" s="306">
        <f t="shared" ca="1" si="190"/>
        <v>-1.4470200739394337</v>
      </c>
      <c r="N446" s="304">
        <f t="shared" ca="1" si="191"/>
        <v>-82.908143107437866</v>
      </c>
      <c r="P446" s="310">
        <f t="shared" ca="1" si="192"/>
        <v>23</v>
      </c>
      <c r="Q446" s="304">
        <f t="shared" ca="1" si="193"/>
        <v>0</v>
      </c>
      <c r="R446" s="306">
        <f t="shared" ca="1" si="194"/>
        <v>0</v>
      </c>
      <c r="S446" s="307">
        <f t="shared" ca="1" si="195"/>
        <v>2.0842999999999985</v>
      </c>
      <c r="T446" s="304">
        <f t="shared" ca="1" si="175"/>
        <v>20.446982999999985</v>
      </c>
      <c r="U446" s="311">
        <f t="shared" ca="1" si="176"/>
        <v>0</v>
      </c>
      <c r="V446" s="306">
        <f t="shared" ca="1" si="177"/>
        <v>1.0315309609730938</v>
      </c>
      <c r="W446" s="304">
        <f t="shared" ca="1" si="178"/>
        <v>9.638937447143606</v>
      </c>
      <c r="Y446" s="314" t="str">
        <f t="shared" ca="1" si="196"/>
        <v/>
      </c>
      <c r="Z446" s="315" t="str">
        <f t="shared" ca="1" si="197"/>
        <v/>
      </c>
      <c r="AA446" s="316" t="str">
        <f t="shared" ca="1" si="198"/>
        <v/>
      </c>
      <c r="AC446" s="310" t="e">
        <f t="shared" ca="1" si="199"/>
        <v>#N/A</v>
      </c>
      <c r="AD446" s="323" t="e">
        <f t="shared" ca="1" si="200"/>
        <v>#N/A</v>
      </c>
      <c r="AE446" s="324" t="e">
        <f t="shared" ca="1" si="179"/>
        <v>#N/A</v>
      </c>
      <c r="AG446" s="306">
        <f t="shared" ca="1" si="201"/>
        <v>5.1647666701490405</v>
      </c>
      <c r="AH446" s="304">
        <f t="shared" ca="1" si="202"/>
        <v>-4.5685615924284875</v>
      </c>
    </row>
    <row r="447" spans="1:34" x14ac:dyDescent="0.25">
      <c r="A447" s="347">
        <f t="shared" ca="1" si="180"/>
        <v>0.1</v>
      </c>
      <c r="B447" s="304">
        <f t="shared" ca="1" si="181"/>
        <v>32.000000000000156</v>
      </c>
      <c r="D447" s="306">
        <f t="shared" ca="1" si="182"/>
        <v>-0.57094826590309289</v>
      </c>
      <c r="E447" s="307">
        <f t="shared" ca="1" si="183"/>
        <v>-5.2208359141234322</v>
      </c>
      <c r="F447" s="304">
        <f t="shared" ca="1" si="184"/>
        <v>5.2519624488888725</v>
      </c>
      <c r="G447" s="306">
        <f t="shared" ca="1" si="185"/>
        <v>11.300019993700204</v>
      </c>
      <c r="H447" s="307">
        <f t="shared" ca="1" si="186"/>
        <v>-91.808223798903526</v>
      </c>
      <c r="I447" s="304">
        <f t="shared" ca="1" si="187"/>
        <v>92.501029231936556</v>
      </c>
      <c r="J447" s="306">
        <f t="shared" ca="1" si="188"/>
        <v>567.10357576719809</v>
      </c>
      <c r="K447" s="307">
        <f t="shared" ca="1" si="189"/>
        <v>1705.5927625386626</v>
      </c>
      <c r="L447" s="304">
        <f t="shared" ca="1" si="174"/>
        <v>1797.4017740261104</v>
      </c>
      <c r="M447" s="306">
        <f t="shared" ca="1" si="190"/>
        <v>-1.4483294077760354</v>
      </c>
      <c r="N447" s="304">
        <f t="shared" ca="1" si="191"/>
        <v>-82.983162410248823</v>
      </c>
      <c r="P447" s="310">
        <f t="shared" ca="1" si="192"/>
        <v>23</v>
      </c>
      <c r="Q447" s="304">
        <f t="shared" ca="1" si="193"/>
        <v>0</v>
      </c>
      <c r="R447" s="306">
        <f t="shared" ca="1" si="194"/>
        <v>0</v>
      </c>
      <c r="S447" s="307">
        <f t="shared" ca="1" si="195"/>
        <v>2.0842999999999985</v>
      </c>
      <c r="T447" s="304">
        <f t="shared" ca="1" si="175"/>
        <v>20.446982999999985</v>
      </c>
      <c r="U447" s="311">
        <f t="shared" ca="1" si="176"/>
        <v>0</v>
      </c>
      <c r="V447" s="306">
        <f t="shared" ca="1" si="177"/>
        <v>1.0324826928738995</v>
      </c>
      <c r="W447" s="304">
        <f t="shared" ca="1" si="178"/>
        <v>9.7553402506556157</v>
      </c>
      <c r="Y447" s="314" t="str">
        <f t="shared" ca="1" si="196"/>
        <v/>
      </c>
      <c r="Z447" s="315" t="str">
        <f t="shared" ca="1" si="197"/>
        <v/>
      </c>
      <c r="AA447" s="316" t="str">
        <f t="shared" ca="1" si="198"/>
        <v/>
      </c>
      <c r="AC447" s="310">
        <f t="shared" ca="1" si="199"/>
        <v>32.000000000000156</v>
      </c>
      <c r="AD447" s="323">
        <f t="shared" ca="1" si="200"/>
        <v>567.10357576719809</v>
      </c>
      <c r="AE447" s="324" t="e">
        <f t="shared" ca="1" si="179"/>
        <v>#N/A</v>
      </c>
      <c r="AG447" s="306">
        <f t="shared" ca="1" si="201"/>
        <v>5.1104043559386669</v>
      </c>
      <c r="AH447" s="304">
        <f t="shared" ca="1" si="202"/>
        <v>-4.6245441861265713</v>
      </c>
    </row>
    <row r="448" spans="1:34" x14ac:dyDescent="0.25">
      <c r="A448" s="347">
        <f t="shared" ca="1" si="180"/>
        <v>0.1</v>
      </c>
      <c r="B448" s="304">
        <f t="shared" ca="1" si="181"/>
        <v>32.100000000000158</v>
      </c>
      <c r="D448" s="306">
        <f t="shared" ca="1" si="182"/>
        <v>-0.57176140965908551</v>
      </c>
      <c r="E448" s="307">
        <f t="shared" ca="1" si="183"/>
        <v>-5.1646631345057328</v>
      </c>
      <c r="F448" s="304">
        <f t="shared" ca="1" si="184"/>
        <v>5.1962155846825606</v>
      </c>
      <c r="G448" s="306">
        <f t="shared" ca="1" si="185"/>
        <v>11.242843852734294</v>
      </c>
      <c r="H448" s="307">
        <f t="shared" ca="1" si="186"/>
        <v>-92.324690112354105</v>
      </c>
      <c r="I448" s="304">
        <f t="shared" ca="1" si="187"/>
        <v>93.006719876787301</v>
      </c>
      <c r="J448" s="306">
        <f t="shared" ca="1" si="188"/>
        <v>568.23071895951978</v>
      </c>
      <c r="K448" s="307">
        <f t="shared" ca="1" si="189"/>
        <v>1696.3861168430997</v>
      </c>
      <c r="L448" s="304">
        <f t="shared" ca="1" si="174"/>
        <v>1789.0254350867299</v>
      </c>
      <c r="M448" s="306">
        <f t="shared" ca="1" si="190"/>
        <v>-1.4496179167461711</v>
      </c>
      <c r="N448" s="304">
        <f t="shared" ca="1" si="191"/>
        <v>-83.056988536102352</v>
      </c>
      <c r="P448" s="310">
        <f t="shared" ca="1" si="192"/>
        <v>23</v>
      </c>
      <c r="Q448" s="304">
        <f t="shared" ca="1" si="193"/>
        <v>0</v>
      </c>
      <c r="R448" s="306">
        <f t="shared" ca="1" si="194"/>
        <v>0</v>
      </c>
      <c r="S448" s="307">
        <f t="shared" ca="1" si="195"/>
        <v>2.0842999999999985</v>
      </c>
      <c r="T448" s="304">
        <f t="shared" ca="1" si="175"/>
        <v>20.446982999999985</v>
      </c>
      <c r="U448" s="311">
        <f t="shared" ca="1" si="176"/>
        <v>0</v>
      </c>
      <c r="V448" s="306">
        <f t="shared" ca="1" si="177"/>
        <v>1.0334406332057697</v>
      </c>
      <c r="W448" s="304">
        <f t="shared" ca="1" si="178"/>
        <v>9.8714443263275999</v>
      </c>
      <c r="Y448" s="314" t="str">
        <f t="shared" ca="1" si="196"/>
        <v/>
      </c>
      <c r="Z448" s="315" t="str">
        <f t="shared" ca="1" si="197"/>
        <v/>
      </c>
      <c r="AA448" s="316" t="str">
        <f t="shared" ca="1" si="198"/>
        <v/>
      </c>
      <c r="AC448" s="310" t="e">
        <f t="shared" ca="1" si="199"/>
        <v>#N/A</v>
      </c>
      <c r="AD448" s="323" t="e">
        <f t="shared" ca="1" si="200"/>
        <v>#N/A</v>
      </c>
      <c r="AE448" s="324" t="e">
        <f t="shared" ca="1" si="179"/>
        <v>#N/A</v>
      </c>
      <c r="AG448" s="306">
        <f t="shared" ca="1" si="201"/>
        <v>5.0561343740854232</v>
      </c>
      <c r="AH448" s="304">
        <f t="shared" ca="1" si="202"/>
        <v>-4.6803916186036671</v>
      </c>
    </row>
    <row r="449" spans="1:34" x14ac:dyDescent="0.25">
      <c r="A449" s="347">
        <f t="shared" ca="1" si="180"/>
        <v>0.1</v>
      </c>
      <c r="B449" s="304">
        <f t="shared" ca="1" si="181"/>
        <v>32.200000000000159</v>
      </c>
      <c r="D449" s="306">
        <f t="shared" ca="1" si="182"/>
        <v>-0.57250900595690857</v>
      </c>
      <c r="E449" s="307">
        <f t="shared" ca="1" si="183"/>
        <v>-5.1086346467269879</v>
      </c>
      <c r="F449" s="304">
        <f t="shared" ca="1" si="184"/>
        <v>5.1406142157957291</v>
      </c>
      <c r="G449" s="306">
        <f t="shared" ca="1" si="185"/>
        <v>11.185592952138604</v>
      </c>
      <c r="H449" s="307">
        <f t="shared" ca="1" si="186"/>
        <v>-92.835553577026801</v>
      </c>
      <c r="I449" s="304">
        <f t="shared" ca="1" si="187"/>
        <v>93.506991704599002</v>
      </c>
      <c r="J449" s="306">
        <f t="shared" ca="1" si="188"/>
        <v>569.35214079976345</v>
      </c>
      <c r="K449" s="307">
        <f t="shared" ca="1" si="189"/>
        <v>1687.1281046586307</v>
      </c>
      <c r="L449" s="304">
        <f t="shared" ca="1" si="174"/>
        <v>1780.6075091839575</v>
      </c>
      <c r="M449" s="306">
        <f t="shared" ca="1" si="190"/>
        <v>-1.4508861142367071</v>
      </c>
      <c r="N449" s="304">
        <f t="shared" ca="1" si="191"/>
        <v>-83.129650899899147</v>
      </c>
      <c r="P449" s="310">
        <f t="shared" ca="1" si="192"/>
        <v>23</v>
      </c>
      <c r="Q449" s="304">
        <f t="shared" ca="1" si="193"/>
        <v>0</v>
      </c>
      <c r="R449" s="306">
        <f t="shared" ca="1" si="194"/>
        <v>0</v>
      </c>
      <c r="S449" s="307">
        <f t="shared" ca="1" si="195"/>
        <v>2.0842999999999985</v>
      </c>
      <c r="T449" s="304">
        <f t="shared" ca="1" si="175"/>
        <v>20.446982999999985</v>
      </c>
      <c r="U449" s="311">
        <f t="shared" ca="1" si="176"/>
        <v>0</v>
      </c>
      <c r="V449" s="306">
        <f t="shared" ca="1" si="177"/>
        <v>1.0344047383099226</v>
      </c>
      <c r="W449" s="304">
        <f t="shared" ca="1" si="178"/>
        <v>9.987233011980674</v>
      </c>
      <c r="Y449" s="314" t="str">
        <f t="shared" ca="1" si="196"/>
        <v/>
      </c>
      <c r="Z449" s="315" t="str">
        <f t="shared" ca="1" si="197"/>
        <v/>
      </c>
      <c r="AA449" s="316" t="str">
        <f t="shared" ca="1" si="198"/>
        <v/>
      </c>
      <c r="AC449" s="310" t="e">
        <f t="shared" ca="1" si="199"/>
        <v>#N/A</v>
      </c>
      <c r="AD449" s="323" t="e">
        <f t="shared" ca="1" si="200"/>
        <v>#N/A</v>
      </c>
      <c r="AE449" s="324" t="e">
        <f t="shared" ca="1" si="179"/>
        <v>#N/A</v>
      </c>
      <c r="AG449" s="306">
        <f t="shared" ca="1" si="201"/>
        <v>5.0019663301141328</v>
      </c>
      <c r="AH449" s="304">
        <f t="shared" ca="1" si="202"/>
        <v>-4.7360957282193574</v>
      </c>
    </row>
    <row r="450" spans="1:34" x14ac:dyDescent="0.25">
      <c r="A450" s="347">
        <f t="shared" ca="1" si="180"/>
        <v>0.1</v>
      </c>
      <c r="B450" s="304">
        <f t="shared" ca="1" si="181"/>
        <v>32.300000000000161</v>
      </c>
      <c r="D450" s="306">
        <f t="shared" ca="1" si="182"/>
        <v>-0.57319168274733656</v>
      </c>
      <c r="E450" s="307">
        <f t="shared" ca="1" si="183"/>
        <v>-5.0527584839458441</v>
      </c>
      <c r="F450" s="304">
        <f t="shared" ca="1" si="184"/>
        <v>5.0851663691817821</v>
      </c>
      <c r="G450" s="306">
        <f t="shared" ca="1" si="185"/>
        <v>11.12827378386387</v>
      </c>
      <c r="H450" s="307">
        <f t="shared" ca="1" si="186"/>
        <v>-93.34082942542139</v>
      </c>
      <c r="I450" s="304">
        <f t="shared" ca="1" si="187"/>
        <v>94.001855913775671</v>
      </c>
      <c r="J450" s="306">
        <f t="shared" ca="1" si="188"/>
        <v>570.46783413656362</v>
      </c>
      <c r="K450" s="307">
        <f t="shared" ca="1" si="189"/>
        <v>1677.8192855085083</v>
      </c>
      <c r="L450" s="304">
        <f t="shared" ca="1" si="174"/>
        <v>1772.1487253074285</v>
      </c>
      <c r="M450" s="306">
        <f t="shared" ca="1" si="190"/>
        <v>-1.4521344965815335</v>
      </c>
      <c r="N450" s="304">
        <f t="shared" ca="1" si="191"/>
        <v>-83.201177939476338</v>
      </c>
      <c r="P450" s="310">
        <f t="shared" ca="1" si="192"/>
        <v>23</v>
      </c>
      <c r="Q450" s="304">
        <f t="shared" ca="1" si="193"/>
        <v>0</v>
      </c>
      <c r="R450" s="306">
        <f t="shared" ca="1" si="194"/>
        <v>0</v>
      </c>
      <c r="S450" s="307">
        <f t="shared" ca="1" si="195"/>
        <v>2.0842999999999985</v>
      </c>
      <c r="T450" s="304">
        <f t="shared" ca="1" si="175"/>
        <v>20.446982999999985</v>
      </c>
      <c r="U450" s="311">
        <f t="shared" ca="1" si="176"/>
        <v>0</v>
      </c>
      <c r="V450" s="306">
        <f t="shared" ca="1" si="177"/>
        <v>1.0353749645960104</v>
      </c>
      <c r="W450" s="304">
        <f t="shared" ca="1" si="178"/>
        <v>10.102689995386827</v>
      </c>
      <c r="Y450" s="314" t="str">
        <f t="shared" ca="1" si="196"/>
        <v/>
      </c>
      <c r="Z450" s="315" t="str">
        <f t="shared" ca="1" si="197"/>
        <v/>
      </c>
      <c r="AA450" s="316" t="str">
        <f t="shared" ca="1" si="198"/>
        <v/>
      </c>
      <c r="AC450" s="310" t="e">
        <f t="shared" ca="1" si="199"/>
        <v>#N/A</v>
      </c>
      <c r="AD450" s="323" t="e">
        <f t="shared" ca="1" si="200"/>
        <v>#N/A</v>
      </c>
      <c r="AE450" s="324" t="e">
        <f t="shared" ca="1" si="179"/>
        <v>#N/A</v>
      </c>
      <c r="AG450" s="306">
        <f t="shared" ca="1" si="201"/>
        <v>4.9479096019149624</v>
      </c>
      <c r="AH450" s="304">
        <f t="shared" ca="1" si="202"/>
        <v>-4.7916485208370583</v>
      </c>
    </row>
    <row r="451" spans="1:34" x14ac:dyDescent="0.25">
      <c r="A451" s="347">
        <f t="shared" ca="1" si="180"/>
        <v>0.1</v>
      </c>
      <c r="B451" s="304">
        <f t="shared" ca="1" si="181"/>
        <v>32.400000000000162</v>
      </c>
      <c r="D451" s="306">
        <f t="shared" ca="1" si="182"/>
        <v>-0.57381007840530007</v>
      </c>
      <c r="E451" s="307">
        <f t="shared" ca="1" si="183"/>
        <v>-4.9970425107010463</v>
      </c>
      <c r="F451" s="304">
        <f t="shared" ca="1" si="184"/>
        <v>5.0298799051103504</v>
      </c>
      <c r="G451" s="306">
        <f t="shared" ca="1" si="185"/>
        <v>11.07089277602334</v>
      </c>
      <c r="H451" s="307">
        <f t="shared" ca="1" si="186"/>
        <v>-93.840533676491489</v>
      </c>
      <c r="I451" s="304">
        <f t="shared" ca="1" si="187"/>
        <v>94.491324615262641</v>
      </c>
      <c r="J451" s="306">
        <f t="shared" ca="1" si="188"/>
        <v>571.577792464558</v>
      </c>
      <c r="K451" s="307">
        <f t="shared" ca="1" si="189"/>
        <v>1668.4602173534126</v>
      </c>
      <c r="L451" s="304">
        <f t="shared" ca="1" si="174"/>
        <v>1763.6498149376635</v>
      </c>
      <c r="M451" s="306">
        <f t="shared" ca="1" si="190"/>
        <v>-1.4533635437577259</v>
      </c>
      <c r="N451" s="304">
        <f t="shared" ca="1" si="191"/>
        <v>-83.271597155494632</v>
      </c>
      <c r="P451" s="310">
        <f t="shared" ca="1" si="192"/>
        <v>23</v>
      </c>
      <c r="Q451" s="304">
        <f t="shared" ca="1" si="193"/>
        <v>0</v>
      </c>
      <c r="R451" s="306">
        <f t="shared" ca="1" si="194"/>
        <v>0</v>
      </c>
      <c r="S451" s="307">
        <f t="shared" ca="1" si="195"/>
        <v>2.0842999999999985</v>
      </c>
      <c r="T451" s="304">
        <f t="shared" ca="1" si="175"/>
        <v>20.446982999999985</v>
      </c>
      <c r="U451" s="311">
        <f t="shared" ca="1" si="176"/>
        <v>0</v>
      </c>
      <c r="V451" s="306">
        <f t="shared" ca="1" si="177"/>
        <v>1.0363512685482765</v>
      </c>
      <c r="W451" s="304">
        <f t="shared" ca="1" si="178"/>
        <v>10.217799314870883</v>
      </c>
      <c r="Y451" s="314" t="str">
        <f t="shared" ca="1" si="196"/>
        <v/>
      </c>
      <c r="Z451" s="315" t="str">
        <f t="shared" ca="1" si="197"/>
        <v/>
      </c>
      <c r="AA451" s="316" t="str">
        <f t="shared" ca="1" si="198"/>
        <v/>
      </c>
      <c r="AC451" s="310" t="e">
        <f t="shared" ca="1" si="199"/>
        <v>#N/A</v>
      </c>
      <c r="AD451" s="323" t="e">
        <f t="shared" ca="1" si="200"/>
        <v>#N/A</v>
      </c>
      <c r="AE451" s="324" t="e">
        <f t="shared" ca="1" si="179"/>
        <v>#N/A</v>
      </c>
      <c r="AG451" s="306">
        <f t="shared" ca="1" si="201"/>
        <v>4.8939733423185876</v>
      </c>
      <c r="AH451" s="304">
        <f t="shared" ca="1" si="202"/>
        <v>-4.8470421702186988</v>
      </c>
    </row>
    <row r="452" spans="1:34" x14ac:dyDescent="0.25">
      <c r="A452" s="347">
        <f t="shared" ca="1" si="180"/>
        <v>0.1</v>
      </c>
      <c r="B452" s="304">
        <f t="shared" ca="1" si="181"/>
        <v>32.500000000000163</v>
      </c>
      <c r="D452" s="306">
        <f t="shared" ca="1" si="182"/>
        <v>-0.57436484123754084</v>
      </c>
      <c r="E452" s="307">
        <f t="shared" ca="1" si="183"/>
        <v>-4.9414944226110951</v>
      </c>
      <c r="F452" s="304">
        <f t="shared" ca="1" si="184"/>
        <v>4.9747625168993128</v>
      </c>
      <c r="G452" s="306">
        <f t="shared" ca="1" si="185"/>
        <v>11.013456291899587</v>
      </c>
      <c r="H452" s="307">
        <f t="shared" ca="1" si="186"/>
        <v>-94.334683118752594</v>
      </c>
      <c r="I452" s="304">
        <f t="shared" ca="1" si="187"/>
        <v>94.975410810425288</v>
      </c>
      <c r="J452" s="306">
        <f t="shared" ca="1" si="188"/>
        <v>572.68200991795413</v>
      </c>
      <c r="K452" s="307">
        <f t="shared" ca="1" si="189"/>
        <v>1659.0514565136505</v>
      </c>
      <c r="L452" s="304">
        <f t="shared" ref="L452:L515" ca="1" si="203">SQRT(pos_x^2+pos_z^2)</f>
        <v>1755.1115120822758</v>
      </c>
      <c r="M452" s="306">
        <f t="shared" ca="1" si="190"/>
        <v>-1.4545737200481565</v>
      </c>
      <c r="N452" s="304">
        <f t="shared" ca="1" si="191"/>
        <v>-83.340935149403109</v>
      </c>
      <c r="P452" s="310">
        <f t="shared" ca="1" si="192"/>
        <v>23</v>
      </c>
      <c r="Q452" s="304">
        <f t="shared" ca="1" si="193"/>
        <v>0</v>
      </c>
      <c r="R452" s="306">
        <f t="shared" ca="1" si="194"/>
        <v>0</v>
      </c>
      <c r="S452" s="307">
        <f t="shared" ca="1" si="195"/>
        <v>2.0842999999999985</v>
      </c>
      <c r="T452" s="304">
        <f t="shared" ref="T452:T515" ca="1" si="204">m*g</f>
        <v>20.446982999999985</v>
      </c>
      <c r="U452" s="311">
        <f t="shared" ref="U452:U515" ca="1" si="205">IF(pos_xz&lt;L_rampe,Poids*COS(Beta),0)</f>
        <v>0</v>
      </c>
      <c r="V452" s="306">
        <f t="shared" ref="V452:V515" ca="1" si="206">Rho_moyen*(20000-Alt_rampe-pos_z)/(20000+Alt_rampe+pos_z)</f>
        <v>1.0373336067316072</v>
      </c>
      <c r="W452" s="304">
        <f t="shared" ref="W452:W515" ca="1" si="207">1/2*Rho*Sref*Cx*vit_xz^2</f>
        <v>10.332545359696399</v>
      </c>
      <c r="Y452" s="314" t="str">
        <f t="shared" ca="1" si="196"/>
        <v/>
      </c>
      <c r="Z452" s="315" t="str">
        <f t="shared" ca="1" si="197"/>
        <v/>
      </c>
      <c r="AA452" s="316" t="str">
        <f t="shared" ca="1" si="198"/>
        <v/>
      </c>
      <c r="AC452" s="310" t="e">
        <f t="shared" ca="1" si="199"/>
        <v>#N/A</v>
      </c>
      <c r="AD452" s="323" t="e">
        <f t="shared" ca="1" si="200"/>
        <v>#N/A</v>
      </c>
      <c r="AE452" s="324" t="e">
        <f t="shared" ref="AE452:AE515" ca="1" si="208">IF(t&lt;T_para, pos_z, NA())</f>
        <v>#N/A</v>
      </c>
      <c r="AG452" s="306">
        <f t="shared" ca="1" si="201"/>
        <v>4.8401664816084002</v>
      </c>
      <c r="AH452" s="304">
        <f t="shared" ca="1" si="202"/>
        <v>-4.9022690183135298</v>
      </c>
    </row>
    <row r="453" spans="1:34" x14ac:dyDescent="0.25">
      <c r="A453" s="347">
        <f t="shared" ref="A453:A516" ca="1" si="209">IF(B452+0.01&lt;=T_ini+ROUNDUP(Temps_fin_propu,0), 0.01, IF(K452&gt;0, 0.1, 0.0001))</f>
        <v>0.1</v>
      </c>
      <c r="B453" s="304">
        <f t="shared" ref="B453:B516" ca="1" si="210">B452+pas</f>
        <v>32.600000000000165</v>
      </c>
      <c r="D453" s="306">
        <f t="shared" ref="D453:D516" ca="1" si="211">IF(AND(L452&lt;L_rampe,Poussee&lt;Poids*SIN(M452)),0,(-W452+Poussee)/m*COS(M452)-U452/m*SIN(M452))</f>
        <v>-0.57485662899646239</v>
      </c>
      <c r="E453" s="307">
        <f t="shared" ref="E453:E516" ca="1" si="212">IF(AND(L452&lt;L_rampe,Poussee&lt;Poids*SIN(M452)),0,(-W452+Poussee)/m*SIN(M452)+U452/m*COS(M452)-Poids/m)</f>
        <v>-4.8861217461787136</v>
      </c>
      <c r="F453" s="304">
        <f t="shared" ref="F453:F516" ca="1" si="213">SQRT(acc_x^2+acc_z^2)</f>
        <v>4.9198217307522132</v>
      </c>
      <c r="G453" s="306">
        <f t="shared" ref="G453:G516" ca="1" si="214">G452+acc_x*pas</f>
        <v>10.955970628999941</v>
      </c>
      <c r="H453" s="307">
        <f t="shared" ref="H453:H516" ca="1" si="215">H452+acc_z*pas</f>
        <v>-94.823295293370464</v>
      </c>
      <c r="I453" s="304">
        <f t="shared" ref="I453:I516" ca="1" si="216">SQRT(vit_x^2+vit_z^2)</f>
        <v>95.454128369166114</v>
      </c>
      <c r="J453" s="306">
        <f t="shared" ref="J453:J516" ca="1" si="217">J452+0.5*(vit_x+G452)*pas*(K452&gt;=0)</f>
        <v>573.78048126399915</v>
      </c>
      <c r="K453" s="307">
        <f t="shared" ref="K453:K516" ca="1" si="218">K452+0.5*(vit_z+H452)*pas</f>
        <v>1649.5935575930444</v>
      </c>
      <c r="L453" s="304">
        <f t="shared" ca="1" si="203"/>
        <v>1746.5345533175182</v>
      </c>
      <c r="M453" s="306">
        <f t="shared" ref="M453:M516" ca="1" si="219">IF(AND(L452&gt;L_rampe,G453&gt;0),ATAN2(G453,H453),$M$4)</f>
        <v>-1.4557654746724131</v>
      </c>
      <c r="N453" s="304">
        <f t="shared" ref="N453:N516" ca="1" si="220">DEGREES(Beta)</f>
        <v>-83.409217659588208</v>
      </c>
      <c r="P453" s="310">
        <f t="shared" ref="P453:P516" ca="1" si="221">MATCH(t-pas/2-T_ini,CdP_t)</f>
        <v>23</v>
      </c>
      <c r="Q453" s="304">
        <f t="shared" ref="Q453:Q516" ca="1" si="222">(INDEX(CdP,2,i_P+1)-INDEX(CdP,2,i_P+0))/(INDEX(CdP,1,i_P+1)-INDEX(CdP,1,i_P+0))*(t-pas/2-T_ini-INDEX(CdP,1,i_P+0))+INDEX(CdP,2,i_P+0)</f>
        <v>0</v>
      </c>
      <c r="R453" s="306">
        <f t="shared" ref="R453:R516" ca="1" si="223">Poussee/(g*ISP)</f>
        <v>0</v>
      </c>
      <c r="S453" s="307">
        <f t="shared" ref="S453:S516" ca="1" si="224">S452-Débit*pas</f>
        <v>2.0842999999999985</v>
      </c>
      <c r="T453" s="304">
        <f t="shared" ca="1" si="204"/>
        <v>20.446982999999985</v>
      </c>
      <c r="U453" s="311">
        <f t="shared" ca="1" si="205"/>
        <v>0</v>
      </c>
      <c r="V453" s="306">
        <f t="shared" ca="1" si="206"/>
        <v>1.0383219357974736</v>
      </c>
      <c r="W453" s="304">
        <f t="shared" ca="1" si="207"/>
        <v>10.446912870240235</v>
      </c>
      <c r="Y453" s="314" t="str">
        <f t="shared" ref="Y453:Y516" ca="1" si="225">IF(AND(pos_z&lt;=0,K452&gt;0),"Impact balistique","") &amp; IF(AND(H454&lt;0,vit_z&gt;=0),"Apogée","") &amp; IF(AND(Poussee=0,Q452&gt;0),"Fin de propulsion","") &amp; IF(AND(L454&gt;L_rampe,pos_xz&lt;=L_rampe),"Sortie de rampe","")</f>
        <v/>
      </c>
      <c r="Z453" s="315" t="str">
        <f t="shared" ref="Z453:Z516" ca="1" si="226">IF(ABS(t-T_para)&lt;pas/2,"Para","")</f>
        <v/>
      </c>
      <c r="AA453" s="316" t="str">
        <f t="shared" ref="AA453:AA516" ca="1" si="227">IF(ABS(t-T_satellite)&lt;pas/2,"Satellite","")</f>
        <v/>
      </c>
      <c r="AC453" s="310" t="e">
        <f t="shared" ref="AC453:AC516" ca="1" si="228">IF(ABS(t-ROUND(t,0))&lt;0.001,t,NA())</f>
        <v>#N/A</v>
      </c>
      <c r="AD453" s="323" t="e">
        <f t="shared" ref="AD453:AD516" ca="1" si="229">IF(ABS(t-ROUND(t,0))&lt;0.001,pos_x,NA())</f>
        <v>#N/A</v>
      </c>
      <c r="AE453" s="324" t="e">
        <f t="shared" ca="1" si="208"/>
        <v>#N/A</v>
      </c>
      <c r="AG453" s="306">
        <f t="shared" ref="AG453:AG516" ca="1" si="230">IF(AND(L452&lt;L_rampe,Poussee&lt;Poids*SIN(M452)),0,(-W452+Poussee)/m-Poids*SIN(M452)/m)</f>
        <v>4.7864977299782643</v>
      </c>
      <c r="AH453" s="304">
        <f t="shared" ref="AH453:AH516" ca="1" si="231">IF(AND(L452&lt;L_rampe,Poussee&lt;Poids*SIN(M452)), g*SIN(M452), (-W452+Poussee)/m)</f>
        <v>-4.9573215754432693</v>
      </c>
    </row>
    <row r="454" spans="1:34" x14ac:dyDescent="0.25">
      <c r="A454" s="347">
        <f t="shared" ca="1" si="209"/>
        <v>0.1</v>
      </c>
      <c r="B454" s="304">
        <f t="shared" ca="1" si="210"/>
        <v>32.700000000000166</v>
      </c>
      <c r="D454" s="306">
        <f t="shared" ca="1" si="211"/>
        <v>-0.57528610840030425</v>
      </c>
      <c r="E454" s="307">
        <f t="shared" ca="1" si="212"/>
        <v>-4.8309318386977704</v>
      </c>
      <c r="F454" s="304">
        <f t="shared" ca="1" si="213"/>
        <v>4.8650649056988113</v>
      </c>
      <c r="G454" s="306">
        <f t="shared" ca="1" si="214"/>
        <v>10.89844201815991</v>
      </c>
      <c r="H454" s="307">
        <f t="shared" ca="1" si="215"/>
        <v>-95.306388477240247</v>
      </c>
      <c r="I454" s="304">
        <f t="shared" ca="1" si="216"/>
        <v>95.927492008275848</v>
      </c>
      <c r="J454" s="306">
        <f t="shared" ca="1" si="217"/>
        <v>574.87320189635716</v>
      </c>
      <c r="K454" s="307">
        <f t="shared" ca="1" si="218"/>
        <v>1640.0870734045138</v>
      </c>
      <c r="L454" s="304">
        <f t="shared" ca="1" si="203"/>
        <v>1737.9196778353</v>
      </c>
      <c r="M454" s="306">
        <f t="shared" ca="1" si="219"/>
        <v>-1.4569392423877692</v>
      </c>
      <c r="N454" s="304">
        <f t="shared" ca="1" si="220"/>
        <v>-83.476469595806819</v>
      </c>
      <c r="P454" s="310">
        <f t="shared" ca="1" si="221"/>
        <v>23</v>
      </c>
      <c r="Q454" s="304">
        <f t="shared" ca="1" si="222"/>
        <v>0</v>
      </c>
      <c r="R454" s="306">
        <f t="shared" ca="1" si="223"/>
        <v>0</v>
      </c>
      <c r="S454" s="307">
        <f t="shared" ca="1" si="224"/>
        <v>2.0842999999999985</v>
      </c>
      <c r="T454" s="304">
        <f t="shared" ca="1" si="204"/>
        <v>20.446982999999985</v>
      </c>
      <c r="U454" s="311">
        <f t="shared" ca="1" si="205"/>
        <v>0</v>
      </c>
      <c r="V454" s="306">
        <f t="shared" ca="1" si="206"/>
        <v>1.0393162124897637</v>
      </c>
      <c r="W454" s="304">
        <f t="shared" ca="1" si="207"/>
        <v>10.560886937960612</v>
      </c>
      <c r="Y454" s="314" t="str">
        <f t="shared" ca="1" si="225"/>
        <v/>
      </c>
      <c r="Z454" s="315" t="str">
        <f t="shared" ca="1" si="226"/>
        <v/>
      </c>
      <c r="AA454" s="316" t="str">
        <f t="shared" ca="1" si="227"/>
        <v/>
      </c>
      <c r="AC454" s="310" t="e">
        <f t="shared" ca="1" si="228"/>
        <v>#N/A</v>
      </c>
      <c r="AD454" s="323" t="e">
        <f t="shared" ca="1" si="229"/>
        <v>#N/A</v>
      </c>
      <c r="AE454" s="324" t="e">
        <f t="shared" ca="1" si="208"/>
        <v>#N/A</v>
      </c>
      <c r="AG454" s="306">
        <f t="shared" ca="1" si="230"/>
        <v>4.7329755799437425</v>
      </c>
      <c r="AH454" s="304">
        <f t="shared" ca="1" si="231"/>
        <v>-5.0121925203858577</v>
      </c>
    </row>
    <row r="455" spans="1:34" x14ac:dyDescent="0.25">
      <c r="A455" s="347">
        <f t="shared" ca="1" si="209"/>
        <v>0.1</v>
      </c>
      <c r="B455" s="304">
        <f t="shared" ca="1" si="210"/>
        <v>32.800000000000168</v>
      </c>
      <c r="D455" s="306">
        <f t="shared" ca="1" si="211"/>
        <v>-0.57565395465975699</v>
      </c>
      <c r="E455" s="307">
        <f t="shared" ca="1" si="212"/>
        <v>-4.7759318882603372</v>
      </c>
      <c r="F455" s="304">
        <f t="shared" ca="1" si="213"/>
        <v>4.8104992336365013</v>
      </c>
      <c r="G455" s="306">
        <f t="shared" ca="1" si="214"/>
        <v>10.840876622693935</v>
      </c>
      <c r="H455" s="307">
        <f t="shared" ca="1" si="215"/>
        <v>-95.783981666066282</v>
      </c>
      <c r="I455" s="304">
        <f t="shared" ca="1" si="216"/>
        <v>96.395517270015176</v>
      </c>
      <c r="J455" s="306">
        <f t="shared" ca="1" si="217"/>
        <v>575.9601678283999</v>
      </c>
      <c r="K455" s="307">
        <f t="shared" ca="1" si="218"/>
        <v>1630.5325548973485</v>
      </c>
      <c r="L455" s="304">
        <f t="shared" ca="1" si="203"/>
        <v>1729.2676274958117</v>
      </c>
      <c r="M455" s="306">
        <f t="shared" ca="1" si="219"/>
        <v>-1.4580954440618403</v>
      </c>
      <c r="N455" s="304">
        <f t="shared" ca="1" si="220"/>
        <v>-83.542715071997065</v>
      </c>
      <c r="P455" s="310">
        <f t="shared" ca="1" si="221"/>
        <v>23</v>
      </c>
      <c r="Q455" s="304">
        <f t="shared" ca="1" si="222"/>
        <v>0</v>
      </c>
      <c r="R455" s="306">
        <f t="shared" ca="1" si="223"/>
        <v>0</v>
      </c>
      <c r="S455" s="307">
        <f t="shared" ca="1" si="224"/>
        <v>2.0842999999999985</v>
      </c>
      <c r="T455" s="304">
        <f t="shared" ca="1" si="204"/>
        <v>20.446982999999985</v>
      </c>
      <c r="U455" s="311">
        <f t="shared" ca="1" si="205"/>
        <v>0</v>
      </c>
      <c r="V455" s="306">
        <f t="shared" ca="1" si="206"/>
        <v>1.0403163936505093</v>
      </c>
      <c r="W455" s="304">
        <f t="shared" ca="1" si="207"/>
        <v>10.674453005163606</v>
      </c>
      <c r="Y455" s="314" t="str">
        <f t="shared" ca="1" si="225"/>
        <v/>
      </c>
      <c r="Z455" s="315" t="str">
        <f t="shared" ca="1" si="226"/>
        <v/>
      </c>
      <c r="AA455" s="316" t="str">
        <f t="shared" ca="1" si="227"/>
        <v/>
      </c>
      <c r="AC455" s="310" t="e">
        <f t="shared" ca="1" si="228"/>
        <v>#N/A</v>
      </c>
      <c r="AD455" s="323" t="e">
        <f t="shared" ca="1" si="229"/>
        <v>#N/A</v>
      </c>
      <c r="AE455" s="324" t="e">
        <f t="shared" ca="1" si="208"/>
        <v>#N/A</v>
      </c>
      <c r="AG455" s="306">
        <f t="shared" ca="1" si="230"/>
        <v>4.6796083087137079</v>
      </c>
      <c r="AH455" s="304">
        <f t="shared" ca="1" si="231"/>
        <v>-5.0668747003601302</v>
      </c>
    </row>
    <row r="456" spans="1:34" x14ac:dyDescent="0.25">
      <c r="A456" s="347">
        <f t="shared" ca="1" si="209"/>
        <v>0.1</v>
      </c>
      <c r="B456" s="304">
        <f t="shared" ca="1" si="210"/>
        <v>32.900000000000169</v>
      </c>
      <c r="D456" s="306">
        <f t="shared" ca="1" si="211"/>
        <v>-0.57596085101113681</v>
      </c>
      <c r="E456" s="307">
        <f t="shared" ca="1" si="212"/>
        <v>-4.7211289138614347</v>
      </c>
      <c r="F456" s="304">
        <f t="shared" ca="1" si="213"/>
        <v>4.7561317394702094</v>
      </c>
      <c r="G456" s="306">
        <f t="shared" ca="1" si="214"/>
        <v>10.783280537592821</v>
      </c>
      <c r="H456" s="307">
        <f t="shared" ca="1" si="215"/>
        <v>-96.256094557452428</v>
      </c>
      <c r="I456" s="304">
        <f t="shared" ca="1" si="216"/>
        <v>96.85822050092419</v>
      </c>
      <c r="J456" s="306">
        <f t="shared" ca="1" si="217"/>
        <v>577.0413756864142</v>
      </c>
      <c r="K456" s="307">
        <f t="shared" ca="1" si="218"/>
        <v>1620.9305510861725</v>
      </c>
      <c r="L456" s="304">
        <f t="shared" ca="1" si="203"/>
        <v>1720.5791468858945</v>
      </c>
      <c r="M456" s="306">
        <f t="shared" ca="1" si="219"/>
        <v>-1.4592344872184624</v>
      </c>
      <c r="N456" s="304">
        <f t="shared" ca="1" si="220"/>
        <v>-83.607977437554766</v>
      </c>
      <c r="P456" s="310">
        <f t="shared" ca="1" si="221"/>
        <v>23</v>
      </c>
      <c r="Q456" s="304">
        <f t="shared" ca="1" si="222"/>
        <v>0</v>
      </c>
      <c r="R456" s="306">
        <f t="shared" ca="1" si="223"/>
        <v>0</v>
      </c>
      <c r="S456" s="307">
        <f t="shared" ca="1" si="224"/>
        <v>2.0842999999999985</v>
      </c>
      <c r="T456" s="304">
        <f t="shared" ca="1" si="204"/>
        <v>20.446982999999985</v>
      </c>
      <c r="U456" s="311">
        <f t="shared" ca="1" si="205"/>
        <v>0</v>
      </c>
      <c r="V456" s="306">
        <f t="shared" ca="1" si="206"/>
        <v>1.0413224362255018</v>
      </c>
      <c r="W456" s="304">
        <f t="shared" ca="1" si="207"/>
        <v>10.787596864572954</v>
      </c>
      <c r="Y456" s="314" t="str">
        <f t="shared" ca="1" si="225"/>
        <v/>
      </c>
      <c r="Z456" s="315" t="str">
        <f t="shared" ca="1" si="226"/>
        <v/>
      </c>
      <c r="AA456" s="316" t="str">
        <f t="shared" ca="1" si="227"/>
        <v/>
      </c>
      <c r="AC456" s="310" t="e">
        <f t="shared" ca="1" si="228"/>
        <v>#N/A</v>
      </c>
      <c r="AD456" s="323" t="e">
        <f t="shared" ca="1" si="229"/>
        <v>#N/A</v>
      </c>
      <c r="AE456" s="324" t="e">
        <f t="shared" ca="1" si="208"/>
        <v>#N/A</v>
      </c>
      <c r="AG456" s="306">
        <f t="shared" ca="1" si="230"/>
        <v>4.6264039805287442</v>
      </c>
      <c r="AH456" s="304">
        <f t="shared" ca="1" si="231"/>
        <v>-5.1213611309137903</v>
      </c>
    </row>
    <row r="457" spans="1:34" x14ac:dyDescent="0.25">
      <c r="A457" s="347">
        <f t="shared" ca="1" si="209"/>
        <v>0.1</v>
      </c>
      <c r="B457" s="304">
        <f t="shared" ca="1" si="210"/>
        <v>33.000000000000171</v>
      </c>
      <c r="D457" s="306">
        <f t="shared" ca="1" si="211"/>
        <v>-0.57620748825622292</v>
      </c>
      <c r="E457" s="307">
        <f t="shared" ca="1" si="212"/>
        <v>-4.6665297655991074</v>
      </c>
      <c r="F457" s="304">
        <f t="shared" ca="1" si="213"/>
        <v>4.7019692813485081</v>
      </c>
      <c r="G457" s="306">
        <f t="shared" ca="1" si="214"/>
        <v>10.725659788767199</v>
      </c>
      <c r="H457" s="307">
        <f t="shared" ca="1" si="215"/>
        <v>-96.722747534012342</v>
      </c>
      <c r="I457" s="304">
        <f t="shared" ca="1" si="216"/>
        <v>97.315618830857105</v>
      </c>
      <c r="J457" s="306">
        <f t="shared" ca="1" si="217"/>
        <v>578.11682270273218</v>
      </c>
      <c r="K457" s="307">
        <f t="shared" ca="1" si="218"/>
        <v>1611.2816089815992</v>
      </c>
      <c r="L457" s="304">
        <f t="shared" ca="1" si="203"/>
        <v>1711.8549833832985</v>
      </c>
      <c r="M457" s="306">
        <f t="shared" ca="1" si="219"/>
        <v>-1.4603567665582298</v>
      </c>
      <c r="N457" s="304">
        <f t="shared" ca="1" si="220"/>
        <v>-83.672279307158163</v>
      </c>
      <c r="P457" s="310">
        <f t="shared" ca="1" si="221"/>
        <v>23</v>
      </c>
      <c r="Q457" s="304">
        <f t="shared" ca="1" si="222"/>
        <v>0</v>
      </c>
      <c r="R457" s="306">
        <f t="shared" ca="1" si="223"/>
        <v>0</v>
      </c>
      <c r="S457" s="307">
        <f t="shared" ca="1" si="224"/>
        <v>2.0842999999999985</v>
      </c>
      <c r="T457" s="304">
        <f t="shared" ca="1" si="204"/>
        <v>20.446982999999985</v>
      </c>
      <c r="U457" s="311">
        <f t="shared" ca="1" si="205"/>
        <v>0</v>
      </c>
      <c r="V457" s="306">
        <f t="shared" ca="1" si="206"/>
        <v>1.0423342972697978</v>
      </c>
      <c r="W457" s="304">
        <f t="shared" ca="1" si="207"/>
        <v>10.900304658708269</v>
      </c>
      <c r="Y457" s="314" t="str">
        <f t="shared" ca="1" si="225"/>
        <v/>
      </c>
      <c r="Z457" s="315" t="str">
        <f t="shared" ca="1" si="226"/>
        <v/>
      </c>
      <c r="AA457" s="316" t="str">
        <f t="shared" ca="1" si="227"/>
        <v/>
      </c>
      <c r="AC457" s="310">
        <f t="shared" ca="1" si="228"/>
        <v>33.000000000000171</v>
      </c>
      <c r="AD457" s="323">
        <f t="shared" ca="1" si="229"/>
        <v>578.11682270273218</v>
      </c>
      <c r="AE457" s="324" t="e">
        <f t="shared" ca="1" si="208"/>
        <v>#N/A</v>
      </c>
      <c r="AG457" s="306">
        <f t="shared" ca="1" si="230"/>
        <v>4.5733704489720477</v>
      </c>
      <c r="AH457" s="304">
        <f t="shared" ca="1" si="231"/>
        <v>-5.1756449957170094</v>
      </c>
    </row>
    <row r="458" spans="1:34" x14ac:dyDescent="0.25">
      <c r="A458" s="347">
        <f t="shared" ca="1" si="209"/>
        <v>0.1</v>
      </c>
      <c r="B458" s="304">
        <f t="shared" ca="1" si="210"/>
        <v>33.100000000000172</v>
      </c>
      <c r="D458" s="306">
        <f t="shared" ca="1" si="211"/>
        <v>-0.57639456430887881</v>
      </c>
      <c r="E458" s="307">
        <f t="shared" ca="1" si="212"/>
        <v>-4.6121411249673256</v>
      </c>
      <c r="F458" s="304">
        <f t="shared" ca="1" si="213"/>
        <v>4.6480185509934975</v>
      </c>
      <c r="G458" s="306">
        <f t="shared" ca="1" si="214"/>
        <v>10.668020332336312</v>
      </c>
      <c r="H458" s="307">
        <f t="shared" ca="1" si="215"/>
        <v>-97.183961646509076</v>
      </c>
      <c r="I458" s="304">
        <f t="shared" ca="1" si="216"/>
        <v>97.767730152240361</v>
      </c>
      <c r="J458" s="306">
        <f t="shared" ca="1" si="217"/>
        <v>579.18650670878731</v>
      </c>
      <c r="K458" s="307">
        <f t="shared" ca="1" si="218"/>
        <v>1601.586273522573</v>
      </c>
      <c r="L458" s="304">
        <f t="shared" ca="1" si="203"/>
        <v>1703.0958872269789</v>
      </c>
      <c r="M458" s="306">
        <f t="shared" ca="1" si="219"/>
        <v>-1.4614626644550497</v>
      </c>
      <c r="N458" s="304">
        <f t="shared" ca="1" si="220"/>
        <v>-83.735642589218344</v>
      </c>
      <c r="P458" s="310">
        <f t="shared" ca="1" si="221"/>
        <v>23</v>
      </c>
      <c r="Q458" s="304">
        <f t="shared" ca="1" si="222"/>
        <v>0</v>
      </c>
      <c r="R458" s="306">
        <f t="shared" ca="1" si="223"/>
        <v>0</v>
      </c>
      <c r="S458" s="307">
        <f t="shared" ca="1" si="224"/>
        <v>2.0842999999999985</v>
      </c>
      <c r="T458" s="304">
        <f t="shared" ca="1" si="204"/>
        <v>20.446982999999985</v>
      </c>
      <c r="U458" s="311">
        <f t="shared" ca="1" si="205"/>
        <v>0</v>
      </c>
      <c r="V458" s="306">
        <f t="shared" ca="1" si="206"/>
        <v>1.0433519339531152</v>
      </c>
      <c r="W458" s="304">
        <f t="shared" ca="1" si="207"/>
        <v>11.012562879076615</v>
      </c>
      <c r="Y458" s="314" t="str">
        <f t="shared" ca="1" si="225"/>
        <v/>
      </c>
      <c r="Z458" s="315" t="str">
        <f t="shared" ca="1" si="226"/>
        <v/>
      </c>
      <c r="AA458" s="316" t="str">
        <f t="shared" ca="1" si="227"/>
        <v/>
      </c>
      <c r="AC458" s="310" t="e">
        <f t="shared" ca="1" si="228"/>
        <v>#N/A</v>
      </c>
      <c r="AD458" s="323" t="e">
        <f t="shared" ca="1" si="229"/>
        <v>#N/A</v>
      </c>
      <c r="AE458" s="324" t="e">
        <f t="shared" ca="1" si="208"/>
        <v>#N/A</v>
      </c>
      <c r="AG458" s="306">
        <f t="shared" ca="1" si="230"/>
        <v>4.5205153592579173</v>
      </c>
      <c r="AH458" s="304">
        <f t="shared" ca="1" si="231"/>
        <v>-5.2297196462641065</v>
      </c>
    </row>
    <row r="459" spans="1:34" x14ac:dyDescent="0.25">
      <c r="A459" s="347">
        <f t="shared" ca="1" si="209"/>
        <v>0.1</v>
      </c>
      <c r="B459" s="304">
        <f t="shared" ca="1" si="210"/>
        <v>33.200000000000173</v>
      </c>
      <c r="D459" s="306">
        <f t="shared" ca="1" si="211"/>
        <v>-0.57652278374854715</v>
      </c>
      <c r="E459" s="307">
        <f t="shared" ca="1" si="212"/>
        <v>-4.5579695052393028</v>
      </c>
      <c r="F459" s="304">
        <f t="shared" ca="1" si="213"/>
        <v>4.5942860741221354</v>
      </c>
      <c r="G459" s="306">
        <f t="shared" ca="1" si="214"/>
        <v>10.610368053961457</v>
      </c>
      <c r="H459" s="307">
        <f t="shared" ca="1" si="215"/>
        <v>-97.639758597033008</v>
      </c>
      <c r="I459" s="304">
        <f t="shared" ca="1" si="216"/>
        <v>98.214573099552823</v>
      </c>
      <c r="J459" s="306">
        <f t="shared" ca="1" si="217"/>
        <v>580.25042612810216</v>
      </c>
      <c r="K459" s="307">
        <f t="shared" ca="1" si="218"/>
        <v>1591.8450875103958</v>
      </c>
      <c r="L459" s="304">
        <f t="shared" ca="1" si="203"/>
        <v>1694.3026115935795</v>
      </c>
      <c r="M459" s="306">
        <f t="shared" ca="1" si="219"/>
        <v>-1.4625525514299824</v>
      </c>
      <c r="N459" s="304">
        <f t="shared" ca="1" si="220"/>
        <v>-83.798088513028262</v>
      </c>
      <c r="P459" s="310">
        <f t="shared" ca="1" si="221"/>
        <v>23</v>
      </c>
      <c r="Q459" s="304">
        <f t="shared" ca="1" si="222"/>
        <v>0</v>
      </c>
      <c r="R459" s="306">
        <f t="shared" ca="1" si="223"/>
        <v>0</v>
      </c>
      <c r="S459" s="307">
        <f t="shared" ca="1" si="224"/>
        <v>2.0842999999999985</v>
      </c>
      <c r="T459" s="304">
        <f t="shared" ca="1" si="204"/>
        <v>20.446982999999985</v>
      </c>
      <c r="U459" s="311">
        <f t="shared" ca="1" si="205"/>
        <v>0</v>
      </c>
      <c r="V459" s="306">
        <f t="shared" ca="1" si="206"/>
        <v>1.0443753035651224</v>
      </c>
      <c r="W459" s="304">
        <f t="shared" ca="1" si="207"/>
        <v>11.12435836518274</v>
      </c>
      <c r="Y459" s="314" t="str">
        <f t="shared" ca="1" si="225"/>
        <v/>
      </c>
      <c r="Z459" s="315" t="str">
        <f t="shared" ca="1" si="226"/>
        <v/>
      </c>
      <c r="AA459" s="316" t="str">
        <f t="shared" ca="1" si="227"/>
        <v/>
      </c>
      <c r="AC459" s="310" t="e">
        <f t="shared" ca="1" si="228"/>
        <v>#N/A</v>
      </c>
      <c r="AD459" s="323" t="e">
        <f t="shared" ca="1" si="229"/>
        <v>#N/A</v>
      </c>
      <c r="AE459" s="324" t="e">
        <f t="shared" ca="1" si="208"/>
        <v>#N/A</v>
      </c>
      <c r="AG459" s="306">
        <f t="shared" ca="1" si="230"/>
        <v>4.4678461505024512</v>
      </c>
      <c r="AH459" s="304">
        <f t="shared" ca="1" si="231"/>
        <v>-5.28357860148569</v>
      </c>
    </row>
    <row r="460" spans="1:34" x14ac:dyDescent="0.25">
      <c r="A460" s="347">
        <f t="shared" ca="1" si="209"/>
        <v>0.1</v>
      </c>
      <c r="B460" s="304">
        <f t="shared" ca="1" si="210"/>
        <v>33.300000000000175</v>
      </c>
      <c r="D460" s="306">
        <f t="shared" ca="1" si="211"/>
        <v>-0.57659285738073407</v>
      </c>
      <c r="E460" s="307">
        <f t="shared" ca="1" si="212"/>
        <v>-4.5040212519386662</v>
      </c>
      <c r="F460" s="304">
        <f t="shared" ca="1" si="213"/>
        <v>4.5407782109565344</v>
      </c>
      <c r="G460" s="306">
        <f t="shared" ca="1" si="214"/>
        <v>10.552708768223383</v>
      </c>
      <c r="H460" s="307">
        <f t="shared" ca="1" si="215"/>
        <v>-98.090160722226869</v>
      </c>
      <c r="I460" s="304">
        <f t="shared" ca="1" si="216"/>
        <v>98.656167029026818</v>
      </c>
      <c r="J460" s="306">
        <f t="shared" ca="1" si="217"/>
        <v>581.30857996921145</v>
      </c>
      <c r="K460" s="307">
        <f t="shared" ca="1" si="218"/>
        <v>1582.0585915444328</v>
      </c>
      <c r="L460" s="304">
        <f t="shared" ca="1" si="203"/>
        <v>1685.475912680266</v>
      </c>
      <c r="M460" s="306">
        <f t="shared" ca="1" si="219"/>
        <v>-1.4636267866035657</v>
      </c>
      <c r="N460" s="304">
        <f t="shared" ca="1" si="220"/>
        <v>-83.859637654679091</v>
      </c>
      <c r="P460" s="310">
        <f t="shared" ca="1" si="221"/>
        <v>23</v>
      </c>
      <c r="Q460" s="304">
        <f t="shared" ca="1" si="222"/>
        <v>0</v>
      </c>
      <c r="R460" s="306">
        <f t="shared" ca="1" si="223"/>
        <v>0</v>
      </c>
      <c r="S460" s="307">
        <f t="shared" ca="1" si="224"/>
        <v>2.0842999999999985</v>
      </c>
      <c r="T460" s="304">
        <f t="shared" ca="1" si="204"/>
        <v>20.446982999999985</v>
      </c>
      <c r="U460" s="311">
        <f t="shared" ca="1" si="205"/>
        <v>0</v>
      </c>
      <c r="V460" s="306">
        <f t="shared" ca="1" si="206"/>
        <v>1.0454043635206125</v>
      </c>
      <c r="W460" s="304">
        <f t="shared" ca="1" si="207"/>
        <v>11.235678303362882</v>
      </c>
      <c r="Y460" s="314" t="str">
        <f t="shared" ca="1" si="225"/>
        <v/>
      </c>
      <c r="Z460" s="315" t="str">
        <f t="shared" ca="1" si="226"/>
        <v/>
      </c>
      <c r="AA460" s="316" t="str">
        <f t="shared" ca="1" si="227"/>
        <v/>
      </c>
      <c r="AC460" s="310" t="e">
        <f t="shared" ca="1" si="228"/>
        <v>#N/A</v>
      </c>
      <c r="AD460" s="323" t="e">
        <f t="shared" ca="1" si="229"/>
        <v>#N/A</v>
      </c>
      <c r="AE460" s="324" t="e">
        <f t="shared" ca="1" si="208"/>
        <v>#N/A</v>
      </c>
      <c r="AG460" s="306">
        <f t="shared" ca="1" si="230"/>
        <v>4.4153700579805033</v>
      </c>
      <c r="AH460" s="304">
        <f t="shared" ca="1" si="231"/>
        <v>-5.3372155472737841</v>
      </c>
    </row>
    <row r="461" spans="1:34" x14ac:dyDescent="0.25">
      <c r="A461" s="347">
        <f t="shared" ca="1" si="209"/>
        <v>0.1</v>
      </c>
      <c r="B461" s="304">
        <f t="shared" ca="1" si="210"/>
        <v>33.400000000000176</v>
      </c>
      <c r="D461" s="306">
        <f t="shared" ca="1" si="211"/>
        <v>-0.5766055018045525</v>
      </c>
      <c r="E461" s="307">
        <f t="shared" ca="1" si="212"/>
        <v>-4.4503025433960675</v>
      </c>
      <c r="F461" s="304">
        <f t="shared" ca="1" si="213"/>
        <v>4.4875011568208851</v>
      </c>
      <c r="G461" s="306">
        <f t="shared" ca="1" si="214"/>
        <v>10.495048218042927</v>
      </c>
      <c r="H461" s="307">
        <f t="shared" ca="1" si="215"/>
        <v>-98.535190976566483</v>
      </c>
      <c r="I461" s="304">
        <f t="shared" ca="1" si="216"/>
        <v>99.092531998569271</v>
      </c>
      <c r="J461" s="306">
        <f t="shared" ca="1" si="217"/>
        <v>582.36096781852473</v>
      </c>
      <c r="K461" s="307">
        <f t="shared" ca="1" si="218"/>
        <v>1572.2273239594931</v>
      </c>
      <c r="L461" s="304">
        <f t="shared" ca="1" si="203"/>
        <v>1676.616549794066</v>
      </c>
      <c r="M461" s="306">
        <f t="shared" ca="1" si="219"/>
        <v>-1.4646857181277455</v>
      </c>
      <c r="N461" s="304">
        <f t="shared" ca="1" si="220"/>
        <v>-83.920309961807945</v>
      </c>
      <c r="P461" s="310">
        <f t="shared" ca="1" si="221"/>
        <v>23</v>
      </c>
      <c r="Q461" s="304">
        <f t="shared" ca="1" si="222"/>
        <v>0</v>
      </c>
      <c r="R461" s="306">
        <f t="shared" ca="1" si="223"/>
        <v>0</v>
      </c>
      <c r="S461" s="307">
        <f t="shared" ca="1" si="224"/>
        <v>2.0842999999999985</v>
      </c>
      <c r="T461" s="304">
        <f t="shared" ca="1" si="204"/>
        <v>20.446982999999985</v>
      </c>
      <c r="U461" s="311">
        <f t="shared" ca="1" si="205"/>
        <v>0</v>
      </c>
      <c r="V461" s="306">
        <f t="shared" ca="1" si="206"/>
        <v>1.0464390713645721</v>
      </c>
      <c r="W461" s="304">
        <f t="shared" ca="1" si="207"/>
        <v>11.346510225447455</v>
      </c>
      <c r="Y461" s="314" t="str">
        <f t="shared" ca="1" si="225"/>
        <v/>
      </c>
      <c r="Z461" s="315" t="str">
        <f t="shared" ca="1" si="226"/>
        <v/>
      </c>
      <c r="AA461" s="316" t="str">
        <f t="shared" ca="1" si="227"/>
        <v/>
      </c>
      <c r="AC461" s="310" t="e">
        <f t="shared" ca="1" si="228"/>
        <v>#N/A</v>
      </c>
      <c r="AD461" s="323" t="e">
        <f t="shared" ca="1" si="229"/>
        <v>#N/A</v>
      </c>
      <c r="AE461" s="324" t="e">
        <f t="shared" ca="1" si="208"/>
        <v>#N/A</v>
      </c>
      <c r="AG461" s="306">
        <f t="shared" ca="1" si="230"/>
        <v>4.3630941153725322</v>
      </c>
      <c r="AH461" s="304">
        <f t="shared" ca="1" si="231"/>
        <v>-5.3906243359223192</v>
      </c>
    </row>
    <row r="462" spans="1:34" x14ac:dyDescent="0.25">
      <c r="A462" s="347">
        <f t="shared" ca="1" si="209"/>
        <v>0.1</v>
      </c>
      <c r="B462" s="304">
        <f t="shared" ca="1" si="210"/>
        <v>33.500000000000178</v>
      </c>
      <c r="D462" s="306">
        <f t="shared" ca="1" si="211"/>
        <v>-0.57656143898743628</v>
      </c>
      <c r="E462" s="307">
        <f t="shared" ca="1" si="212"/>
        <v>-4.3968193913886564</v>
      </c>
      <c r="F462" s="304">
        <f t="shared" ca="1" si="213"/>
        <v>4.4344609428225406</v>
      </c>
      <c r="G462" s="306">
        <f t="shared" ca="1" si="214"/>
        <v>10.437392074144183</v>
      </c>
      <c r="H462" s="307">
        <f t="shared" ca="1" si="215"/>
        <v>-98.974872915705348</v>
      </c>
      <c r="I462" s="304">
        <f t="shared" ca="1" si="216"/>
        <v>99.523688747902781</v>
      </c>
      <c r="J462" s="306">
        <f t="shared" ca="1" si="217"/>
        <v>583.40758983313413</v>
      </c>
      <c r="K462" s="307">
        <f t="shared" ca="1" si="218"/>
        <v>1562.3518207648794</v>
      </c>
      <c r="L462" s="304">
        <f t="shared" ca="1" si="203"/>
        <v>1667.7252854478884</v>
      </c>
      <c r="M462" s="306">
        <f t="shared" ca="1" si="219"/>
        <v>-1.4657296835984743</v>
      </c>
      <c r="N462" s="304">
        <f t="shared" ca="1" si="220"/>
        <v>-83.980124777238103</v>
      </c>
      <c r="P462" s="310">
        <f t="shared" ca="1" si="221"/>
        <v>23</v>
      </c>
      <c r="Q462" s="304">
        <f t="shared" ca="1" si="222"/>
        <v>0</v>
      </c>
      <c r="R462" s="306">
        <f t="shared" ca="1" si="223"/>
        <v>0</v>
      </c>
      <c r="S462" s="307">
        <f t="shared" ca="1" si="224"/>
        <v>2.0842999999999985</v>
      </c>
      <c r="T462" s="304">
        <f t="shared" ca="1" si="204"/>
        <v>20.446982999999985</v>
      </c>
      <c r="U462" s="311">
        <f t="shared" ca="1" si="205"/>
        <v>0</v>
      </c>
      <c r="V462" s="306">
        <f t="shared" ca="1" si="206"/>
        <v>1.0474793847771391</v>
      </c>
      <c r="W462" s="304">
        <f t="shared" ca="1" si="207"/>
        <v>11.456842007257819</v>
      </c>
      <c r="Y462" s="314" t="str">
        <f t="shared" ca="1" si="225"/>
        <v/>
      </c>
      <c r="Z462" s="315" t="str">
        <f t="shared" ca="1" si="226"/>
        <v/>
      </c>
      <c r="AA462" s="316" t="str">
        <f t="shared" ca="1" si="227"/>
        <v/>
      </c>
      <c r="AC462" s="310" t="e">
        <f t="shared" ca="1" si="228"/>
        <v>#N/A</v>
      </c>
      <c r="AD462" s="323" t="e">
        <f t="shared" ca="1" si="229"/>
        <v>#N/A</v>
      </c>
      <c r="AE462" s="324" t="e">
        <f t="shared" ca="1" si="208"/>
        <v>#N/A</v>
      </c>
      <c r="AG462" s="306">
        <f t="shared" ca="1" si="230"/>
        <v>4.3110251570045905</v>
      </c>
      <c r="AH462" s="304">
        <f t="shared" ca="1" si="231"/>
        <v>-5.4437989854855173</v>
      </c>
    </row>
    <row r="463" spans="1:34" x14ac:dyDescent="0.25">
      <c r="A463" s="347">
        <f t="shared" ca="1" si="209"/>
        <v>0.1</v>
      </c>
      <c r="B463" s="304">
        <f t="shared" ca="1" si="210"/>
        <v>33.600000000000179</v>
      </c>
      <c r="D463" s="306">
        <f t="shared" ca="1" si="211"/>
        <v>-0.57646139584709177</v>
      </c>
      <c r="E463" s="307">
        <f t="shared" ca="1" si="212"/>
        <v>-4.3435776418599019</v>
      </c>
      <c r="F463" s="304">
        <f t="shared" ca="1" si="213"/>
        <v>4.3816634366148213</v>
      </c>
      <c r="G463" s="306">
        <f t="shared" ca="1" si="214"/>
        <v>10.379745934559475</v>
      </c>
      <c r="H463" s="307">
        <f t="shared" ca="1" si="215"/>
        <v>-99.409230679891337</v>
      </c>
      <c r="I463" s="304">
        <f t="shared" ca="1" si="216"/>
        <v>99.949658678926241</v>
      </c>
      <c r="J463" s="306">
        <f t="shared" ca="1" si="217"/>
        <v>584.44844673356931</v>
      </c>
      <c r="K463" s="307">
        <f t="shared" ca="1" si="218"/>
        <v>1552.4326155850997</v>
      </c>
      <c r="L463" s="304">
        <f t="shared" ca="1" si="203"/>
        <v>1658.8028854633922</v>
      </c>
      <c r="M463" s="306">
        <f t="shared" ca="1" si="219"/>
        <v>-1.466759010449971</v>
      </c>
      <c r="N463" s="304">
        <f t="shared" ca="1" si="220"/>
        <v>-84.039100861568357</v>
      </c>
      <c r="P463" s="310">
        <f t="shared" ca="1" si="221"/>
        <v>23</v>
      </c>
      <c r="Q463" s="304">
        <f t="shared" ca="1" si="222"/>
        <v>0</v>
      </c>
      <c r="R463" s="306">
        <f t="shared" ca="1" si="223"/>
        <v>0</v>
      </c>
      <c r="S463" s="307">
        <f t="shared" ca="1" si="224"/>
        <v>2.0842999999999985</v>
      </c>
      <c r="T463" s="304">
        <f t="shared" ca="1" si="204"/>
        <v>20.446982999999985</v>
      </c>
      <c r="U463" s="311">
        <f t="shared" ca="1" si="205"/>
        <v>0</v>
      </c>
      <c r="V463" s="306">
        <f t="shared" ca="1" si="206"/>
        <v>1.0485252615784484</v>
      </c>
      <c r="W463" s="304">
        <f t="shared" ca="1" si="207"/>
        <v>11.566661866942237</v>
      </c>
      <c r="Y463" s="314" t="str">
        <f t="shared" ca="1" si="225"/>
        <v/>
      </c>
      <c r="Z463" s="315" t="str">
        <f t="shared" ca="1" si="226"/>
        <v/>
      </c>
      <c r="AA463" s="316" t="str">
        <f t="shared" ca="1" si="227"/>
        <v/>
      </c>
      <c r="AC463" s="310" t="e">
        <f t="shared" ca="1" si="228"/>
        <v>#N/A</v>
      </c>
      <c r="AD463" s="323" t="e">
        <f t="shared" ca="1" si="229"/>
        <v>#N/A</v>
      </c>
      <c r="AE463" s="324" t="e">
        <f t="shared" ca="1" si="208"/>
        <v>#N/A</v>
      </c>
      <c r="AG463" s="306">
        <f t="shared" ca="1" si="230"/>
        <v>4.2591698200841748</v>
      </c>
      <c r="AH463" s="304">
        <f t="shared" ca="1" si="231"/>
        <v>-5.4967336790566748</v>
      </c>
    </row>
    <row r="464" spans="1:34" x14ac:dyDescent="0.25">
      <c r="A464" s="347">
        <f t="shared" ca="1" si="209"/>
        <v>0.1</v>
      </c>
      <c r="B464" s="304">
        <f t="shared" ca="1" si="210"/>
        <v>33.70000000000018</v>
      </c>
      <c r="D464" s="306">
        <f t="shared" ca="1" si="211"/>
        <v>-0.57630610384077519</v>
      </c>
      <c r="E464" s="307">
        <f t="shared" ca="1" si="212"/>
        <v>-4.2905829757172702</v>
      </c>
      <c r="F464" s="304">
        <f t="shared" ca="1" si="213"/>
        <v>4.3291143432391577</v>
      </c>
      <c r="G464" s="306">
        <f t="shared" ca="1" si="214"/>
        <v>10.322115324175398</v>
      </c>
      <c r="H464" s="307">
        <f t="shared" ca="1" si="215"/>
        <v>-99.838288977463066</v>
      </c>
      <c r="I464" s="304">
        <f t="shared" ca="1" si="216"/>
        <v>100.37046383629499</v>
      </c>
      <c r="J464" s="306">
        <f t="shared" ca="1" si="217"/>
        <v>585.48353979650608</v>
      </c>
      <c r="K464" s="307">
        <f t="shared" ca="1" si="218"/>
        <v>1542.4702396022319</v>
      </c>
      <c r="L464" s="304">
        <f t="shared" ca="1" si="203"/>
        <v>1649.8501190808859</v>
      </c>
      <c r="M464" s="306">
        <f t="shared" ca="1" si="219"/>
        <v>-1.4677740163315831</v>
      </c>
      <c r="N464" s="304">
        <f t="shared" ca="1" si="220"/>
        <v>-84.097256414765681</v>
      </c>
      <c r="P464" s="310">
        <f t="shared" ca="1" si="221"/>
        <v>23</v>
      </c>
      <c r="Q464" s="304">
        <f t="shared" ca="1" si="222"/>
        <v>0</v>
      </c>
      <c r="R464" s="306">
        <f t="shared" ca="1" si="223"/>
        <v>0</v>
      </c>
      <c r="S464" s="307">
        <f t="shared" ca="1" si="224"/>
        <v>2.0842999999999985</v>
      </c>
      <c r="T464" s="304">
        <f t="shared" ca="1" si="204"/>
        <v>20.446982999999985</v>
      </c>
      <c r="U464" s="311">
        <f t="shared" ca="1" si="205"/>
        <v>0</v>
      </c>
      <c r="V464" s="306">
        <f t="shared" ca="1" si="206"/>
        <v>1.0495766597333711</v>
      </c>
      <c r="W464" s="304">
        <f t="shared" ca="1" si="207"/>
        <v>11.675958363156292</v>
      </c>
      <c r="Y464" s="314" t="str">
        <f t="shared" ca="1" si="225"/>
        <v/>
      </c>
      <c r="Z464" s="315" t="str">
        <f t="shared" ca="1" si="226"/>
        <v/>
      </c>
      <c r="AA464" s="316" t="str">
        <f t="shared" ca="1" si="227"/>
        <v/>
      </c>
      <c r="AC464" s="310" t="e">
        <f t="shared" ca="1" si="228"/>
        <v>#N/A</v>
      </c>
      <c r="AD464" s="323" t="e">
        <f t="shared" ca="1" si="229"/>
        <v>#N/A</v>
      </c>
      <c r="AE464" s="324" t="e">
        <f t="shared" ca="1" si="208"/>
        <v>#N/A</v>
      </c>
      <c r="AG464" s="306">
        <f t="shared" ca="1" si="230"/>
        <v>4.2075345469344576</v>
      </c>
      <c r="AH464" s="304">
        <f t="shared" ca="1" si="231"/>
        <v>-5.5494227639697957</v>
      </c>
    </row>
    <row r="465" spans="1:34" x14ac:dyDescent="0.25">
      <c r="A465" s="347">
        <f t="shared" ca="1" si="209"/>
        <v>0.1</v>
      </c>
      <c r="B465" s="304">
        <f t="shared" ca="1" si="210"/>
        <v>33.800000000000182</v>
      </c>
      <c r="D465" s="306">
        <f t="shared" ca="1" si="211"/>
        <v>-0.57609629856195499</v>
      </c>
      <c r="E465" s="307">
        <f t="shared" ca="1" si="212"/>
        <v>-4.2378409097051906</v>
      </c>
      <c r="F465" s="304">
        <f t="shared" ca="1" si="213"/>
        <v>4.2768192060441015</v>
      </c>
      <c r="G465" s="306">
        <f t="shared" ca="1" si="214"/>
        <v>10.264505694319203</v>
      </c>
      <c r="H465" s="307">
        <f t="shared" ca="1" si="215"/>
        <v>-100.26207306843358</v>
      </c>
      <c r="I465" s="304">
        <f t="shared" ca="1" si="216"/>
        <v>100.7861268882212</v>
      </c>
      <c r="J465" s="306">
        <f t="shared" ca="1" si="217"/>
        <v>586.5128708474308</v>
      </c>
      <c r="K465" s="307">
        <f t="shared" ca="1" si="218"/>
        <v>1532.4652214999371</v>
      </c>
      <c r="L465" s="304">
        <f t="shared" ca="1" si="203"/>
        <v>1640.8677590764426</v>
      </c>
      <c r="M465" s="306">
        <f t="shared" ca="1" si="219"/>
        <v>-1.4687750094681347</v>
      </c>
      <c r="N465" s="304">
        <f t="shared" ca="1" si="220"/>
        <v>-84.15460909681164</v>
      </c>
      <c r="P465" s="310">
        <f t="shared" ca="1" si="221"/>
        <v>23</v>
      </c>
      <c r="Q465" s="304">
        <f t="shared" ca="1" si="222"/>
        <v>0</v>
      </c>
      <c r="R465" s="306">
        <f t="shared" ca="1" si="223"/>
        <v>0</v>
      </c>
      <c r="S465" s="307">
        <f t="shared" ca="1" si="224"/>
        <v>2.0842999999999985</v>
      </c>
      <c r="T465" s="304">
        <f t="shared" ca="1" si="204"/>
        <v>20.446982999999985</v>
      </c>
      <c r="U465" s="311">
        <f t="shared" ca="1" si="205"/>
        <v>0</v>
      </c>
      <c r="V465" s="306">
        <f t="shared" ca="1" si="206"/>
        <v>1.050633537356142</v>
      </c>
      <c r="W465" s="304">
        <f t="shared" ca="1" si="207"/>
        <v>11.784720393093012</v>
      </c>
      <c r="Y465" s="314" t="str">
        <f t="shared" ca="1" si="225"/>
        <v/>
      </c>
      <c r="Z465" s="315" t="str">
        <f t="shared" ca="1" si="226"/>
        <v/>
      </c>
      <c r="AA465" s="316" t="str">
        <f t="shared" ca="1" si="227"/>
        <v/>
      </c>
      <c r="AC465" s="310" t="e">
        <f t="shared" ca="1" si="228"/>
        <v>#N/A</v>
      </c>
      <c r="AD465" s="323" t="e">
        <f t="shared" ca="1" si="229"/>
        <v>#N/A</v>
      </c>
      <c r="AE465" s="324" t="e">
        <f t="shared" ca="1" si="208"/>
        <v>#N/A</v>
      </c>
      <c r="AG465" s="306">
        <f t="shared" ca="1" si="230"/>
        <v>4.1561255872290612</v>
      </c>
      <c r="AH465" s="304">
        <f t="shared" ca="1" si="231"/>
        <v>-5.6018607509265941</v>
      </c>
    </row>
    <row r="466" spans="1:34" x14ac:dyDescent="0.25">
      <c r="A466" s="347">
        <f t="shared" ca="1" si="209"/>
        <v>0.1</v>
      </c>
      <c r="B466" s="304">
        <f t="shared" ca="1" si="210"/>
        <v>33.900000000000183</v>
      </c>
      <c r="D466" s="306">
        <f t="shared" ca="1" si="211"/>
        <v>-0.57583271934443614</v>
      </c>
      <c r="E466" s="307">
        <f t="shared" ca="1" si="212"/>
        <v>-4.1853567973507912</v>
      </c>
      <c r="F466" s="304">
        <f t="shared" ca="1" si="213"/>
        <v>4.2247834076787987</v>
      </c>
      <c r="G466" s="306">
        <f t="shared" ca="1" si="214"/>
        <v>10.206922422384759</v>
      </c>
      <c r="H466" s="307">
        <f t="shared" ca="1" si="215"/>
        <v>-100.68060874816865</v>
      </c>
      <c r="I466" s="304">
        <f t="shared" ca="1" si="216"/>
        <v>101.19667110749441</v>
      </c>
      <c r="J466" s="306">
        <f t="shared" ca="1" si="217"/>
        <v>587.53644225326605</v>
      </c>
      <c r="K466" s="307">
        <f t="shared" ca="1" si="218"/>
        <v>1522.4180874091071</v>
      </c>
      <c r="L466" s="304">
        <f t="shared" ca="1" si="203"/>
        <v>1631.8565818864197</v>
      </c>
      <c r="M466" s="306">
        <f t="shared" ca="1" si="219"/>
        <v>-1.4697622890045943</v>
      </c>
      <c r="N466" s="304">
        <f t="shared" ca="1" si="220"/>
        <v>-84.211176047450408</v>
      </c>
      <c r="P466" s="310">
        <f t="shared" ca="1" si="221"/>
        <v>23</v>
      </c>
      <c r="Q466" s="304">
        <f t="shared" ca="1" si="222"/>
        <v>0</v>
      </c>
      <c r="R466" s="306">
        <f t="shared" ca="1" si="223"/>
        <v>0</v>
      </c>
      <c r="S466" s="307">
        <f t="shared" ca="1" si="224"/>
        <v>2.0842999999999985</v>
      </c>
      <c r="T466" s="304">
        <f t="shared" ca="1" si="204"/>
        <v>20.446982999999985</v>
      </c>
      <c r="U466" s="311">
        <f t="shared" ca="1" si="205"/>
        <v>0</v>
      </c>
      <c r="V466" s="306">
        <f t="shared" ca="1" si="206"/>
        <v>1.0516958527148785</v>
      </c>
      <c r="W466" s="304">
        <f t="shared" ca="1" si="207"/>
        <v>11.892937190367796</v>
      </c>
      <c r="Y466" s="314" t="str">
        <f t="shared" ca="1" si="225"/>
        <v/>
      </c>
      <c r="Z466" s="315" t="str">
        <f t="shared" ca="1" si="226"/>
        <v/>
      </c>
      <c r="AA466" s="316" t="str">
        <f t="shared" ca="1" si="227"/>
        <v/>
      </c>
      <c r="AC466" s="310" t="e">
        <f t="shared" ca="1" si="228"/>
        <v>#N/A</v>
      </c>
      <c r="AD466" s="323" t="e">
        <f t="shared" ca="1" si="229"/>
        <v>#N/A</v>
      </c>
      <c r="AE466" s="324" t="e">
        <f t="shared" ca="1" si="208"/>
        <v>#N/A</v>
      </c>
      <c r="AG466" s="306">
        <f t="shared" ca="1" si="230"/>
        <v>4.1049490002290705</v>
      </c>
      <c r="AH466" s="304">
        <f t="shared" ca="1" si="231"/>
        <v>-5.6540423130513942</v>
      </c>
    </row>
    <row r="467" spans="1:34" x14ac:dyDescent="0.25">
      <c r="A467" s="347">
        <f t="shared" ca="1" si="209"/>
        <v>0.1</v>
      </c>
      <c r="B467" s="304">
        <f t="shared" ca="1" si="210"/>
        <v>34.000000000000185</v>
      </c>
      <c r="D467" s="306">
        <f t="shared" ca="1" si="211"/>
        <v>-0.57551610887399185</v>
      </c>
      <c r="E467" s="307">
        <f t="shared" ca="1" si="212"/>
        <v>-4.1331358299798975</v>
      </c>
      <c r="F467" s="304">
        <f t="shared" ca="1" si="213"/>
        <v>4.1730121711585113</v>
      </c>
      <c r="G467" s="306">
        <f t="shared" ca="1" si="214"/>
        <v>10.149370811497359</v>
      </c>
      <c r="H467" s="307">
        <f t="shared" ca="1" si="215"/>
        <v>-101.09392233116664</v>
      </c>
      <c r="I467" s="304">
        <f t="shared" ca="1" si="216"/>
        <v>101.60212035272308</v>
      </c>
      <c r="J467" s="306">
        <f t="shared" ca="1" si="217"/>
        <v>588.55425691496021</v>
      </c>
      <c r="K467" s="307">
        <f t="shared" ca="1" si="218"/>
        <v>1512.3293608551403</v>
      </c>
      <c r="L467" s="304">
        <f t="shared" ca="1" si="203"/>
        <v>1622.817367739586</v>
      </c>
      <c r="M467" s="306">
        <f t="shared" ca="1" si="219"/>
        <v>-1.4707361453358472</v>
      </c>
      <c r="N467" s="304">
        <f t="shared" ca="1" si="220"/>
        <v>-84.266973905083304</v>
      </c>
      <c r="P467" s="310">
        <f t="shared" ca="1" si="221"/>
        <v>23</v>
      </c>
      <c r="Q467" s="304">
        <f t="shared" ca="1" si="222"/>
        <v>0</v>
      </c>
      <c r="R467" s="306">
        <f t="shared" ca="1" si="223"/>
        <v>0</v>
      </c>
      <c r="S467" s="307">
        <f t="shared" ca="1" si="224"/>
        <v>2.0842999999999985</v>
      </c>
      <c r="T467" s="304">
        <f t="shared" ca="1" si="204"/>
        <v>20.446982999999985</v>
      </c>
      <c r="U467" s="311">
        <f t="shared" ca="1" si="205"/>
        <v>0</v>
      </c>
      <c r="V467" s="306">
        <f t="shared" ca="1" si="206"/>
        <v>1.0527635642359929</v>
      </c>
      <c r="W467" s="304">
        <f t="shared" ca="1" si="207"/>
        <v>12.000598322763507</v>
      </c>
      <c r="Y467" s="314" t="str">
        <f t="shared" ca="1" si="225"/>
        <v/>
      </c>
      <c r="Z467" s="315" t="str">
        <f t="shared" ca="1" si="226"/>
        <v/>
      </c>
      <c r="AA467" s="316" t="str">
        <f t="shared" ca="1" si="227"/>
        <v/>
      </c>
      <c r="AC467" s="310">
        <f t="shared" ca="1" si="228"/>
        <v>34.000000000000185</v>
      </c>
      <c r="AD467" s="323">
        <f t="shared" ca="1" si="229"/>
        <v>588.55425691496021</v>
      </c>
      <c r="AE467" s="324" t="e">
        <f t="shared" ca="1" si="208"/>
        <v>#N/A</v>
      </c>
      <c r="AG467" s="306">
        <f t="shared" ca="1" si="230"/>
        <v>4.0540106570239871</v>
      </c>
      <c r="AH467" s="304">
        <f t="shared" ca="1" si="231"/>
        <v>-5.7059622848763638</v>
      </c>
    </row>
    <row r="468" spans="1:34" x14ac:dyDescent="0.25">
      <c r="A468" s="347">
        <f t="shared" ca="1" si="209"/>
        <v>0.1</v>
      </c>
      <c r="B468" s="304">
        <f t="shared" ca="1" si="210"/>
        <v>34.100000000000186</v>
      </c>
      <c r="D468" s="306">
        <f t="shared" ca="1" si="211"/>
        <v>-0.57514721280757952</v>
      </c>
      <c r="E468" s="307">
        <f t="shared" ca="1" si="212"/>
        <v>-4.0811830378007183</v>
      </c>
      <c r="F468" s="304">
        <f t="shared" ca="1" si="213"/>
        <v>4.1215105609997682</v>
      </c>
      <c r="G468" s="306">
        <f t="shared" ca="1" si="214"/>
        <v>10.091856090216602</v>
      </c>
      <c r="H468" s="307">
        <f t="shared" ca="1" si="215"/>
        <v>-101.50204063494671</v>
      </c>
      <c r="I468" s="304">
        <f t="shared" ca="1" si="216"/>
        <v>102.00249904979786</v>
      </c>
      <c r="J468" s="306">
        <f t="shared" ca="1" si="217"/>
        <v>589.56631826004593</v>
      </c>
      <c r="K468" s="307">
        <f t="shared" ca="1" si="218"/>
        <v>1502.1995627068345</v>
      </c>
      <c r="L468" s="304">
        <f t="shared" ca="1" si="203"/>
        <v>1613.7509007970564</v>
      </c>
      <c r="M468" s="306">
        <f t="shared" ca="1" si="219"/>
        <v>-1.471696860422318</v>
      </c>
      <c r="N468" s="304">
        <f t="shared" ca="1" si="220"/>
        <v>-84.32201882485262</v>
      </c>
      <c r="P468" s="310">
        <f t="shared" ca="1" si="221"/>
        <v>23</v>
      </c>
      <c r="Q468" s="304">
        <f t="shared" ca="1" si="222"/>
        <v>0</v>
      </c>
      <c r="R468" s="306">
        <f t="shared" ca="1" si="223"/>
        <v>0</v>
      </c>
      <c r="S468" s="307">
        <f t="shared" ca="1" si="224"/>
        <v>2.0842999999999985</v>
      </c>
      <c r="T468" s="304">
        <f t="shared" ca="1" si="204"/>
        <v>20.446982999999985</v>
      </c>
      <c r="U468" s="311">
        <f t="shared" ca="1" si="205"/>
        <v>0</v>
      </c>
      <c r="V468" s="306">
        <f t="shared" ca="1" si="206"/>
        <v>1.0538366305084914</v>
      </c>
      <c r="W468" s="304">
        <f t="shared" ca="1" si="207"/>
        <v>12.10769368984071</v>
      </c>
      <c r="Y468" s="314" t="str">
        <f t="shared" ca="1" si="225"/>
        <v/>
      </c>
      <c r="Z468" s="315" t="str">
        <f t="shared" ca="1" si="226"/>
        <v/>
      </c>
      <c r="AA468" s="316" t="str">
        <f t="shared" ca="1" si="227"/>
        <v/>
      </c>
      <c r="AC468" s="310" t="e">
        <f t="shared" ca="1" si="228"/>
        <v>#N/A</v>
      </c>
      <c r="AD468" s="323" t="e">
        <f t="shared" ca="1" si="229"/>
        <v>#N/A</v>
      </c>
      <c r="AE468" s="324" t="e">
        <f t="shared" ca="1" si="208"/>
        <v>#N/A</v>
      </c>
      <c r="AG468" s="306">
        <f t="shared" ca="1" si="230"/>
        <v>4.0033162427777595</v>
      </c>
      <c r="AH468" s="304">
        <f t="shared" ca="1" si="231"/>
        <v>-5.7576156612596625</v>
      </c>
    </row>
    <row r="469" spans="1:34" x14ac:dyDescent="0.25">
      <c r="A469" s="347">
        <f t="shared" ca="1" si="209"/>
        <v>0.1</v>
      </c>
      <c r="B469" s="304">
        <f t="shared" ca="1" si="210"/>
        <v>34.200000000000188</v>
      </c>
      <c r="D469" s="306">
        <f t="shared" ca="1" si="211"/>
        <v>-0.57472677940014805</v>
      </c>
      <c r="E469" s="307">
        <f t="shared" ca="1" si="212"/>
        <v>-4.029503291052789</v>
      </c>
      <c r="F469" s="304">
        <f t="shared" ca="1" si="213"/>
        <v>4.0702834844227898</v>
      </c>
      <c r="G469" s="306">
        <f t="shared" ca="1" si="214"/>
        <v>10.034383412276588</v>
      </c>
      <c r="H469" s="307">
        <f t="shared" ca="1" si="215"/>
        <v>-101.90499096405199</v>
      </c>
      <c r="I469" s="304">
        <f t="shared" ca="1" si="216"/>
        <v>102.39783217357724</v>
      </c>
      <c r="J469" s="306">
        <f t="shared" ca="1" si="217"/>
        <v>590.57263023517055</v>
      </c>
      <c r="K469" s="307">
        <f t="shared" ca="1" si="218"/>
        <v>1492.0292111268845</v>
      </c>
      <c r="L469" s="304">
        <f t="shared" ca="1" si="203"/>
        <v>1604.6579693002495</v>
      </c>
      <c r="M469" s="306">
        <f t="shared" ca="1" si="219"/>
        <v>-1.4726447080921365</v>
      </c>
      <c r="N469" s="304">
        <f t="shared" ca="1" si="220"/>
        <v>-84.37632649595453</v>
      </c>
      <c r="P469" s="310">
        <f t="shared" ca="1" si="221"/>
        <v>23</v>
      </c>
      <c r="Q469" s="304">
        <f t="shared" ca="1" si="222"/>
        <v>0</v>
      </c>
      <c r="R469" s="306">
        <f t="shared" ca="1" si="223"/>
        <v>0</v>
      </c>
      <c r="S469" s="307">
        <f t="shared" ca="1" si="224"/>
        <v>2.0842999999999985</v>
      </c>
      <c r="T469" s="304">
        <f t="shared" ca="1" si="204"/>
        <v>20.446982999999985</v>
      </c>
      <c r="U469" s="311">
        <f t="shared" ca="1" si="205"/>
        <v>0</v>
      </c>
      <c r="V469" s="306">
        <f t="shared" ca="1" si="206"/>
        <v>1.0549150102881699</v>
      </c>
      <c r="W469" s="304">
        <f t="shared" ca="1" si="207"/>
        <v>12.214213520418401</v>
      </c>
      <c r="Y469" s="314" t="str">
        <f t="shared" ca="1" si="225"/>
        <v/>
      </c>
      <c r="Z469" s="315" t="str">
        <f t="shared" ca="1" si="226"/>
        <v/>
      </c>
      <c r="AA469" s="316" t="str">
        <f t="shared" ca="1" si="227"/>
        <v/>
      </c>
      <c r="AC469" s="310" t="e">
        <f t="shared" ca="1" si="228"/>
        <v>#N/A</v>
      </c>
      <c r="AD469" s="323" t="e">
        <f t="shared" ca="1" si="229"/>
        <v>#N/A</v>
      </c>
      <c r="AE469" s="324" t="e">
        <f t="shared" ca="1" si="208"/>
        <v>#N/A</v>
      </c>
      <c r="AG469" s="306">
        <f t="shared" ca="1" si="230"/>
        <v>3.9528712589810899</v>
      </c>
      <c r="AH469" s="304">
        <f t="shared" ca="1" si="231"/>
        <v>-5.80899759623889</v>
      </c>
    </row>
    <row r="470" spans="1:34" x14ac:dyDescent="0.25">
      <c r="A470" s="347">
        <f t="shared" ca="1" si="209"/>
        <v>0.1</v>
      </c>
      <c r="B470" s="304">
        <f t="shared" ca="1" si="210"/>
        <v>34.300000000000189</v>
      </c>
      <c r="D470" s="306">
        <f t="shared" ca="1" si="211"/>
        <v>-0.57425555913912851</v>
      </c>
      <c r="E470" s="307">
        <f t="shared" ca="1" si="212"/>
        <v>-3.9781013012186017</v>
      </c>
      <c r="F470" s="304">
        <f t="shared" ca="1" si="213"/>
        <v>4.0193356926187844</v>
      </c>
      <c r="G470" s="306">
        <f t="shared" ca="1" si="214"/>
        <v>9.9769578563626755</v>
      </c>
      <c r="H470" s="307">
        <f t="shared" ca="1" si="215"/>
        <v>-102.30280109417384</v>
      </c>
      <c r="I470" s="304">
        <f t="shared" ca="1" si="216"/>
        <v>102.78814522979648</v>
      </c>
      <c r="J470" s="306">
        <f t="shared" ca="1" si="217"/>
        <v>591.57319729860251</v>
      </c>
      <c r="K470" s="307">
        <f t="shared" ca="1" si="218"/>
        <v>1481.8188215239732</v>
      </c>
      <c r="L470" s="304">
        <f t="shared" ca="1" si="203"/>
        <v>1595.5393657270849</v>
      </c>
      <c r="M470" s="306">
        <f t="shared" ca="1" si="219"/>
        <v>-1.4735799543305172</v>
      </c>
      <c r="N470" s="304">
        <f t="shared" ca="1" si="220"/>
        <v>-84.429912158219238</v>
      </c>
      <c r="P470" s="310">
        <f t="shared" ca="1" si="221"/>
        <v>23</v>
      </c>
      <c r="Q470" s="304">
        <f t="shared" ca="1" si="222"/>
        <v>0</v>
      </c>
      <c r="R470" s="306">
        <f t="shared" ca="1" si="223"/>
        <v>0</v>
      </c>
      <c r="S470" s="307">
        <f t="shared" ca="1" si="224"/>
        <v>2.0842999999999985</v>
      </c>
      <c r="T470" s="304">
        <f t="shared" ca="1" si="204"/>
        <v>20.446982999999985</v>
      </c>
      <c r="U470" s="311">
        <f t="shared" ca="1" si="205"/>
        <v>0</v>
      </c>
      <c r="V470" s="306">
        <f t="shared" ca="1" si="206"/>
        <v>1.0559986625016988</v>
      </c>
      <c r="W470" s="304">
        <f t="shared" ca="1" si="207"/>
        <v>12.320148369930232</v>
      </c>
      <c r="Y470" s="314" t="str">
        <f t="shared" ca="1" si="225"/>
        <v/>
      </c>
      <c r="Z470" s="315" t="str">
        <f t="shared" ca="1" si="226"/>
        <v/>
      </c>
      <c r="AA470" s="316" t="str">
        <f t="shared" ca="1" si="227"/>
        <v/>
      </c>
      <c r="AC470" s="310" t="e">
        <f t="shared" ca="1" si="228"/>
        <v>#N/A</v>
      </c>
      <c r="AD470" s="323" t="e">
        <f t="shared" ca="1" si="229"/>
        <v>#N/A</v>
      </c>
      <c r="AE470" s="324" t="e">
        <f t="shared" ca="1" si="208"/>
        <v>#N/A</v>
      </c>
      <c r="AG470" s="306">
        <f t="shared" ca="1" si="230"/>
        <v>3.9026810257107307</v>
      </c>
      <c r="AH470" s="304">
        <f t="shared" ca="1" si="231"/>
        <v>-5.860103401822391</v>
      </c>
    </row>
    <row r="471" spans="1:34" x14ac:dyDescent="0.25">
      <c r="A471" s="347">
        <f t="shared" ca="1" si="209"/>
        <v>0.1</v>
      </c>
      <c r="B471" s="304">
        <f t="shared" ca="1" si="210"/>
        <v>34.40000000000019</v>
      </c>
      <c r="D471" s="306">
        <f t="shared" ca="1" si="211"/>
        <v>-0.57373430438658757</v>
      </c>
      <c r="E471" s="307">
        <f t="shared" ca="1" si="212"/>
        <v>-3.9269816222954619</v>
      </c>
      <c r="F471" s="304">
        <f t="shared" ca="1" si="213"/>
        <v>3.9686717820797752</v>
      </c>
      <c r="G471" s="306">
        <f t="shared" ca="1" si="214"/>
        <v>9.9195844259240165</v>
      </c>
      <c r="H471" s="307">
        <f t="shared" ca="1" si="215"/>
        <v>-102.69549925640339</v>
      </c>
      <c r="I471" s="304">
        <f t="shared" ca="1" si="216"/>
        <v>103.17346423720096</v>
      </c>
      <c r="J471" s="306">
        <f t="shared" ca="1" si="217"/>
        <v>592.5680244127168</v>
      </c>
      <c r="K471" s="307">
        <f t="shared" ca="1" si="218"/>
        <v>1471.5689065064444</v>
      </c>
      <c r="L471" s="304">
        <f t="shared" ca="1" si="203"/>
        <v>1586.3958869566457</v>
      </c>
      <c r="M471" s="306">
        <f t="shared" ca="1" si="219"/>
        <v>-1.4745028575569656</v>
      </c>
      <c r="N471" s="304">
        <f t="shared" ca="1" si="220"/>
        <v>-84.482790617993729</v>
      </c>
      <c r="P471" s="310">
        <f t="shared" ca="1" si="221"/>
        <v>23</v>
      </c>
      <c r="Q471" s="304">
        <f t="shared" ca="1" si="222"/>
        <v>0</v>
      </c>
      <c r="R471" s="306">
        <f t="shared" ca="1" si="223"/>
        <v>0</v>
      </c>
      <c r="S471" s="307">
        <f t="shared" ca="1" si="224"/>
        <v>2.0842999999999985</v>
      </c>
      <c r="T471" s="304">
        <f t="shared" ca="1" si="204"/>
        <v>20.446982999999985</v>
      </c>
      <c r="U471" s="311">
        <f t="shared" ca="1" si="205"/>
        <v>0</v>
      </c>
      <c r="V471" s="306">
        <f t="shared" ca="1" si="206"/>
        <v>1.0570875462506015</v>
      </c>
      <c r="W471" s="304">
        <f t="shared" ca="1" si="207"/>
        <v>12.425489117661417</v>
      </c>
      <c r="Y471" s="314" t="str">
        <f t="shared" ca="1" si="225"/>
        <v/>
      </c>
      <c r="Z471" s="315" t="str">
        <f t="shared" ca="1" si="226"/>
        <v/>
      </c>
      <c r="AA471" s="316" t="str">
        <f t="shared" ca="1" si="227"/>
        <v/>
      </c>
      <c r="AC471" s="310" t="e">
        <f t="shared" ca="1" si="228"/>
        <v>#N/A</v>
      </c>
      <c r="AD471" s="323" t="e">
        <f t="shared" ca="1" si="229"/>
        <v>#N/A</v>
      </c>
      <c r="AE471" s="324" t="e">
        <f t="shared" ca="1" si="208"/>
        <v>#N/A</v>
      </c>
      <c r="AG471" s="306">
        <f t="shared" ca="1" si="230"/>
        <v>3.8527506838965282</v>
      </c>
      <c r="AH471" s="304">
        <f t="shared" ca="1" si="231"/>
        <v>-5.9109285467208368</v>
      </c>
    </row>
    <row r="472" spans="1:34" x14ac:dyDescent="0.25">
      <c r="A472" s="347">
        <f t="shared" ca="1" si="209"/>
        <v>0.1</v>
      </c>
      <c r="B472" s="304">
        <f t="shared" ca="1" si="210"/>
        <v>34.500000000000192</v>
      </c>
      <c r="D472" s="306">
        <f t="shared" ca="1" si="211"/>
        <v>-0.57316376902912769</v>
      </c>
      <c r="E472" s="307">
        <f t="shared" ca="1" si="212"/>
        <v>-3.8761486521250959</v>
      </c>
      <c r="F472" s="304">
        <f t="shared" ca="1" si="213"/>
        <v>3.918296195988618</v>
      </c>
      <c r="G472" s="306">
        <f t="shared" ca="1" si="214"/>
        <v>9.8622680490211039</v>
      </c>
      <c r="H472" s="307">
        <f t="shared" ca="1" si="215"/>
        <v>-103.08311412161591</v>
      </c>
      <c r="I472" s="304">
        <f t="shared" ca="1" si="216"/>
        <v>103.55381570990434</v>
      </c>
      <c r="J472" s="306">
        <f t="shared" ca="1" si="217"/>
        <v>593.55711703646409</v>
      </c>
      <c r="K472" s="307">
        <f t="shared" ca="1" si="218"/>
        <v>1461.2799758375434</v>
      </c>
      <c r="L472" s="304">
        <f t="shared" ca="1" si="203"/>
        <v>1577.2283344425468</v>
      </c>
      <c r="M472" s="306">
        <f t="shared" ca="1" si="219"/>
        <v>-1.4754136688909121</v>
      </c>
      <c r="N472" s="304">
        <f t="shared" ca="1" si="220"/>
        <v>-84.534976263361543</v>
      </c>
      <c r="P472" s="310">
        <f t="shared" ca="1" si="221"/>
        <v>23</v>
      </c>
      <c r="Q472" s="304">
        <f t="shared" ca="1" si="222"/>
        <v>0</v>
      </c>
      <c r="R472" s="306">
        <f t="shared" ca="1" si="223"/>
        <v>0</v>
      </c>
      <c r="S472" s="307">
        <f t="shared" ca="1" si="224"/>
        <v>2.0842999999999985</v>
      </c>
      <c r="T472" s="304">
        <f t="shared" ca="1" si="204"/>
        <v>20.446982999999985</v>
      </c>
      <c r="U472" s="311">
        <f t="shared" ca="1" si="205"/>
        <v>0</v>
      </c>
      <c r="V472" s="306">
        <f t="shared" ca="1" si="206"/>
        <v>1.0581816208151273</v>
      </c>
      <c r="W472" s="304">
        <f t="shared" ca="1" si="207"/>
        <v>12.530226963871311</v>
      </c>
      <c r="Y472" s="314" t="str">
        <f t="shared" ca="1" si="225"/>
        <v/>
      </c>
      <c r="Z472" s="315" t="str">
        <f t="shared" ca="1" si="226"/>
        <v/>
      </c>
      <c r="AA472" s="316" t="str">
        <f t="shared" ca="1" si="227"/>
        <v/>
      </c>
      <c r="AC472" s="310" t="e">
        <f t="shared" ca="1" si="228"/>
        <v>#N/A</v>
      </c>
      <c r="AD472" s="323" t="e">
        <f t="shared" ca="1" si="229"/>
        <v>#N/A</v>
      </c>
      <c r="AE472" s="324" t="e">
        <f t="shared" ca="1" si="208"/>
        <v>#N/A</v>
      </c>
      <c r="AG472" s="306">
        <f t="shared" ca="1" si="230"/>
        <v>3.8030851975965563</v>
      </c>
      <c r="AH472" s="304">
        <f t="shared" ca="1" si="231"/>
        <v>-5.9614686550215543</v>
      </c>
    </row>
    <row r="473" spans="1:34" x14ac:dyDescent="0.25">
      <c r="A473" s="347">
        <f t="shared" ca="1" si="209"/>
        <v>0.1</v>
      </c>
      <c r="B473" s="304">
        <f t="shared" ca="1" si="210"/>
        <v>34.600000000000193</v>
      </c>
      <c r="D473" s="306">
        <f t="shared" ca="1" si="211"/>
        <v>-0.57254470813550351</v>
      </c>
      <c r="E473" s="307">
        <f t="shared" ca="1" si="212"/>
        <v>-3.825606633778575</v>
      </c>
      <c r="F473" s="304">
        <f t="shared" ca="1" si="213"/>
        <v>3.868213225666937</v>
      </c>
      <c r="G473" s="306">
        <f t="shared" ca="1" si="214"/>
        <v>9.8050135782075536</v>
      </c>
      <c r="H473" s="307">
        <f t="shared" ca="1" si="215"/>
        <v>-103.46567478499377</v>
      </c>
      <c r="I473" s="304">
        <f t="shared" ca="1" si="216"/>
        <v>103.92922663997327</v>
      </c>
      <c r="J473" s="306">
        <f t="shared" ca="1" si="217"/>
        <v>594.54048111782549</v>
      </c>
      <c r="K473" s="307">
        <f t="shared" ca="1" si="218"/>
        <v>1450.9525363922128</v>
      </c>
      <c r="L473" s="304">
        <f t="shared" ca="1" si="203"/>
        <v>1568.0375143952426</v>
      </c>
      <c r="M473" s="306">
        <f t="shared" ca="1" si="219"/>
        <v>-1.4763126324063216</v>
      </c>
      <c r="N473" s="304">
        <f t="shared" ca="1" si="220"/>
        <v>-84.586483078730751</v>
      </c>
      <c r="P473" s="310">
        <f t="shared" ca="1" si="221"/>
        <v>23</v>
      </c>
      <c r="Q473" s="304">
        <f t="shared" ca="1" si="222"/>
        <v>0</v>
      </c>
      <c r="R473" s="306">
        <f t="shared" ca="1" si="223"/>
        <v>0</v>
      </c>
      <c r="S473" s="307">
        <f t="shared" ca="1" si="224"/>
        <v>2.0842999999999985</v>
      </c>
      <c r="T473" s="304">
        <f t="shared" ca="1" si="204"/>
        <v>20.446982999999985</v>
      </c>
      <c r="U473" s="311">
        <f t="shared" ca="1" si="205"/>
        <v>0</v>
      </c>
      <c r="V473" s="306">
        <f t="shared" ca="1" si="206"/>
        <v>1.0592808456580178</v>
      </c>
      <c r="W473" s="304">
        <f t="shared" ca="1" si="207"/>
        <v>12.634353426806754</v>
      </c>
      <c r="Y473" s="314" t="str">
        <f t="shared" ca="1" si="225"/>
        <v/>
      </c>
      <c r="Z473" s="315" t="str">
        <f t="shared" ca="1" si="226"/>
        <v/>
      </c>
      <c r="AA473" s="316" t="str">
        <f t="shared" ca="1" si="227"/>
        <v/>
      </c>
      <c r="AC473" s="310" t="e">
        <f t="shared" ca="1" si="228"/>
        <v>#N/A</v>
      </c>
      <c r="AD473" s="323" t="e">
        <f t="shared" ca="1" si="229"/>
        <v>#N/A</v>
      </c>
      <c r="AE473" s="324" t="e">
        <f t="shared" ca="1" si="208"/>
        <v>#N/A</v>
      </c>
      <c r="AG473" s="306">
        <f t="shared" ca="1" si="230"/>
        <v>3.7536893562807538</v>
      </c>
      <c r="AH473" s="304">
        <f t="shared" ca="1" si="231"/>
        <v>-6.0117195048080028</v>
      </c>
    </row>
    <row r="474" spans="1:34" x14ac:dyDescent="0.25">
      <c r="A474" s="347">
        <f t="shared" ca="1" si="209"/>
        <v>0.1</v>
      </c>
      <c r="B474" s="304">
        <f t="shared" ca="1" si="210"/>
        <v>34.700000000000195</v>
      </c>
      <c r="D474" s="306">
        <f t="shared" ca="1" si="211"/>
        <v>-0.57187787762201725</v>
      </c>
      <c r="E474" s="307">
        <f t="shared" ca="1" si="212"/>
        <v>-3.7753596569940866</v>
      </c>
      <c r="F474" s="304">
        <f t="shared" ca="1" si="213"/>
        <v>3.818427012078661</v>
      </c>
      <c r="G474" s="306">
        <f t="shared" ca="1" si="214"/>
        <v>9.7478257904453525</v>
      </c>
      <c r="H474" s="307">
        <f t="shared" ca="1" si="215"/>
        <v>-103.84321075069317</v>
      </c>
      <c r="I474" s="304">
        <f t="shared" ca="1" si="216"/>
        <v>104.29972448023892</v>
      </c>
      <c r="J474" s="306">
        <f t="shared" ca="1" si="217"/>
        <v>595.51812308625813</v>
      </c>
      <c r="K474" s="307">
        <f t="shared" ca="1" si="218"/>
        <v>1440.5870921154285</v>
      </c>
      <c r="L474" s="304">
        <f t="shared" ca="1" si="203"/>
        <v>1558.8242379735329</v>
      </c>
      <c r="M474" s="306">
        <f t="shared" ca="1" si="219"/>
        <v>-1.477199985375814</v>
      </c>
      <c r="N474" s="304">
        <f t="shared" ca="1" si="220"/>
        <v>-84.637324658821072</v>
      </c>
      <c r="P474" s="310">
        <f t="shared" ca="1" si="221"/>
        <v>23</v>
      </c>
      <c r="Q474" s="304">
        <f t="shared" ca="1" si="222"/>
        <v>0</v>
      </c>
      <c r="R474" s="306">
        <f t="shared" ca="1" si="223"/>
        <v>0</v>
      </c>
      <c r="S474" s="307">
        <f t="shared" ca="1" si="224"/>
        <v>2.0842999999999985</v>
      </c>
      <c r="T474" s="304">
        <f t="shared" ca="1" si="204"/>
        <v>20.446982999999985</v>
      </c>
      <c r="U474" s="311">
        <f t="shared" ca="1" si="205"/>
        <v>0</v>
      </c>
      <c r="V474" s="306">
        <f t="shared" ca="1" si="206"/>
        <v>1.060385180428165</v>
      </c>
      <c r="W474" s="304">
        <f t="shared" ca="1" si="207"/>
        <v>12.737860339611082</v>
      </c>
      <c r="Y474" s="314" t="str">
        <f t="shared" ca="1" si="225"/>
        <v/>
      </c>
      <c r="Z474" s="315" t="str">
        <f t="shared" ca="1" si="226"/>
        <v/>
      </c>
      <c r="AA474" s="316" t="str">
        <f t="shared" ca="1" si="227"/>
        <v/>
      </c>
      <c r="AC474" s="310" t="e">
        <f t="shared" ca="1" si="228"/>
        <v>#N/A</v>
      </c>
      <c r="AD474" s="323" t="e">
        <f t="shared" ca="1" si="229"/>
        <v>#N/A</v>
      </c>
      <c r="AE474" s="324" t="e">
        <f t="shared" ca="1" si="208"/>
        <v>#N/A</v>
      </c>
      <c r="AG474" s="306">
        <f t="shared" ca="1" si="230"/>
        <v>3.7045677771231622</v>
      </c>
      <c r="AH474" s="304">
        <f t="shared" ca="1" si="231"/>
        <v>-6.0616770267268452</v>
      </c>
    </row>
    <row r="475" spans="1:34" x14ac:dyDescent="0.25">
      <c r="A475" s="347">
        <f t="shared" ca="1" si="209"/>
        <v>0.1</v>
      </c>
      <c r="B475" s="304">
        <f t="shared" ca="1" si="210"/>
        <v>34.800000000000196</v>
      </c>
      <c r="D475" s="306">
        <f t="shared" ca="1" si="211"/>
        <v>-0.57116403392566373</v>
      </c>
      <c r="E475" s="307">
        <f t="shared" ca="1" si="212"/>
        <v>-3.7254116596651858</v>
      </c>
      <c r="F475" s="304">
        <f t="shared" ca="1" si="213"/>
        <v>3.7689415473869516</v>
      </c>
      <c r="G475" s="306">
        <f t="shared" ca="1" si="214"/>
        <v>9.6907093870527863</v>
      </c>
      <c r="H475" s="307">
        <f t="shared" ca="1" si="215"/>
        <v>-104.2157519166597</v>
      </c>
      <c r="I475" s="304">
        <f t="shared" ca="1" si="216"/>
        <v>104.66533712733683</v>
      </c>
      <c r="J475" s="306">
        <f t="shared" ca="1" si="217"/>
        <v>596.49004984513306</v>
      </c>
      <c r="K475" s="307">
        <f t="shared" ca="1" si="218"/>
        <v>1430.184143982061</v>
      </c>
      <c r="L475" s="304">
        <f t="shared" ca="1" si="203"/>
        <v>1549.5893214855187</v>
      </c>
      <c r="M475" s="306">
        <f t="shared" ca="1" si="219"/>
        <v>-1.4780759585047867</v>
      </c>
      <c r="N475" s="304">
        <f t="shared" ca="1" si="220"/>
        <v>-84.687514222078079</v>
      </c>
      <c r="P475" s="310">
        <f t="shared" ca="1" si="221"/>
        <v>23</v>
      </c>
      <c r="Q475" s="304">
        <f t="shared" ca="1" si="222"/>
        <v>0</v>
      </c>
      <c r="R475" s="306">
        <f t="shared" ca="1" si="223"/>
        <v>0</v>
      </c>
      <c r="S475" s="307">
        <f t="shared" ca="1" si="224"/>
        <v>2.0842999999999985</v>
      </c>
      <c r="T475" s="304">
        <f t="shared" ca="1" si="204"/>
        <v>20.446982999999985</v>
      </c>
      <c r="U475" s="311">
        <f t="shared" ca="1" si="205"/>
        <v>0</v>
      </c>
      <c r="V475" s="306">
        <f t="shared" ca="1" si="206"/>
        <v>1.0614945849641702</v>
      </c>
      <c r="W475" s="304">
        <f t="shared" ca="1" si="207"/>
        <v>12.840739847133827</v>
      </c>
      <c r="Y475" s="314" t="str">
        <f t="shared" ca="1" si="225"/>
        <v/>
      </c>
      <c r="Z475" s="315" t="str">
        <f t="shared" ca="1" si="226"/>
        <v/>
      </c>
      <c r="AA475" s="316" t="str">
        <f t="shared" ca="1" si="227"/>
        <v/>
      </c>
      <c r="AC475" s="310" t="e">
        <f t="shared" ca="1" si="228"/>
        <v>#N/A</v>
      </c>
      <c r="AD475" s="323" t="e">
        <f t="shared" ca="1" si="229"/>
        <v>#N/A</v>
      </c>
      <c r="AE475" s="324" t="e">
        <f t="shared" ca="1" si="208"/>
        <v>#N/A</v>
      </c>
      <c r="AG475" s="306">
        <f t="shared" ca="1" si="230"/>
        <v>3.6557249073027718</v>
      </c>
      <c r="AH475" s="304">
        <f t="shared" ca="1" si="231"/>
        <v>-6.1113373025049613</v>
      </c>
    </row>
    <row r="476" spans="1:34" x14ac:dyDescent="0.25">
      <c r="A476" s="347">
        <f t="shared" ca="1" si="209"/>
        <v>0.1</v>
      </c>
      <c r="B476" s="304">
        <f t="shared" ca="1" si="210"/>
        <v>34.900000000000198</v>
      </c>
      <c r="D476" s="306">
        <f t="shared" ca="1" si="211"/>
        <v>-0.57040393368506603</v>
      </c>
      <c r="E476" s="307">
        <f t="shared" ca="1" si="212"/>
        <v>-3.6757664293770986</v>
      </c>
      <c r="F476" s="304">
        <f t="shared" ca="1" si="213"/>
        <v>3.7197606765622786</v>
      </c>
      <c r="G476" s="306">
        <f t="shared" ca="1" si="214"/>
        <v>9.6336689936842799</v>
      </c>
      <c r="H476" s="307">
        <f t="shared" ca="1" si="215"/>
        <v>-104.5833285595974</v>
      </c>
      <c r="I476" s="304">
        <f t="shared" ca="1" si="216"/>
        <v>105.02609290497564</v>
      </c>
      <c r="J476" s="306">
        <f t="shared" ca="1" si="217"/>
        <v>597.45626876416986</v>
      </c>
      <c r="K476" s="307">
        <f t="shared" ca="1" si="218"/>
        <v>1419.7441899582482</v>
      </c>
      <c r="L476" s="304">
        <f t="shared" ca="1" si="203"/>
        <v>1540.3335865992815</v>
      </c>
      <c r="M476" s="306">
        <f t="shared" ca="1" si="219"/>
        <v>-1.4789407761560178</v>
      </c>
      <c r="N476" s="304">
        <f t="shared" ca="1" si="220"/>
        <v>-84.737064623542039</v>
      </c>
      <c r="P476" s="310">
        <f t="shared" ca="1" si="221"/>
        <v>23</v>
      </c>
      <c r="Q476" s="304">
        <f t="shared" ca="1" si="222"/>
        <v>0</v>
      </c>
      <c r="R476" s="306">
        <f t="shared" ca="1" si="223"/>
        <v>0</v>
      </c>
      <c r="S476" s="307">
        <f t="shared" ca="1" si="224"/>
        <v>2.0842999999999985</v>
      </c>
      <c r="T476" s="304">
        <f t="shared" ca="1" si="204"/>
        <v>20.446982999999985</v>
      </c>
      <c r="U476" s="311">
        <f t="shared" ca="1" si="205"/>
        <v>0</v>
      </c>
      <c r="V476" s="306">
        <f t="shared" ca="1" si="206"/>
        <v>1.0626090192977937</v>
      </c>
      <c r="W476" s="304">
        <f t="shared" ca="1" si="207"/>
        <v>12.942984402645887</v>
      </c>
      <c r="Y476" s="314" t="str">
        <f t="shared" ca="1" si="225"/>
        <v/>
      </c>
      <c r="Z476" s="315" t="str">
        <f t="shared" ca="1" si="226"/>
        <v/>
      </c>
      <c r="AA476" s="316" t="str">
        <f t="shared" ca="1" si="227"/>
        <v/>
      </c>
      <c r="AC476" s="310" t="e">
        <f t="shared" ca="1" si="228"/>
        <v>#N/A</v>
      </c>
      <c r="AD476" s="323" t="e">
        <f t="shared" ca="1" si="229"/>
        <v>#N/A</v>
      </c>
      <c r="AE476" s="324" t="e">
        <f t="shared" ca="1" si="208"/>
        <v>#N/A</v>
      </c>
      <c r="AG476" s="306">
        <f t="shared" ca="1" si="230"/>
        <v>3.6071650263128756</v>
      </c>
      <c r="AH476" s="304">
        <f t="shared" ca="1" si="231"/>
        <v>-6.1606965634188153</v>
      </c>
    </row>
    <row r="477" spans="1:34" x14ac:dyDescent="0.25">
      <c r="A477" s="347">
        <f t="shared" ca="1" si="209"/>
        <v>0.1</v>
      </c>
      <c r="B477" s="304">
        <f t="shared" ca="1" si="210"/>
        <v>35.000000000000199</v>
      </c>
      <c r="D477" s="306">
        <f t="shared" ca="1" si="211"/>
        <v>-0.56959833342916821</v>
      </c>
      <c r="E477" s="307">
        <f t="shared" ca="1" si="212"/>
        <v>-3.6264276049887565</v>
      </c>
      <c r="F477" s="304">
        <f t="shared" ca="1" si="213"/>
        <v>3.6708880990394919</v>
      </c>
      <c r="G477" s="306">
        <f t="shared" ca="1" si="214"/>
        <v>9.5767091603413625</v>
      </c>
      <c r="H477" s="307">
        <f t="shared" ca="1" si="215"/>
        <v>-104.94597132009628</v>
      </c>
      <c r="I477" s="304">
        <f t="shared" ca="1" si="216"/>
        <v>105.38202054743606</v>
      </c>
      <c r="J477" s="306">
        <f t="shared" ca="1" si="217"/>
        <v>598.41678767187113</v>
      </c>
      <c r="K477" s="307">
        <f t="shared" ca="1" si="218"/>
        <v>1409.2677249642634</v>
      </c>
      <c r="L477" s="304">
        <f t="shared" ca="1" si="203"/>
        <v>1531.0578605635621</v>
      </c>
      <c r="M477" s="306">
        <f t="shared" ca="1" si="219"/>
        <v>-1.479794656565192</v>
      </c>
      <c r="N477" s="304">
        <f t="shared" ca="1" si="220"/>
        <v>-84.785988367196623</v>
      </c>
      <c r="P477" s="310">
        <f t="shared" ca="1" si="221"/>
        <v>23</v>
      </c>
      <c r="Q477" s="304">
        <f t="shared" ca="1" si="222"/>
        <v>0</v>
      </c>
      <c r="R477" s="306">
        <f t="shared" ca="1" si="223"/>
        <v>0</v>
      </c>
      <c r="S477" s="307">
        <f t="shared" ca="1" si="224"/>
        <v>2.0842999999999985</v>
      </c>
      <c r="T477" s="304">
        <f t="shared" ca="1" si="204"/>
        <v>20.446982999999985</v>
      </c>
      <c r="U477" s="311">
        <f t="shared" ca="1" si="205"/>
        <v>0</v>
      </c>
      <c r="V477" s="306">
        <f t="shared" ca="1" si="206"/>
        <v>1.0637284436573038</v>
      </c>
      <c r="W477" s="304">
        <f t="shared" ca="1" si="207"/>
        <v>13.044586764465043</v>
      </c>
      <c r="Y477" s="314" t="str">
        <f t="shared" ca="1" si="225"/>
        <v/>
      </c>
      <c r="Z477" s="315" t="str">
        <f t="shared" ca="1" si="226"/>
        <v/>
      </c>
      <c r="AA477" s="316" t="str">
        <f t="shared" ca="1" si="227"/>
        <v/>
      </c>
      <c r="AC477" s="310">
        <f t="shared" ca="1" si="228"/>
        <v>35.000000000000199</v>
      </c>
      <c r="AD477" s="323">
        <f t="shared" ca="1" si="229"/>
        <v>598.41678767187113</v>
      </c>
      <c r="AE477" s="324" t="e">
        <f t="shared" ca="1" si="208"/>
        <v>#N/A</v>
      </c>
      <c r="AG477" s="306">
        <f t="shared" ca="1" si="230"/>
        <v>3.5588922482787551</v>
      </c>
      <c r="AH477" s="304">
        <f t="shared" ca="1" si="231"/>
        <v>-6.2097511887184647</v>
      </c>
    </row>
    <row r="478" spans="1:34" x14ac:dyDescent="0.25">
      <c r="A478" s="347">
        <f t="shared" ca="1" si="209"/>
        <v>0.1</v>
      </c>
      <c r="B478" s="304">
        <f t="shared" ca="1" si="210"/>
        <v>35.1000000000002</v>
      </c>
      <c r="D478" s="306">
        <f t="shared" ca="1" si="211"/>
        <v>-0.56874798927370263</v>
      </c>
      <c r="E478" s="307">
        <f t="shared" ca="1" si="212"/>
        <v>-3.5773986782582021</v>
      </c>
      <c r="F478" s="304">
        <f t="shared" ca="1" si="213"/>
        <v>3.6223273704217309</v>
      </c>
      <c r="G478" s="306">
        <f t="shared" ca="1" si="214"/>
        <v>9.5198343614139915</v>
      </c>
      <c r="H478" s="307">
        <f t="shared" ca="1" si="215"/>
        <v>-105.30371118792209</v>
      </c>
      <c r="I478" s="304">
        <f t="shared" ca="1" si="216"/>
        <v>105.73314918330044</v>
      </c>
      <c r="J478" s="306">
        <f t="shared" ca="1" si="217"/>
        <v>599.37161484795888</v>
      </c>
      <c r="K478" s="307">
        <f t="shared" ca="1" si="218"/>
        <v>1398.7552408388624</v>
      </c>
      <c r="L478" s="304">
        <f t="shared" ca="1" si="203"/>
        <v>1521.7629764387207</v>
      </c>
      <c r="M478" s="306">
        <f t="shared" ca="1" si="219"/>
        <v>-1.4806378120477752</v>
      </c>
      <c r="N478" s="304">
        <f t="shared" ca="1" si="220"/>
        <v>-84.83429761782196</v>
      </c>
      <c r="P478" s="310">
        <f t="shared" ca="1" si="221"/>
        <v>23</v>
      </c>
      <c r="Q478" s="304">
        <f t="shared" ca="1" si="222"/>
        <v>0</v>
      </c>
      <c r="R478" s="306">
        <f t="shared" ca="1" si="223"/>
        <v>0</v>
      </c>
      <c r="S478" s="307">
        <f t="shared" ca="1" si="224"/>
        <v>2.0842999999999985</v>
      </c>
      <c r="T478" s="304">
        <f t="shared" ca="1" si="204"/>
        <v>20.446982999999985</v>
      </c>
      <c r="U478" s="311">
        <f t="shared" ca="1" si="205"/>
        <v>0</v>
      </c>
      <c r="V478" s="306">
        <f t="shared" ca="1" si="206"/>
        <v>1.064852818470722</v>
      </c>
      <c r="W478" s="304">
        <f t="shared" ca="1" si="207"/>
        <v>13.145539992496559</v>
      </c>
      <c r="Y478" s="314" t="str">
        <f t="shared" ca="1" si="225"/>
        <v/>
      </c>
      <c r="Z478" s="315" t="str">
        <f t="shared" ca="1" si="226"/>
        <v/>
      </c>
      <c r="AA478" s="316" t="str">
        <f t="shared" ca="1" si="227"/>
        <v/>
      </c>
      <c r="AC478" s="310" t="e">
        <f t="shared" ca="1" si="228"/>
        <v>#N/A</v>
      </c>
      <c r="AD478" s="323" t="e">
        <f t="shared" ca="1" si="229"/>
        <v>#N/A</v>
      </c>
      <c r="AE478" s="324" t="e">
        <f t="shared" ca="1" si="208"/>
        <v>#N/A</v>
      </c>
      <c r="AG478" s="306">
        <f t="shared" ca="1" si="230"/>
        <v>3.5109105242833021</v>
      </c>
      <c r="AH478" s="304">
        <f t="shared" ca="1" si="231"/>
        <v>-6.2584977040085654</v>
      </c>
    </row>
    <row r="479" spans="1:34" x14ac:dyDescent="0.25">
      <c r="A479" s="347">
        <f t="shared" ca="1" si="209"/>
        <v>0.1</v>
      </c>
      <c r="B479" s="304">
        <f t="shared" ca="1" si="210"/>
        <v>35.200000000000202</v>
      </c>
      <c r="D479" s="306">
        <f t="shared" ca="1" si="211"/>
        <v>-0.56785365662539922</v>
      </c>
      <c r="E479" s="307">
        <f t="shared" ca="1" si="212"/>
        <v>-3.528682995509091</v>
      </c>
      <c r="F479" s="304">
        <f t="shared" ca="1" si="213"/>
        <v>3.5740819042290917</v>
      </c>
      <c r="G479" s="306">
        <f t="shared" ca="1" si="214"/>
        <v>9.4630489957514516</v>
      </c>
      <c r="H479" s="307">
        <f t="shared" ca="1" si="215"/>
        <v>-105.656579487473</v>
      </c>
      <c r="I479" s="304">
        <f t="shared" ca="1" si="216"/>
        <v>106.07950831941432</v>
      </c>
      <c r="J479" s="306">
        <f t="shared" ca="1" si="217"/>
        <v>600.3207590158172</v>
      </c>
      <c r="K479" s="307">
        <f t="shared" ca="1" si="218"/>
        <v>1388.2072263050927</v>
      </c>
      <c r="L479" s="304">
        <f t="shared" ca="1" si="203"/>
        <v>1512.4497733382771</v>
      </c>
      <c r="M479" s="306">
        <f t="shared" ca="1" si="219"/>
        <v>-1.4814704491976347</v>
      </c>
      <c r="N479" s="304">
        <f t="shared" ca="1" si="220"/>
        <v>-84.88200421237471</v>
      </c>
      <c r="P479" s="310">
        <f t="shared" ca="1" si="221"/>
        <v>23</v>
      </c>
      <c r="Q479" s="304">
        <f t="shared" ca="1" si="222"/>
        <v>0</v>
      </c>
      <c r="R479" s="306">
        <f t="shared" ca="1" si="223"/>
        <v>0</v>
      </c>
      <c r="S479" s="307">
        <f t="shared" ca="1" si="224"/>
        <v>2.0842999999999985</v>
      </c>
      <c r="T479" s="304">
        <f t="shared" ca="1" si="204"/>
        <v>20.446982999999985</v>
      </c>
      <c r="U479" s="311">
        <f t="shared" ca="1" si="205"/>
        <v>0</v>
      </c>
      <c r="V479" s="306">
        <f t="shared" ca="1" si="206"/>
        <v>1.0659821043689675</v>
      </c>
      <c r="W479" s="304">
        <f t="shared" ca="1" si="207"/>
        <v>13.245837444693558</v>
      </c>
      <c r="Y479" s="314" t="str">
        <f t="shared" ca="1" si="225"/>
        <v/>
      </c>
      <c r="Z479" s="315" t="str">
        <f t="shared" ca="1" si="226"/>
        <v/>
      </c>
      <c r="AA479" s="316" t="str">
        <f t="shared" ca="1" si="227"/>
        <v/>
      </c>
      <c r="AC479" s="310" t="e">
        <f t="shared" ca="1" si="228"/>
        <v>#N/A</v>
      </c>
      <c r="AD479" s="323" t="e">
        <f t="shared" ca="1" si="229"/>
        <v>#N/A</v>
      </c>
      <c r="AE479" s="324" t="e">
        <f t="shared" ca="1" si="208"/>
        <v>#N/A</v>
      </c>
      <c r="AG479" s="306">
        <f t="shared" ca="1" si="230"/>
        <v>3.4632236447002418</v>
      </c>
      <c r="AH479" s="304">
        <f t="shared" ca="1" si="231"/>
        <v>-6.3069327795886236</v>
      </c>
    </row>
    <row r="480" spans="1:34" x14ac:dyDescent="0.25">
      <c r="A480" s="347">
        <f t="shared" ca="1" si="209"/>
        <v>0.1</v>
      </c>
      <c r="B480" s="304">
        <f t="shared" ca="1" si="210"/>
        <v>35.300000000000203</v>
      </c>
      <c r="D480" s="306">
        <f t="shared" ca="1" si="211"/>
        <v>-0.56691608989394793</v>
      </c>
      <c r="E480" s="307">
        <f t="shared" ca="1" si="212"/>
        <v>-3.4802837593359852</v>
      </c>
      <c r="F480" s="304">
        <f t="shared" ca="1" si="213"/>
        <v>3.5261549736899624</v>
      </c>
      <c r="G480" s="306">
        <f t="shared" ca="1" si="214"/>
        <v>9.4063573867620569</v>
      </c>
      <c r="H480" s="307">
        <f t="shared" ca="1" si="215"/>
        <v>-106.00460786340659</v>
      </c>
      <c r="I480" s="304">
        <f t="shared" ca="1" si="216"/>
        <v>106.42112782508038</v>
      </c>
      <c r="J480" s="306">
        <f t="shared" ca="1" si="217"/>
        <v>601.26422933494291</v>
      </c>
      <c r="K480" s="307">
        <f t="shared" ca="1" si="218"/>
        <v>1377.6241669375488</v>
      </c>
      <c r="L480" s="304">
        <f t="shared" ca="1" si="203"/>
        <v>1503.1190966813369</v>
      </c>
      <c r="M480" s="306">
        <f t="shared" ca="1" si="219"/>
        <v>-1.4822927690777912</v>
      </c>
      <c r="N480" s="304">
        <f t="shared" ca="1" si="220"/>
        <v>-84.929119670917373</v>
      </c>
      <c r="P480" s="310">
        <f t="shared" ca="1" si="221"/>
        <v>23</v>
      </c>
      <c r="Q480" s="304">
        <f t="shared" ca="1" si="222"/>
        <v>0</v>
      </c>
      <c r="R480" s="306">
        <f t="shared" ca="1" si="223"/>
        <v>0</v>
      </c>
      <c r="S480" s="307">
        <f t="shared" ca="1" si="224"/>
        <v>2.0842999999999985</v>
      </c>
      <c r="T480" s="304">
        <f t="shared" ca="1" si="204"/>
        <v>20.446982999999985</v>
      </c>
      <c r="U480" s="311">
        <f t="shared" ca="1" si="205"/>
        <v>0</v>
      </c>
      <c r="V480" s="306">
        <f t="shared" ca="1" si="206"/>
        <v>1.0671162621889005</v>
      </c>
      <c r="W480" s="304">
        <f t="shared" ca="1" si="207"/>
        <v>13.345472773441822</v>
      </c>
      <c r="Y480" s="314" t="str">
        <f t="shared" ca="1" si="225"/>
        <v/>
      </c>
      <c r="Z480" s="315" t="str">
        <f t="shared" ca="1" si="226"/>
        <v/>
      </c>
      <c r="AA480" s="316" t="str">
        <f t="shared" ca="1" si="227"/>
        <v/>
      </c>
      <c r="AC480" s="310" t="e">
        <f t="shared" ca="1" si="228"/>
        <v>#N/A</v>
      </c>
      <c r="AD480" s="323" t="e">
        <f t="shared" ca="1" si="229"/>
        <v>#N/A</v>
      </c>
      <c r="AE480" s="324" t="e">
        <f t="shared" ca="1" si="208"/>
        <v>#N/A</v>
      </c>
      <c r="AG480" s="306">
        <f t="shared" ca="1" si="230"/>
        <v>3.4158352415344053</v>
      </c>
      <c r="AH480" s="304">
        <f t="shared" ca="1" si="231"/>
        <v>-6.3550532287547705</v>
      </c>
    </row>
    <row r="481" spans="1:34" x14ac:dyDescent="0.25">
      <c r="A481" s="347">
        <f t="shared" ca="1" si="209"/>
        <v>0.1</v>
      </c>
      <c r="B481" s="304">
        <f t="shared" ca="1" si="210"/>
        <v>35.400000000000205</v>
      </c>
      <c r="D481" s="306">
        <f t="shared" ca="1" si="211"/>
        <v>-0.56593604221164706</v>
      </c>
      <c r="E481" s="307">
        <f t="shared" ca="1" si="212"/>
        <v>-3.4322040303462318</v>
      </c>
      <c r="F481" s="304">
        <f t="shared" ca="1" si="213"/>
        <v>3.478549713573043</v>
      </c>
      <c r="G481" s="306">
        <f t="shared" ca="1" si="214"/>
        <v>9.3497637825408919</v>
      </c>
      <c r="H481" s="307">
        <f t="shared" ca="1" si="215"/>
        <v>-106.34782826644121</v>
      </c>
      <c r="I481" s="304">
        <f t="shared" ca="1" si="216"/>
        <v>106.75803791648565</v>
      </c>
      <c r="J481" s="306">
        <f t="shared" ca="1" si="217"/>
        <v>602.2020353934081</v>
      </c>
      <c r="K481" s="307">
        <f t="shared" ca="1" si="218"/>
        <v>1367.0065451310563</v>
      </c>
      <c r="L481" s="304">
        <f t="shared" ca="1" si="203"/>
        <v>1493.7717984562134</v>
      </c>
      <c r="M481" s="306">
        <f t="shared" ca="1" si="219"/>
        <v>-1.4831049674036545</v>
      </c>
      <c r="N481" s="304">
        <f t="shared" ca="1" si="220"/>
        <v>-84.97565520711693</v>
      </c>
      <c r="P481" s="310">
        <f t="shared" ca="1" si="221"/>
        <v>23</v>
      </c>
      <c r="Q481" s="304">
        <f t="shared" ca="1" si="222"/>
        <v>0</v>
      </c>
      <c r="R481" s="306">
        <f t="shared" ca="1" si="223"/>
        <v>0</v>
      </c>
      <c r="S481" s="307">
        <f t="shared" ca="1" si="224"/>
        <v>2.0842999999999985</v>
      </c>
      <c r="T481" s="304">
        <f t="shared" ca="1" si="204"/>
        <v>20.446982999999985</v>
      </c>
      <c r="U481" s="311">
        <f t="shared" ca="1" si="205"/>
        <v>0</v>
      </c>
      <c r="V481" s="306">
        <f t="shared" ca="1" si="206"/>
        <v>1.0682552529762639</v>
      </c>
      <c r="W481" s="304">
        <f t="shared" ca="1" si="207"/>
        <v>13.444439921873487</v>
      </c>
      <c r="Y481" s="314" t="str">
        <f t="shared" ca="1" si="225"/>
        <v/>
      </c>
      <c r="Z481" s="315" t="str">
        <f t="shared" ca="1" si="226"/>
        <v/>
      </c>
      <c r="AA481" s="316" t="str">
        <f t="shared" ca="1" si="227"/>
        <v/>
      </c>
      <c r="AC481" s="310" t="e">
        <f t="shared" ca="1" si="228"/>
        <v>#N/A</v>
      </c>
      <c r="AD481" s="323" t="e">
        <f t="shared" ca="1" si="229"/>
        <v>#N/A</v>
      </c>
      <c r="AE481" s="324" t="e">
        <f t="shared" ca="1" si="208"/>
        <v>#N/A</v>
      </c>
      <c r="AG481" s="306">
        <f t="shared" ca="1" si="230"/>
        <v>3.3687487907685378</v>
      </c>
      <c r="AH481" s="304">
        <f t="shared" ca="1" si="231"/>
        <v>-6.4028560060652646</v>
      </c>
    </row>
    <row r="482" spans="1:34" x14ac:dyDescent="0.25">
      <c r="A482" s="347">
        <f t="shared" ca="1" si="209"/>
        <v>0.1</v>
      </c>
      <c r="B482" s="304">
        <f t="shared" ca="1" si="210"/>
        <v>35.500000000000206</v>
      </c>
      <c r="D482" s="306">
        <f t="shared" ca="1" si="211"/>
        <v>-0.56491426516075927</v>
      </c>
      <c r="E482" s="307">
        <f t="shared" ca="1" si="212"/>
        <v>-3.384446728936231</v>
      </c>
      <c r="F482" s="304">
        <f t="shared" ca="1" si="213"/>
        <v>3.4312691220580867</v>
      </c>
      <c r="G482" s="306">
        <f t="shared" ca="1" si="214"/>
        <v>9.2932723560248167</v>
      </c>
      <c r="H482" s="307">
        <f t="shared" ca="1" si="215"/>
        <v>-106.68627293933484</v>
      </c>
      <c r="I482" s="304">
        <f t="shared" ca="1" si="216"/>
        <v>107.09026914136273</v>
      </c>
      <c r="J482" s="306">
        <f t="shared" ca="1" si="217"/>
        <v>603.13418720033633</v>
      </c>
      <c r="K482" s="307">
        <f t="shared" ca="1" si="218"/>
        <v>1356.3548400707675</v>
      </c>
      <c r="L482" s="304">
        <f t="shared" ca="1" si="203"/>
        <v>1484.4087374955752</v>
      </c>
      <c r="M482" s="306">
        <f t="shared" ca="1" si="219"/>
        <v>-1.4839072347190925</v>
      </c>
      <c r="N482" s="304">
        <f t="shared" ca="1" si="220"/>
        <v>-85.021621738332826</v>
      </c>
      <c r="P482" s="310">
        <f t="shared" ca="1" si="221"/>
        <v>23</v>
      </c>
      <c r="Q482" s="304">
        <f t="shared" ca="1" si="222"/>
        <v>0</v>
      </c>
      <c r="R482" s="306">
        <f t="shared" ca="1" si="223"/>
        <v>0</v>
      </c>
      <c r="S482" s="307">
        <f t="shared" ca="1" si="224"/>
        <v>2.0842999999999985</v>
      </c>
      <c r="T482" s="304">
        <f t="shared" ca="1" si="204"/>
        <v>20.446982999999985</v>
      </c>
      <c r="U482" s="311">
        <f t="shared" ca="1" si="205"/>
        <v>0</v>
      </c>
      <c r="V482" s="306">
        <f t="shared" ca="1" si="206"/>
        <v>1.0693990379885276</v>
      </c>
      <c r="W482" s="304">
        <f t="shared" ca="1" si="207"/>
        <v>13.542733120114258</v>
      </c>
      <c r="Y482" s="314" t="str">
        <f t="shared" ca="1" si="225"/>
        <v/>
      </c>
      <c r="Z482" s="315" t="str">
        <f t="shared" ca="1" si="226"/>
        <v/>
      </c>
      <c r="AA482" s="316" t="str">
        <f t="shared" ca="1" si="227"/>
        <v/>
      </c>
      <c r="AC482" s="310" t="e">
        <f t="shared" ca="1" si="228"/>
        <v>#N/A</v>
      </c>
      <c r="AD482" s="323" t="e">
        <f t="shared" ca="1" si="229"/>
        <v>#N/A</v>
      </c>
      <c r="AE482" s="324" t="e">
        <f t="shared" ca="1" si="208"/>
        <v>#N/A</v>
      </c>
      <c r="AG482" s="306">
        <f t="shared" ca="1" si="230"/>
        <v>3.3219676147160007</v>
      </c>
      <c r="AH482" s="304">
        <f t="shared" ca="1" si="231"/>
        <v>-6.4503382055718932</v>
      </c>
    </row>
    <row r="483" spans="1:34" x14ac:dyDescent="0.25">
      <c r="A483" s="347">
        <f t="shared" ca="1" si="209"/>
        <v>0.1</v>
      </c>
      <c r="B483" s="304">
        <f t="shared" ca="1" si="210"/>
        <v>35.600000000000207</v>
      </c>
      <c r="D483" s="306">
        <f t="shared" ca="1" si="211"/>
        <v>-0.56385150850849541</v>
      </c>
      <c r="E483" s="307">
        <f t="shared" ca="1" si="212"/>
        <v>-3.3370146370998741</v>
      </c>
      <c r="F483" s="304">
        <f t="shared" ca="1" si="213"/>
        <v>3.3843160626433977</v>
      </c>
      <c r="G483" s="306">
        <f t="shared" ca="1" si="214"/>
        <v>9.2368872051739679</v>
      </c>
      <c r="H483" s="307">
        <f t="shared" ca="1" si="215"/>
        <v>-107.01997440304483</v>
      </c>
      <c r="I483" s="304">
        <f t="shared" ca="1" si="216"/>
        <v>107.41785236388539</v>
      </c>
      <c r="J483" s="306">
        <f t="shared" ca="1" si="217"/>
        <v>604.06069517839626</v>
      </c>
      <c r="K483" s="307">
        <f t="shared" ca="1" si="218"/>
        <v>1345.6695277036486</v>
      </c>
      <c r="L483" s="304">
        <f t="shared" ca="1" si="203"/>
        <v>1475.0307797634489</v>
      </c>
      <c r="M483" s="306">
        <f t="shared" ca="1" si="219"/>
        <v>-1.4846997565656492</v>
      </c>
      <c r="N483" s="304">
        <f t="shared" ca="1" si="220"/>
        <v>-85.06702989531243</v>
      </c>
      <c r="P483" s="310">
        <f t="shared" ca="1" si="221"/>
        <v>23</v>
      </c>
      <c r="Q483" s="304">
        <f t="shared" ca="1" si="222"/>
        <v>0</v>
      </c>
      <c r="R483" s="306">
        <f t="shared" ca="1" si="223"/>
        <v>0</v>
      </c>
      <c r="S483" s="307">
        <f t="shared" ca="1" si="224"/>
        <v>2.0842999999999985</v>
      </c>
      <c r="T483" s="304">
        <f t="shared" ca="1" si="204"/>
        <v>20.446982999999985</v>
      </c>
      <c r="U483" s="311">
        <f t="shared" ca="1" si="205"/>
        <v>0</v>
      </c>
      <c r="V483" s="306">
        <f t="shared" ca="1" si="206"/>
        <v>1.0705475786976351</v>
      </c>
      <c r="W483" s="304">
        <f t="shared" ca="1" si="207"/>
        <v>13.640346881468437</v>
      </c>
      <c r="Y483" s="314" t="str">
        <f t="shared" ca="1" si="225"/>
        <v/>
      </c>
      <c r="Z483" s="315" t="str">
        <f t="shared" ca="1" si="226"/>
        <v/>
      </c>
      <c r="AA483" s="316" t="str">
        <f t="shared" ca="1" si="227"/>
        <v/>
      </c>
      <c r="AC483" s="310" t="e">
        <f t="shared" ca="1" si="228"/>
        <v>#N/A</v>
      </c>
      <c r="AD483" s="323" t="e">
        <f t="shared" ca="1" si="229"/>
        <v>#N/A</v>
      </c>
      <c r="AE483" s="324" t="e">
        <f t="shared" ca="1" si="208"/>
        <v>#N/A</v>
      </c>
      <c r="AG483" s="306">
        <f t="shared" ca="1" si="230"/>
        <v>3.2754948843786629</v>
      </c>
      <c r="AH483" s="304">
        <f t="shared" ca="1" si="231"/>
        <v>-6.4974970590194641</v>
      </c>
    </row>
    <row r="484" spans="1:34" x14ac:dyDescent="0.25">
      <c r="A484" s="347">
        <f t="shared" ca="1" si="209"/>
        <v>0.1</v>
      </c>
      <c r="B484" s="304">
        <f t="shared" ca="1" si="210"/>
        <v>35.700000000000209</v>
      </c>
      <c r="D484" s="306">
        <f t="shared" ca="1" si="211"/>
        <v>-0.5627485199496306</v>
      </c>
      <c r="E484" s="307">
        <f t="shared" ca="1" si="212"/>
        <v>-3.2899104002670763</v>
      </c>
      <c r="F484" s="304">
        <f t="shared" ca="1" si="213"/>
        <v>3.337693266088269</v>
      </c>
      <c r="G484" s="306">
        <f t="shared" ca="1" si="214"/>
        <v>9.1806123531790043</v>
      </c>
      <c r="H484" s="307">
        <f t="shared" ca="1" si="215"/>
        <v>-107.34896544307153</v>
      </c>
      <c r="I484" s="304">
        <f t="shared" ca="1" si="216"/>
        <v>107.74081874979932</v>
      </c>
      <c r="J484" s="306">
        <f t="shared" ca="1" si="217"/>
        <v>604.98157015631386</v>
      </c>
      <c r="K484" s="307">
        <f t="shared" ca="1" si="218"/>
        <v>1334.9510807113427</v>
      </c>
      <c r="L484" s="304">
        <f t="shared" ca="1" si="203"/>
        <v>1465.638798654423</v>
      </c>
      <c r="M484" s="306">
        <f t="shared" ca="1" si="219"/>
        <v>-1.4854827136452262</v>
      </c>
      <c r="N484" s="304">
        <f t="shared" ca="1" si="220"/>
        <v>-85.11189003151209</v>
      </c>
      <c r="P484" s="310">
        <f t="shared" ca="1" si="221"/>
        <v>23</v>
      </c>
      <c r="Q484" s="304">
        <f t="shared" ca="1" si="222"/>
        <v>0</v>
      </c>
      <c r="R484" s="306">
        <f t="shared" ca="1" si="223"/>
        <v>0</v>
      </c>
      <c r="S484" s="307">
        <f t="shared" ca="1" si="224"/>
        <v>2.0842999999999985</v>
      </c>
      <c r="T484" s="304">
        <f t="shared" ca="1" si="204"/>
        <v>20.446982999999985</v>
      </c>
      <c r="U484" s="311">
        <f t="shared" ca="1" si="205"/>
        <v>0</v>
      </c>
      <c r="V484" s="306">
        <f t="shared" ca="1" si="206"/>
        <v>1.0717008367926502</v>
      </c>
      <c r="W484" s="304">
        <f t="shared" ca="1" si="207"/>
        <v>13.737275998546108</v>
      </c>
      <c r="Y484" s="314" t="str">
        <f t="shared" ca="1" si="225"/>
        <v/>
      </c>
      <c r="Z484" s="315" t="str">
        <f t="shared" ca="1" si="226"/>
        <v/>
      </c>
      <c r="AA484" s="316" t="str">
        <f t="shared" ca="1" si="227"/>
        <v/>
      </c>
      <c r="AC484" s="310" t="e">
        <f t="shared" ca="1" si="228"/>
        <v>#N/A</v>
      </c>
      <c r="AD484" s="323" t="e">
        <f t="shared" ca="1" si="229"/>
        <v>#N/A</v>
      </c>
      <c r="AE484" s="324" t="e">
        <f t="shared" ca="1" si="208"/>
        <v>#N/A</v>
      </c>
      <c r="AG484" s="306">
        <f t="shared" ca="1" si="230"/>
        <v>3.2293336218092756</v>
      </c>
      <c r="AH484" s="304">
        <f t="shared" ca="1" si="231"/>
        <v>-6.5443299340154715</v>
      </c>
    </row>
    <row r="485" spans="1:34" x14ac:dyDescent="0.25">
      <c r="A485" s="347">
        <f t="shared" ca="1" si="209"/>
        <v>0.1</v>
      </c>
      <c r="B485" s="304">
        <f t="shared" ca="1" si="210"/>
        <v>35.80000000000021</v>
      </c>
      <c r="D485" s="306">
        <f t="shared" ca="1" si="211"/>
        <v>-0.56160604485667376</v>
      </c>
      <c r="E485" s="307">
        <f t="shared" ca="1" si="212"/>
        <v>-3.2431365291702852</v>
      </c>
      <c r="F485" s="304">
        <f t="shared" ca="1" si="213"/>
        <v>3.2914033323885179</v>
      </c>
      <c r="G485" s="306">
        <f t="shared" ca="1" si="214"/>
        <v>9.1244517486933372</v>
      </c>
      <c r="H485" s="307">
        <f t="shared" ca="1" si="215"/>
        <v>-107.67327909598856</v>
      </c>
      <c r="I485" s="304">
        <f t="shared" ca="1" si="216"/>
        <v>108.05919975178828</v>
      </c>
      <c r="J485" s="306">
        <f t="shared" ca="1" si="217"/>
        <v>605.89682336140743</v>
      </c>
      <c r="K485" s="307">
        <f t="shared" ca="1" si="218"/>
        <v>1324.1999684843897</v>
      </c>
      <c r="L485" s="304">
        <f t="shared" ca="1" si="203"/>
        <v>1456.2336753054103</v>
      </c>
      <c r="M485" s="306">
        <f t="shared" ca="1" si="219"/>
        <v>-1.4862562819765146</v>
      </c>
      <c r="N485" s="304">
        <f t="shared" ca="1" si="220"/>
        <v>-85.156212232059886</v>
      </c>
      <c r="P485" s="310">
        <f t="shared" ca="1" si="221"/>
        <v>23</v>
      </c>
      <c r="Q485" s="304">
        <f t="shared" ca="1" si="222"/>
        <v>0</v>
      </c>
      <c r="R485" s="306">
        <f t="shared" ca="1" si="223"/>
        <v>0</v>
      </c>
      <c r="S485" s="307">
        <f t="shared" ca="1" si="224"/>
        <v>2.0842999999999985</v>
      </c>
      <c r="T485" s="304">
        <f t="shared" ca="1" si="204"/>
        <v>20.446982999999985</v>
      </c>
      <c r="U485" s="311">
        <f t="shared" ca="1" si="205"/>
        <v>0</v>
      </c>
      <c r="V485" s="306">
        <f t="shared" ca="1" si="206"/>
        <v>1.0728587741823103</v>
      </c>
      <c r="W485" s="304">
        <f t="shared" ca="1" si="207"/>
        <v>13.833515539336799</v>
      </c>
      <c r="Y485" s="314" t="str">
        <f t="shared" ca="1" si="225"/>
        <v/>
      </c>
      <c r="Z485" s="315" t="str">
        <f t="shared" ca="1" si="226"/>
        <v/>
      </c>
      <c r="AA485" s="316" t="str">
        <f t="shared" ca="1" si="227"/>
        <v/>
      </c>
      <c r="AC485" s="310" t="e">
        <f t="shared" ca="1" si="228"/>
        <v>#N/A</v>
      </c>
      <c r="AD485" s="323" t="e">
        <f t="shared" ca="1" si="229"/>
        <v>#N/A</v>
      </c>
      <c r="AE485" s="324" t="e">
        <f t="shared" ca="1" si="208"/>
        <v>#N/A</v>
      </c>
      <c r="AG485" s="306">
        <f t="shared" ca="1" si="230"/>
        <v>3.1834867024775741</v>
      </c>
      <c r="AH485" s="304">
        <f t="shared" ca="1" si="231"/>
        <v>-6.5908343321720091</v>
      </c>
    </row>
    <row r="486" spans="1:34" x14ac:dyDescent="0.25">
      <c r="A486" s="347">
        <f t="shared" ca="1" si="209"/>
        <v>0.1</v>
      </c>
      <c r="B486" s="304">
        <f t="shared" ca="1" si="210"/>
        <v>35.900000000000212</v>
      </c>
      <c r="D486" s="306">
        <f t="shared" ca="1" si="211"/>
        <v>-0.56042482603756361</v>
      </c>
      <c r="E486" s="307">
        <f t="shared" ca="1" si="212"/>
        <v>-3.1966954017369069</v>
      </c>
      <c r="F486" s="304">
        <f t="shared" ca="1" si="213"/>
        <v>3.2454487327833603</v>
      </c>
      <c r="G486" s="306">
        <f t="shared" ca="1" si="214"/>
        <v>9.0684092660895814</v>
      </c>
      <c r="H486" s="307">
        <f t="shared" ca="1" si="215"/>
        <v>-107.99294863616225</v>
      </c>
      <c r="I486" s="304">
        <f t="shared" ca="1" si="216"/>
        <v>108.37302709507601</v>
      </c>
      <c r="J486" s="306">
        <f t="shared" ca="1" si="217"/>
        <v>606.80646641214662</v>
      </c>
      <c r="K486" s="307">
        <f t="shared" ca="1" si="218"/>
        <v>1313.4166570977823</v>
      </c>
      <c r="L486" s="304">
        <f t="shared" ca="1" si="203"/>
        <v>1446.8162989203256</v>
      </c>
      <c r="M486" s="306">
        <f t="shared" ca="1" si="219"/>
        <v>-1.487020633045457</v>
      </c>
      <c r="N486" s="304">
        <f t="shared" ca="1" si="220"/>
        <v>-85.200006322376595</v>
      </c>
      <c r="P486" s="310">
        <f t="shared" ca="1" si="221"/>
        <v>23</v>
      </c>
      <c r="Q486" s="304">
        <f t="shared" ca="1" si="222"/>
        <v>0</v>
      </c>
      <c r="R486" s="306">
        <f t="shared" ca="1" si="223"/>
        <v>0</v>
      </c>
      <c r="S486" s="307">
        <f t="shared" ca="1" si="224"/>
        <v>2.0842999999999985</v>
      </c>
      <c r="T486" s="304">
        <f t="shared" ca="1" si="204"/>
        <v>20.446982999999985</v>
      </c>
      <c r="U486" s="311">
        <f t="shared" ca="1" si="205"/>
        <v>0</v>
      </c>
      <c r="V486" s="306">
        <f t="shared" ca="1" si="206"/>
        <v>1.0740213529974814</v>
      </c>
      <c r="W486" s="304">
        <f t="shared" ca="1" si="207"/>
        <v>13.929060843233648</v>
      </c>
      <c r="Y486" s="314" t="str">
        <f t="shared" ca="1" si="225"/>
        <v/>
      </c>
      <c r="Z486" s="315" t="str">
        <f t="shared" ca="1" si="226"/>
        <v/>
      </c>
      <c r="AA486" s="316" t="str">
        <f t="shared" ca="1" si="227"/>
        <v/>
      </c>
      <c r="AC486" s="310" t="e">
        <f t="shared" ca="1" si="228"/>
        <v>#N/A</v>
      </c>
      <c r="AD486" s="323" t="e">
        <f t="shared" ca="1" si="229"/>
        <v>#N/A</v>
      </c>
      <c r="AE486" s="324" t="e">
        <f t="shared" ca="1" si="208"/>
        <v>#N/A</v>
      </c>
      <c r="AG486" s="306">
        <f t="shared" ca="1" si="230"/>
        <v>3.1379568576392316</v>
      </c>
      <c r="AH486" s="304">
        <f t="shared" ca="1" si="231"/>
        <v>-6.6370078872219977</v>
      </c>
    </row>
    <row r="487" spans="1:34" x14ac:dyDescent="0.25">
      <c r="A487" s="347">
        <f t="shared" ca="1" si="209"/>
        <v>0.1</v>
      </c>
      <c r="B487" s="304">
        <f t="shared" ca="1" si="210"/>
        <v>36.000000000000213</v>
      </c>
      <c r="D487" s="306">
        <f t="shared" ca="1" si="211"/>
        <v>-0.55920560350082704</v>
      </c>
      <c r="E487" s="307">
        <f t="shared" ca="1" si="212"/>
        <v>-3.1505892650056779</v>
      </c>
      <c r="F487" s="304">
        <f t="shared" ca="1" si="213"/>
        <v>3.1998318117919484</v>
      </c>
      <c r="G487" s="306">
        <f t="shared" ca="1" si="214"/>
        <v>9.0124887057394982</v>
      </c>
      <c r="H487" s="307">
        <f t="shared" ca="1" si="215"/>
        <v>-108.30800756266282</v>
      </c>
      <c r="I487" s="304">
        <f t="shared" ca="1" si="216"/>
        <v>108.68233276326428</v>
      </c>
      <c r="J487" s="306">
        <f t="shared" ca="1" si="217"/>
        <v>607.71051131073807</v>
      </c>
      <c r="K487" s="307">
        <f t="shared" ca="1" si="218"/>
        <v>1302.601609287841</v>
      </c>
      <c r="L487" s="304">
        <f t="shared" ca="1" si="203"/>
        <v>1437.3875671080614</v>
      </c>
      <c r="M487" s="306">
        <f t="shared" ca="1" si="219"/>
        <v>-1.4877759339499992</v>
      </c>
      <c r="N487" s="304">
        <f t="shared" ca="1" si="220"/>
        <v>-85.243281876469283</v>
      </c>
      <c r="P487" s="310">
        <f t="shared" ca="1" si="221"/>
        <v>23</v>
      </c>
      <c r="Q487" s="304">
        <f t="shared" ca="1" si="222"/>
        <v>0</v>
      </c>
      <c r="R487" s="306">
        <f t="shared" ca="1" si="223"/>
        <v>0</v>
      </c>
      <c r="S487" s="307">
        <f t="shared" ca="1" si="224"/>
        <v>2.0842999999999985</v>
      </c>
      <c r="T487" s="304">
        <f t="shared" ca="1" si="204"/>
        <v>20.446982999999985</v>
      </c>
      <c r="U487" s="311">
        <f t="shared" ca="1" si="205"/>
        <v>0</v>
      </c>
      <c r="V487" s="306">
        <f t="shared" ca="1" si="206"/>
        <v>1.0751885355935218</v>
      </c>
      <c r="W487" s="304">
        <f t="shared" ca="1" si="207"/>
        <v>14.023907517012379</v>
      </c>
      <c r="Y487" s="314" t="str">
        <f t="shared" ca="1" si="225"/>
        <v/>
      </c>
      <c r="Z487" s="315" t="str">
        <f t="shared" ca="1" si="226"/>
        <v/>
      </c>
      <c r="AA487" s="316" t="str">
        <f t="shared" ca="1" si="227"/>
        <v/>
      </c>
      <c r="AC487" s="310">
        <f t="shared" ca="1" si="228"/>
        <v>36.000000000000213</v>
      </c>
      <c r="AD487" s="323">
        <f t="shared" ca="1" si="229"/>
        <v>607.71051131073807</v>
      </c>
      <c r="AE487" s="324" t="e">
        <f t="shared" ca="1" si="208"/>
        <v>#N/A</v>
      </c>
      <c r="AG487" s="306">
        <f t="shared" ca="1" si="230"/>
        <v>3.0927466767069269</v>
      </c>
      <c r="AH487" s="304">
        <f t="shared" ca="1" si="231"/>
        <v>-6.6828483631116722</v>
      </c>
    </row>
    <row r="488" spans="1:34" x14ac:dyDescent="0.25">
      <c r="A488" s="347">
        <f t="shared" ca="1" si="209"/>
        <v>0.1</v>
      </c>
      <c r="B488" s="304">
        <f t="shared" ca="1" si="210"/>
        <v>36.100000000000215</v>
      </c>
      <c r="D488" s="306">
        <f t="shared" ca="1" si="211"/>
        <v>-0.55794911422816884</v>
      </c>
      <c r="E488" s="307">
        <f t="shared" ca="1" si="212"/>
        <v>-3.1048202370649038</v>
      </c>
      <c r="F488" s="304">
        <f t="shared" ca="1" si="213"/>
        <v>3.1545547892778409</v>
      </c>
      <c r="G488" s="306">
        <f t="shared" ca="1" si="214"/>
        <v>8.9566937943166813</v>
      </c>
      <c r="H488" s="307">
        <f t="shared" ca="1" si="215"/>
        <v>-108.61848958636931</v>
      </c>
      <c r="I488" s="304">
        <f t="shared" ca="1" si="216"/>
        <v>108.98714898440718</v>
      </c>
      <c r="J488" s="306">
        <f t="shared" ca="1" si="217"/>
        <v>608.60897043574084</v>
      </c>
      <c r="K488" s="307">
        <f t="shared" ca="1" si="218"/>
        <v>1291.7552844303893</v>
      </c>
      <c r="L488" s="304">
        <f t="shared" ca="1" si="203"/>
        <v>1427.9483862341413</v>
      </c>
      <c r="M488" s="306">
        <f t="shared" ca="1" si="219"/>
        <v>-1.4885223475393867</v>
      </c>
      <c r="N488" s="304">
        <f t="shared" ca="1" si="220"/>
        <v>-85.286048224912406</v>
      </c>
      <c r="P488" s="310">
        <f t="shared" ca="1" si="221"/>
        <v>23</v>
      </c>
      <c r="Q488" s="304">
        <f t="shared" ca="1" si="222"/>
        <v>0</v>
      </c>
      <c r="R488" s="306">
        <f t="shared" ca="1" si="223"/>
        <v>0</v>
      </c>
      <c r="S488" s="307">
        <f t="shared" ca="1" si="224"/>
        <v>2.0842999999999985</v>
      </c>
      <c r="T488" s="304">
        <f t="shared" ca="1" si="204"/>
        <v>20.446982999999985</v>
      </c>
      <c r="U488" s="311">
        <f t="shared" ca="1" si="205"/>
        <v>0</v>
      </c>
      <c r="V488" s="306">
        <f t="shared" ca="1" si="206"/>
        <v>1.0763602845525508</v>
      </c>
      <c r="W488" s="304">
        <f t="shared" ca="1" si="207"/>
        <v>14.118051430768842</v>
      </c>
      <c r="Y488" s="314" t="str">
        <f t="shared" ca="1" si="225"/>
        <v/>
      </c>
      <c r="Z488" s="315" t="str">
        <f t="shared" ca="1" si="226"/>
        <v/>
      </c>
      <c r="AA488" s="316" t="str">
        <f t="shared" ca="1" si="227"/>
        <v/>
      </c>
      <c r="AC488" s="310" t="e">
        <f t="shared" ca="1" si="228"/>
        <v>#N/A</v>
      </c>
      <c r="AD488" s="323" t="e">
        <f t="shared" ca="1" si="229"/>
        <v>#N/A</v>
      </c>
      <c r="AE488" s="324" t="e">
        <f t="shared" ca="1" si="208"/>
        <v>#N/A</v>
      </c>
      <c r="AG488" s="306">
        <f t="shared" ca="1" si="230"/>
        <v>3.0478586096225282</v>
      </c>
      <c r="AH488" s="304">
        <f t="shared" ca="1" si="231"/>
        <v>-6.7283536520713856</v>
      </c>
    </row>
    <row r="489" spans="1:34" x14ac:dyDescent="0.25">
      <c r="A489" s="347">
        <f t="shared" ca="1" si="209"/>
        <v>0.1</v>
      </c>
      <c r="B489" s="304">
        <f t="shared" ca="1" si="210"/>
        <v>36.200000000000216</v>
      </c>
      <c r="D489" s="306">
        <f t="shared" ca="1" si="211"/>
        <v>-0.55665609195439247</v>
      </c>
      <c r="E489" s="307">
        <f t="shared" ca="1" si="212"/>
        <v>-3.0593903090107766</v>
      </c>
      <c r="F489" s="304">
        <f t="shared" ca="1" si="213"/>
        <v>3.1096197625399462</v>
      </c>
      <c r="G489" s="306">
        <f t="shared" ca="1" si="214"/>
        <v>8.9010281851212429</v>
      </c>
      <c r="H489" s="307">
        <f t="shared" ca="1" si="215"/>
        <v>-108.92442861727038</v>
      </c>
      <c r="I489" s="304">
        <f t="shared" ca="1" si="216"/>
        <v>109.28750821732167</v>
      </c>
      <c r="J489" s="306">
        <f t="shared" ca="1" si="217"/>
        <v>609.50185653471272</v>
      </c>
      <c r="K489" s="307">
        <f t="shared" ca="1" si="218"/>
        <v>1280.8781385202074</v>
      </c>
      <c r="L489" s="304">
        <f t="shared" ca="1" si="203"/>
        <v>1418.4996717864453</v>
      </c>
      <c r="M489" s="306">
        <f t="shared" ca="1" si="219"/>
        <v>-1.4892600325482392</v>
      </c>
      <c r="N489" s="304">
        <f t="shared" ca="1" si="220"/>
        <v>-85.328314462529718</v>
      </c>
      <c r="P489" s="310">
        <f t="shared" ca="1" si="221"/>
        <v>23</v>
      </c>
      <c r="Q489" s="304">
        <f t="shared" ca="1" si="222"/>
        <v>0</v>
      </c>
      <c r="R489" s="306">
        <f t="shared" ca="1" si="223"/>
        <v>0</v>
      </c>
      <c r="S489" s="307">
        <f t="shared" ca="1" si="224"/>
        <v>2.0842999999999985</v>
      </c>
      <c r="T489" s="304">
        <f t="shared" ca="1" si="204"/>
        <v>20.446982999999985</v>
      </c>
      <c r="U489" s="311">
        <f t="shared" ca="1" si="205"/>
        <v>0</v>
      </c>
      <c r="V489" s="306">
        <f t="shared" ca="1" si="206"/>
        <v>1.0775365626856259</v>
      </c>
      <c r="W489" s="304">
        <f t="shared" ca="1" si="207"/>
        <v>14.211488713819195</v>
      </c>
      <c r="Y489" s="314" t="str">
        <f t="shared" ca="1" si="225"/>
        <v/>
      </c>
      <c r="Z489" s="315" t="str">
        <f t="shared" ca="1" si="226"/>
        <v/>
      </c>
      <c r="AA489" s="316" t="str">
        <f t="shared" ca="1" si="227"/>
        <v/>
      </c>
      <c r="AC489" s="310" t="e">
        <f t="shared" ca="1" si="228"/>
        <v>#N/A</v>
      </c>
      <c r="AD489" s="323" t="e">
        <f t="shared" ca="1" si="229"/>
        <v>#N/A</v>
      </c>
      <c r="AE489" s="324" t="e">
        <f t="shared" ca="1" si="208"/>
        <v>#N/A</v>
      </c>
      <c r="AG489" s="306">
        <f t="shared" ca="1" si="230"/>
        <v>3.0032949692296249</v>
      </c>
      <c r="AH489" s="304">
        <f t="shared" ca="1" si="231"/>
        <v>-6.7735217726665322</v>
      </c>
    </row>
    <row r="490" spans="1:34" x14ac:dyDescent="0.25">
      <c r="A490" s="347">
        <f t="shared" ca="1" si="209"/>
        <v>0.1</v>
      </c>
      <c r="B490" s="304">
        <f t="shared" ca="1" si="210"/>
        <v>36.300000000000217</v>
      </c>
      <c r="D490" s="306">
        <f t="shared" ca="1" si="211"/>
        <v>-0.5553272669546182</v>
      </c>
      <c r="E490" s="307">
        <f t="shared" ca="1" si="212"/>
        <v>-3.0143013469237578</v>
      </c>
      <c r="F490" s="304">
        <f t="shared" ca="1" si="213"/>
        <v>3.0650287084283021</v>
      </c>
      <c r="G490" s="306">
        <f t="shared" ca="1" si="214"/>
        <v>8.8454954584257806</v>
      </c>
      <c r="H490" s="307">
        <f t="shared" ca="1" si="215"/>
        <v>-109.22585875196276</v>
      </c>
      <c r="I490" s="304">
        <f t="shared" ca="1" si="216"/>
        <v>109.58344313813447</v>
      </c>
      <c r="J490" s="306">
        <f t="shared" ca="1" si="217"/>
        <v>610.3891827168901</v>
      </c>
      <c r="K490" s="307">
        <f t="shared" ca="1" si="218"/>
        <v>1269.9706241517456</v>
      </c>
      <c r="L490" s="304">
        <f t="shared" ca="1" si="203"/>
        <v>1409.0423487554117</v>
      </c>
      <c r="M490" s="306">
        <f t="shared" ca="1" si="219"/>
        <v>-1.4899891437256305</v>
      </c>
      <c r="N490" s="304">
        <f t="shared" ca="1" si="220"/>
        <v>-85.370089455790051</v>
      </c>
      <c r="P490" s="310">
        <f t="shared" ca="1" si="221"/>
        <v>23</v>
      </c>
      <c r="Q490" s="304">
        <f t="shared" ca="1" si="222"/>
        <v>0</v>
      </c>
      <c r="R490" s="306">
        <f t="shared" ca="1" si="223"/>
        <v>0</v>
      </c>
      <c r="S490" s="307">
        <f t="shared" ca="1" si="224"/>
        <v>2.0842999999999985</v>
      </c>
      <c r="T490" s="304">
        <f t="shared" ca="1" si="204"/>
        <v>20.446982999999985</v>
      </c>
      <c r="U490" s="311">
        <f t="shared" ca="1" si="205"/>
        <v>0</v>
      </c>
      <c r="V490" s="306">
        <f t="shared" ca="1" si="206"/>
        <v>1.0787173330348283</v>
      </c>
      <c r="W490" s="304">
        <f t="shared" ca="1" si="207"/>
        <v>14.30421575056651</v>
      </c>
      <c r="Y490" s="314" t="str">
        <f t="shared" ca="1" si="225"/>
        <v/>
      </c>
      <c r="Z490" s="315" t="str">
        <f t="shared" ca="1" si="226"/>
        <v/>
      </c>
      <c r="AA490" s="316" t="str">
        <f t="shared" ca="1" si="227"/>
        <v/>
      </c>
      <c r="AC490" s="310" t="e">
        <f t="shared" ca="1" si="228"/>
        <v>#N/A</v>
      </c>
      <c r="AD490" s="323" t="e">
        <f t="shared" ca="1" si="229"/>
        <v>#N/A</v>
      </c>
      <c r="AE490" s="324" t="e">
        <f t="shared" ca="1" si="208"/>
        <v>#N/A</v>
      </c>
      <c r="AG490" s="306">
        <f t="shared" ca="1" si="230"/>
        <v>2.9590579336454619</v>
      </c>
      <c r="AH490" s="304">
        <f t="shared" ca="1" si="231"/>
        <v>-6.8183508678305449</v>
      </c>
    </row>
    <row r="491" spans="1:34" x14ac:dyDescent="0.25">
      <c r="A491" s="347">
        <f t="shared" ca="1" si="209"/>
        <v>0.1</v>
      </c>
      <c r="B491" s="304">
        <f t="shared" ca="1" si="210"/>
        <v>36.400000000000219</v>
      </c>
      <c r="D491" s="306">
        <f t="shared" ca="1" si="211"/>
        <v>-0.55396336583872374</v>
      </c>
      <c r="E491" s="307">
        <f t="shared" ca="1" si="212"/>
        <v>-2.9695550938612314</v>
      </c>
      <c r="F491" s="304">
        <f t="shared" ca="1" si="213"/>
        <v>3.0207834854832867</v>
      </c>
      <c r="G491" s="306">
        <f t="shared" ca="1" si="214"/>
        <v>8.7900991218419087</v>
      </c>
      <c r="H491" s="307">
        <f t="shared" ca="1" si="215"/>
        <v>-109.52281426134888</v>
      </c>
      <c r="I491" s="304">
        <f t="shared" ca="1" si="216"/>
        <v>109.87498662706508</v>
      </c>
      <c r="J491" s="306">
        <f t="shared" ca="1" si="217"/>
        <v>611.27096244590348</v>
      </c>
      <c r="K491" s="307">
        <f t="shared" ca="1" si="218"/>
        <v>1259.0331905010801</v>
      </c>
      <c r="L491" s="304">
        <f t="shared" ca="1" si="203"/>
        <v>1399.5773520291295</v>
      </c>
      <c r="M491" s="306">
        <f t="shared" ca="1" si="219"/>
        <v>-1.4907098319593883</v>
      </c>
      <c r="N491" s="304">
        <f t="shared" ca="1" si="220"/>
        <v>-85.411381849929114</v>
      </c>
      <c r="P491" s="310">
        <f t="shared" ca="1" si="221"/>
        <v>23</v>
      </c>
      <c r="Q491" s="304">
        <f t="shared" ca="1" si="222"/>
        <v>0</v>
      </c>
      <c r="R491" s="306">
        <f t="shared" ca="1" si="223"/>
        <v>0</v>
      </c>
      <c r="S491" s="307">
        <f t="shared" ca="1" si="224"/>
        <v>2.0842999999999985</v>
      </c>
      <c r="T491" s="304">
        <f t="shared" ca="1" si="204"/>
        <v>20.446982999999985</v>
      </c>
      <c r="U491" s="311">
        <f t="shared" ca="1" si="205"/>
        <v>0</v>
      </c>
      <c r="V491" s="306">
        <f t="shared" ca="1" si="206"/>
        <v>1.0799025588752591</v>
      </c>
      <c r="W491" s="304">
        <f t="shared" ca="1" si="207"/>
        <v>14.396229176337487</v>
      </c>
      <c r="Y491" s="314" t="str">
        <f t="shared" ca="1" si="225"/>
        <v/>
      </c>
      <c r="Z491" s="315" t="str">
        <f t="shared" ca="1" si="226"/>
        <v/>
      </c>
      <c r="AA491" s="316" t="str">
        <f t="shared" ca="1" si="227"/>
        <v/>
      </c>
      <c r="AC491" s="310" t="e">
        <f t="shared" ca="1" si="228"/>
        <v>#N/A</v>
      </c>
      <c r="AD491" s="323" t="e">
        <f t="shared" ca="1" si="229"/>
        <v>#N/A</v>
      </c>
      <c r="AE491" s="324" t="e">
        <f t="shared" ca="1" si="208"/>
        <v>#N/A</v>
      </c>
      <c r="AG491" s="306">
        <f t="shared" ca="1" si="230"/>
        <v>2.9151495486313124</v>
      </c>
      <c r="AH491" s="304">
        <f t="shared" ca="1" si="231"/>
        <v>-6.8628392028817924</v>
      </c>
    </row>
    <row r="492" spans="1:34" x14ac:dyDescent="0.25">
      <c r="A492" s="347">
        <f t="shared" ca="1" si="209"/>
        <v>0.1</v>
      </c>
      <c r="B492" s="304">
        <f t="shared" ca="1" si="210"/>
        <v>36.50000000000022</v>
      </c>
      <c r="D492" s="306">
        <f t="shared" ca="1" si="211"/>
        <v>-0.55256511135293129</v>
      </c>
      <c r="E492" s="307">
        <f t="shared" ca="1" si="212"/>
        <v>-2.9251531718646433</v>
      </c>
      <c r="F492" s="304">
        <f t="shared" ca="1" si="213"/>
        <v>2.9768858360968866</v>
      </c>
      <c r="G492" s="306">
        <f t="shared" ca="1" si="214"/>
        <v>8.7348426107066164</v>
      </c>
      <c r="H492" s="307">
        <f t="shared" ca="1" si="215"/>
        <v>-109.81532957853535</v>
      </c>
      <c r="I492" s="304">
        <f t="shared" ca="1" si="216"/>
        <v>110.16217175544497</v>
      </c>
      <c r="J492" s="306">
        <f t="shared" ca="1" si="217"/>
        <v>612.14720953253095</v>
      </c>
      <c r="K492" s="307">
        <f t="shared" ca="1" si="218"/>
        <v>1248.0662833090857</v>
      </c>
      <c r="L492" s="304">
        <f t="shared" ca="1" si="203"/>
        <v>1390.1056268037403</v>
      </c>
      <c r="M492" s="306">
        <f t="shared" ca="1" si="219"/>
        <v>-1.4914222443958192</v>
      </c>
      <c r="N492" s="304">
        <f t="shared" ca="1" si="220"/>
        <v>-85.45220007580923</v>
      </c>
      <c r="P492" s="310">
        <f t="shared" ca="1" si="221"/>
        <v>23</v>
      </c>
      <c r="Q492" s="304">
        <f t="shared" ca="1" si="222"/>
        <v>0</v>
      </c>
      <c r="R492" s="306">
        <f t="shared" ca="1" si="223"/>
        <v>0</v>
      </c>
      <c r="S492" s="307">
        <f t="shared" ca="1" si="224"/>
        <v>2.0842999999999985</v>
      </c>
      <c r="T492" s="304">
        <f t="shared" ca="1" si="204"/>
        <v>20.446982999999985</v>
      </c>
      <c r="U492" s="311">
        <f t="shared" ca="1" si="205"/>
        <v>0</v>
      </c>
      <c r="V492" s="306">
        <f t="shared" ca="1" si="206"/>
        <v>1.0810922037169466</v>
      </c>
      <c r="W492" s="304">
        <f t="shared" ca="1" si="207"/>
        <v>14.487525873193027</v>
      </c>
      <c r="Y492" s="314" t="str">
        <f t="shared" ca="1" si="225"/>
        <v/>
      </c>
      <c r="Z492" s="315" t="str">
        <f t="shared" ca="1" si="226"/>
        <v/>
      </c>
      <c r="AA492" s="316" t="str">
        <f t="shared" ca="1" si="227"/>
        <v/>
      </c>
      <c r="AC492" s="310" t="e">
        <f t="shared" ca="1" si="228"/>
        <v>#N/A</v>
      </c>
      <c r="AD492" s="323" t="e">
        <f t="shared" ca="1" si="229"/>
        <v>#N/A</v>
      </c>
      <c r="AE492" s="324" t="e">
        <f t="shared" ca="1" si="208"/>
        <v>#N/A</v>
      </c>
      <c r="AG492" s="306">
        <f t="shared" ca="1" si="230"/>
        <v>2.8715717299604515</v>
      </c>
      <c r="AH492" s="304">
        <f t="shared" ca="1" si="231"/>
        <v>-6.9069851635261221</v>
      </c>
    </row>
    <row r="493" spans="1:34" x14ac:dyDescent="0.25">
      <c r="A493" s="347">
        <f t="shared" ca="1" si="209"/>
        <v>0.1</v>
      </c>
      <c r="B493" s="304">
        <f t="shared" ca="1" si="210"/>
        <v>36.600000000000222</v>
      </c>
      <c r="D493" s="306">
        <f t="shared" ca="1" si="211"/>
        <v>-0.55113322218847083</v>
      </c>
      <c r="E493" s="307">
        <f t="shared" ca="1" si="212"/>
        <v>-2.8810970839792889</v>
      </c>
      <c r="F493" s="304">
        <f t="shared" ca="1" si="213"/>
        <v>2.9333373886946261</v>
      </c>
      <c r="G493" s="306">
        <f t="shared" ca="1" si="214"/>
        <v>8.6797292884877688</v>
      </c>
      <c r="H493" s="307">
        <f t="shared" ca="1" si="215"/>
        <v>-110.10343928693328</v>
      </c>
      <c r="I493" s="304">
        <f t="shared" ca="1" si="216"/>
        <v>110.44503177297219</v>
      </c>
      <c r="J493" s="306">
        <f t="shared" ca="1" si="217"/>
        <v>613.01793812749065</v>
      </c>
      <c r="K493" s="307">
        <f t="shared" ca="1" si="218"/>
        <v>1237.0703448658123</v>
      </c>
      <c r="L493" s="304">
        <f t="shared" ca="1" si="203"/>
        <v>1380.6281290095824</v>
      </c>
      <c r="M493" s="306">
        <f t="shared" ca="1" si="219"/>
        <v>-1.4921265245550523</v>
      </c>
      <c r="N493" s="304">
        <f t="shared" ca="1" si="220"/>
        <v>-85.492552356528094</v>
      </c>
      <c r="P493" s="310">
        <f t="shared" ca="1" si="221"/>
        <v>23</v>
      </c>
      <c r="Q493" s="304">
        <f t="shared" ca="1" si="222"/>
        <v>0</v>
      </c>
      <c r="R493" s="306">
        <f t="shared" ca="1" si="223"/>
        <v>0</v>
      </c>
      <c r="S493" s="307">
        <f t="shared" ca="1" si="224"/>
        <v>2.0842999999999985</v>
      </c>
      <c r="T493" s="304">
        <f t="shared" ca="1" si="204"/>
        <v>20.446982999999985</v>
      </c>
      <c r="U493" s="311">
        <f t="shared" ca="1" si="205"/>
        <v>0</v>
      </c>
      <c r="V493" s="306">
        <f t="shared" ca="1" si="206"/>
        <v>1.0822862313066661</v>
      </c>
      <c r="W493" s="304">
        <f t="shared" ca="1" si="207"/>
        <v>14.578102965716104</v>
      </c>
      <c r="Y493" s="314" t="str">
        <f t="shared" ca="1" si="225"/>
        <v/>
      </c>
      <c r="Z493" s="315" t="str">
        <f t="shared" ca="1" si="226"/>
        <v/>
      </c>
      <c r="AA493" s="316" t="str">
        <f t="shared" ca="1" si="227"/>
        <v/>
      </c>
      <c r="AC493" s="310" t="e">
        <f t="shared" ca="1" si="228"/>
        <v>#N/A</v>
      </c>
      <c r="AD493" s="323" t="e">
        <f t="shared" ca="1" si="229"/>
        <v>#N/A</v>
      </c>
      <c r="AE493" s="324" t="e">
        <f t="shared" ca="1" si="208"/>
        <v>#N/A</v>
      </c>
      <c r="AG493" s="306">
        <f t="shared" ca="1" si="230"/>
        <v>2.8283262657827448</v>
      </c>
      <c r="AH493" s="304">
        <f t="shared" ca="1" si="231"/>
        <v>-6.9507872538468733</v>
      </c>
    </row>
    <row r="494" spans="1:34" x14ac:dyDescent="0.25">
      <c r="A494" s="347">
        <f t="shared" ca="1" si="209"/>
        <v>0.1</v>
      </c>
      <c r="B494" s="304">
        <f t="shared" ca="1" si="210"/>
        <v>36.700000000000223</v>
      </c>
      <c r="D494" s="306">
        <f t="shared" ca="1" si="211"/>
        <v>-0.54966841279722989</v>
      </c>
      <c r="E494" s="307">
        <f t="shared" ca="1" si="212"/>
        <v>-2.8373882162851345</v>
      </c>
      <c r="F494" s="304">
        <f t="shared" ca="1" si="213"/>
        <v>2.8901396599370006</v>
      </c>
      <c r="G494" s="306">
        <f t="shared" ca="1" si="214"/>
        <v>8.6247624472080453</v>
      </c>
      <c r="H494" s="307">
        <f t="shared" ca="1" si="215"/>
        <v>-110.3871781085618</v>
      </c>
      <c r="I494" s="304">
        <f t="shared" ca="1" si="216"/>
        <v>110.72360009520155</v>
      </c>
      <c r="J494" s="306">
        <f t="shared" ca="1" si="217"/>
        <v>613.88316271427539</v>
      </c>
      <c r="K494" s="307">
        <f t="shared" ca="1" si="218"/>
        <v>1226.0458139960376</v>
      </c>
      <c r="L494" s="304">
        <f t="shared" ca="1" si="203"/>
        <v>1371.1458257535148</v>
      </c>
      <c r="M494" s="306">
        <f t="shared" ca="1" si="219"/>
        <v>-1.4928228124421863</v>
      </c>
      <c r="N494" s="304">
        <f t="shared" ca="1" si="220"/>
        <v>-85.532446713786953</v>
      </c>
      <c r="P494" s="310">
        <f t="shared" ca="1" si="221"/>
        <v>23</v>
      </c>
      <c r="Q494" s="304">
        <f t="shared" ca="1" si="222"/>
        <v>0</v>
      </c>
      <c r="R494" s="306">
        <f t="shared" ca="1" si="223"/>
        <v>0</v>
      </c>
      <c r="S494" s="307">
        <f t="shared" ca="1" si="224"/>
        <v>2.0842999999999985</v>
      </c>
      <c r="T494" s="304">
        <f t="shared" ca="1" si="204"/>
        <v>20.446982999999985</v>
      </c>
      <c r="U494" s="311">
        <f t="shared" ca="1" si="205"/>
        <v>0</v>
      </c>
      <c r="V494" s="306">
        <f t="shared" ca="1" si="206"/>
        <v>1.0834846056296723</v>
      </c>
      <c r="W494" s="304">
        <f t="shared" ca="1" si="207"/>
        <v>14.667957816780495</v>
      </c>
      <c r="Y494" s="314" t="str">
        <f t="shared" ca="1" si="225"/>
        <v/>
      </c>
      <c r="Z494" s="315" t="str">
        <f t="shared" ca="1" si="226"/>
        <v/>
      </c>
      <c r="AA494" s="316" t="str">
        <f t="shared" ca="1" si="227"/>
        <v/>
      </c>
      <c r="AC494" s="310" t="e">
        <f t="shared" ca="1" si="228"/>
        <v>#N/A</v>
      </c>
      <c r="AD494" s="323" t="e">
        <f t="shared" ca="1" si="229"/>
        <v>#N/A</v>
      </c>
      <c r="AE494" s="324" t="e">
        <f t="shared" ca="1" si="208"/>
        <v>#N/A</v>
      </c>
      <c r="AG494" s="306">
        <f t="shared" ca="1" si="230"/>
        <v>2.7854148189849237</v>
      </c>
      <c r="AH494" s="304">
        <f t="shared" ca="1" si="231"/>
        <v>-6.994244094283987</v>
      </c>
    </row>
    <row r="495" spans="1:34" x14ac:dyDescent="0.25">
      <c r="A495" s="347">
        <f t="shared" ca="1" si="209"/>
        <v>0.1</v>
      </c>
      <c r="B495" s="304">
        <f t="shared" ca="1" si="210"/>
        <v>36.800000000000225</v>
      </c>
      <c r="D495" s="306">
        <f t="shared" ca="1" si="211"/>
        <v>-0.54817139321433639</v>
      </c>
      <c r="E495" s="307">
        <f t="shared" ca="1" si="212"/>
        <v>-2.7940278399368879</v>
      </c>
      <c r="F495" s="304">
        <f t="shared" ca="1" si="213"/>
        <v>2.8472940569391385</v>
      </c>
      <c r="G495" s="306">
        <f t="shared" ca="1" si="214"/>
        <v>8.569945307886611</v>
      </c>
      <c r="H495" s="307">
        <f t="shared" ca="1" si="215"/>
        <v>-110.66658089255549</v>
      </c>
      <c r="I495" s="304">
        <f t="shared" ca="1" si="216"/>
        <v>110.99791029126943</v>
      </c>
      <c r="J495" s="306">
        <f t="shared" ca="1" si="217"/>
        <v>614.74289810203015</v>
      </c>
      <c r="K495" s="307">
        <f t="shared" ca="1" si="218"/>
        <v>1214.9931260459819</v>
      </c>
      <c r="L495" s="304">
        <f t="shared" ca="1" si="203"/>
        <v>1361.6596957778659</v>
      </c>
      <c r="M495" s="306">
        <f t="shared" ca="1" si="219"/>
        <v>-1.4935112446544174</v>
      </c>
      <c r="N495" s="304">
        <f t="shared" ca="1" si="220"/>
        <v>-85.571890974028648</v>
      </c>
      <c r="P495" s="310">
        <f t="shared" ca="1" si="221"/>
        <v>23</v>
      </c>
      <c r="Q495" s="304">
        <f t="shared" ca="1" si="222"/>
        <v>0</v>
      </c>
      <c r="R495" s="306">
        <f t="shared" ca="1" si="223"/>
        <v>0</v>
      </c>
      <c r="S495" s="307">
        <f t="shared" ca="1" si="224"/>
        <v>2.0842999999999985</v>
      </c>
      <c r="T495" s="304">
        <f t="shared" ca="1" si="204"/>
        <v>20.446982999999985</v>
      </c>
      <c r="U495" s="311">
        <f t="shared" ca="1" si="205"/>
        <v>0</v>
      </c>
      <c r="V495" s="306">
        <f t="shared" ca="1" si="206"/>
        <v>1.0846872909113474</v>
      </c>
      <c r="W495" s="304">
        <f t="shared" ca="1" si="207"/>
        <v>14.757088023303679</v>
      </c>
      <c r="Y495" s="314" t="str">
        <f t="shared" ca="1" si="225"/>
        <v/>
      </c>
      <c r="Z495" s="315" t="str">
        <f t="shared" ca="1" si="226"/>
        <v/>
      </c>
      <c r="AA495" s="316" t="str">
        <f t="shared" ca="1" si="227"/>
        <v/>
      </c>
      <c r="AC495" s="310" t="e">
        <f t="shared" ca="1" si="228"/>
        <v>#N/A</v>
      </c>
      <c r="AD495" s="323" t="e">
        <f t="shared" ca="1" si="229"/>
        <v>#N/A</v>
      </c>
      <c r="AE495" s="324" t="e">
        <f t="shared" ca="1" si="208"/>
        <v>#N/A</v>
      </c>
      <c r="AG495" s="306">
        <f t="shared" ca="1" si="230"/>
        <v>2.7428389295456643</v>
      </c>
      <c r="AH495" s="304">
        <f t="shared" ca="1" si="231"/>
        <v>-7.0373544196039468</v>
      </c>
    </row>
    <row r="496" spans="1:34" x14ac:dyDescent="0.25">
      <c r="A496" s="347">
        <f t="shared" ca="1" si="209"/>
        <v>0.1</v>
      </c>
      <c r="B496" s="304">
        <f t="shared" ca="1" si="210"/>
        <v>36.900000000000226</v>
      </c>
      <c r="D496" s="306">
        <f t="shared" ca="1" si="211"/>
        <v>-0.54664286888754887</v>
      </c>
      <c r="E496" s="307">
        <f t="shared" ca="1" si="212"/>
        <v>-2.7510171132117902</v>
      </c>
      <c r="F496" s="304">
        <f t="shared" ca="1" si="213"/>
        <v>2.804801879507667</v>
      </c>
      <c r="G496" s="306">
        <f t="shared" ca="1" si="214"/>
        <v>8.5152810209978558</v>
      </c>
      <c r="H496" s="307">
        <f t="shared" ca="1" si="215"/>
        <v>-110.94168260387667</v>
      </c>
      <c r="I496" s="304">
        <f t="shared" ca="1" si="216"/>
        <v>111.26799607185292</v>
      </c>
      <c r="J496" s="306">
        <f t="shared" ca="1" si="217"/>
        <v>615.59715941847435</v>
      </c>
      <c r="K496" s="307">
        <f t="shared" ca="1" si="218"/>
        <v>1203.9127128711602</v>
      </c>
      <c r="L496" s="304">
        <f t="shared" ca="1" si="203"/>
        <v>1352.1707299364571</v>
      </c>
      <c r="M496" s="306">
        <f t="shared" ca="1" si="219"/>
        <v>-1.4941919544843152</v>
      </c>
      <c r="N496" s="304">
        <f t="shared" ca="1" si="220"/>
        <v>-85.610892774354866</v>
      </c>
      <c r="P496" s="310">
        <f t="shared" ca="1" si="221"/>
        <v>23</v>
      </c>
      <c r="Q496" s="304">
        <f t="shared" ca="1" si="222"/>
        <v>0</v>
      </c>
      <c r="R496" s="306">
        <f t="shared" ca="1" si="223"/>
        <v>0</v>
      </c>
      <c r="S496" s="307">
        <f t="shared" ca="1" si="224"/>
        <v>2.0842999999999985</v>
      </c>
      <c r="T496" s="304">
        <f t="shared" ca="1" si="204"/>
        <v>20.446982999999985</v>
      </c>
      <c r="U496" s="311">
        <f t="shared" ca="1" si="205"/>
        <v>0</v>
      </c>
      <c r="V496" s="306">
        <f t="shared" ca="1" si="206"/>
        <v>1.0858942516187644</v>
      </c>
      <c r="W496" s="304">
        <f t="shared" ca="1" si="207"/>
        <v>14.845491411987206</v>
      </c>
      <c r="Y496" s="314" t="str">
        <f t="shared" ca="1" si="225"/>
        <v/>
      </c>
      <c r="Z496" s="315" t="str">
        <f t="shared" ca="1" si="226"/>
        <v/>
      </c>
      <c r="AA496" s="316" t="str">
        <f t="shared" ca="1" si="227"/>
        <v/>
      </c>
      <c r="AC496" s="310" t="e">
        <f t="shared" ca="1" si="228"/>
        <v>#N/A</v>
      </c>
      <c r="AD496" s="323" t="e">
        <f t="shared" ca="1" si="229"/>
        <v>#N/A</v>
      </c>
      <c r="AE496" s="324" t="e">
        <f t="shared" ca="1" si="208"/>
        <v>#N/A</v>
      </c>
      <c r="AG496" s="306">
        <f t="shared" ca="1" si="230"/>
        <v>2.7006000168844819</v>
      </c>
      <c r="AH496" s="304">
        <f t="shared" ca="1" si="231"/>
        <v>-7.0801170768621065</v>
      </c>
    </row>
    <row r="497" spans="1:34" x14ac:dyDescent="0.25">
      <c r="A497" s="347">
        <f t="shared" ca="1" si="209"/>
        <v>0.1</v>
      </c>
      <c r="B497" s="304">
        <f t="shared" ca="1" si="210"/>
        <v>37.000000000000227</v>
      </c>
      <c r="D497" s="306">
        <f t="shared" ca="1" si="211"/>
        <v>-0.54508354051340835</v>
      </c>
      <c r="E497" s="307">
        <f t="shared" ca="1" si="212"/>
        <v>-2.7083570835634712</v>
      </c>
      <c r="F497" s="304">
        <f t="shared" ca="1" si="213"/>
        <v>2.7626643223937042</v>
      </c>
      <c r="G497" s="306">
        <f t="shared" ca="1" si="214"/>
        <v>8.4607726669465144</v>
      </c>
      <c r="H497" s="307">
        <f t="shared" ca="1" si="215"/>
        <v>-111.21251831223302</v>
      </c>
      <c r="I497" s="304">
        <f t="shared" ca="1" si="216"/>
        <v>111.53389127736247</v>
      </c>
      <c r="J497" s="306">
        <f t="shared" ca="1" si="217"/>
        <v>616.44596210287159</v>
      </c>
      <c r="K497" s="307">
        <f t="shared" ca="1" si="218"/>
        <v>1192.8050028253547</v>
      </c>
      <c r="L497" s="304">
        <f t="shared" ca="1" si="203"/>
        <v>1342.6799316881627</v>
      </c>
      <c r="M497" s="306">
        <f t="shared" ca="1" si="219"/>
        <v>-1.4948650720194057</v>
      </c>
      <c r="N497" s="304">
        <f t="shared" ca="1" si="220"/>
        <v>-85.649459568231791</v>
      </c>
      <c r="P497" s="310">
        <f t="shared" ca="1" si="221"/>
        <v>23</v>
      </c>
      <c r="Q497" s="304">
        <f t="shared" ca="1" si="222"/>
        <v>0</v>
      </c>
      <c r="R497" s="306">
        <f t="shared" ca="1" si="223"/>
        <v>0</v>
      </c>
      <c r="S497" s="307">
        <f t="shared" ca="1" si="224"/>
        <v>2.0842999999999985</v>
      </c>
      <c r="T497" s="304">
        <f t="shared" ca="1" si="204"/>
        <v>20.446982999999985</v>
      </c>
      <c r="U497" s="311">
        <f t="shared" ca="1" si="205"/>
        <v>0</v>
      </c>
      <c r="V497" s="306">
        <f t="shared" ca="1" si="206"/>
        <v>1.0871054524621673</v>
      </c>
      <c r="W497" s="304">
        <f t="shared" ca="1" si="207"/>
        <v>14.93316603504775</v>
      </c>
      <c r="Y497" s="314" t="str">
        <f t="shared" ca="1" si="225"/>
        <v/>
      </c>
      <c r="Z497" s="315" t="str">
        <f t="shared" ca="1" si="226"/>
        <v/>
      </c>
      <c r="AA497" s="316" t="str">
        <f t="shared" ca="1" si="227"/>
        <v/>
      </c>
      <c r="AC497" s="310">
        <f t="shared" ca="1" si="228"/>
        <v>37.000000000000227</v>
      </c>
      <c r="AD497" s="323">
        <f t="shared" ca="1" si="229"/>
        <v>616.44596210287159</v>
      </c>
      <c r="AE497" s="324" t="e">
        <f t="shared" ca="1" si="208"/>
        <v>#N/A</v>
      </c>
      <c r="AG497" s="306">
        <f t="shared" ca="1" si="230"/>
        <v>2.6586993822035954</v>
      </c>
      <c r="AH497" s="304">
        <f t="shared" ca="1" si="231"/>
        <v>-7.1225310233590253</v>
      </c>
    </row>
    <row r="498" spans="1:34" x14ac:dyDescent="0.25">
      <c r="A498" s="347">
        <f t="shared" ca="1" si="209"/>
        <v>0.1</v>
      </c>
      <c r="B498" s="304">
        <f t="shared" ca="1" si="210"/>
        <v>37.100000000000229</v>
      </c>
      <c r="D498" s="306">
        <f t="shared" ca="1" si="211"/>
        <v>-0.54349410388003605</v>
      </c>
      <c r="E498" s="307">
        <f t="shared" ca="1" si="212"/>
        <v>-2.6660486896803617</v>
      </c>
      <c r="F498" s="304">
        <f t="shared" ca="1" si="213"/>
        <v>2.7208824775610463</v>
      </c>
      <c r="G498" s="306">
        <f t="shared" ca="1" si="214"/>
        <v>8.4064232565585115</v>
      </c>
      <c r="H498" s="307">
        <f t="shared" ca="1" si="215"/>
        <v>-111.47912318120105</v>
      </c>
      <c r="I498" s="304">
        <f t="shared" ca="1" si="216"/>
        <v>111.79562986636734</v>
      </c>
      <c r="J498" s="306">
        <f t="shared" ca="1" si="217"/>
        <v>617.28932189904685</v>
      </c>
      <c r="K498" s="307">
        <f t="shared" ca="1" si="218"/>
        <v>1181.670420750683</v>
      </c>
      <c r="L498" s="304">
        <f t="shared" ca="1" si="203"/>
        <v>1333.1883176084621</v>
      </c>
      <c r="M498" s="306">
        <f t="shared" ca="1" si="219"/>
        <v>-1.4955307242382154</v>
      </c>
      <c r="N498" s="304">
        <f t="shared" ca="1" si="220"/>
        <v>-85.687598630993108</v>
      </c>
      <c r="P498" s="310">
        <f t="shared" ca="1" si="221"/>
        <v>23</v>
      </c>
      <c r="Q498" s="304">
        <f t="shared" ca="1" si="222"/>
        <v>0</v>
      </c>
      <c r="R498" s="306">
        <f t="shared" ca="1" si="223"/>
        <v>0</v>
      </c>
      <c r="S498" s="307">
        <f t="shared" ca="1" si="224"/>
        <v>2.0842999999999985</v>
      </c>
      <c r="T498" s="304">
        <f t="shared" ca="1" si="204"/>
        <v>20.446982999999985</v>
      </c>
      <c r="U498" s="311">
        <f t="shared" ca="1" si="205"/>
        <v>0</v>
      </c>
      <c r="V498" s="306">
        <f t="shared" ca="1" si="206"/>
        <v>1.0883208583963713</v>
      </c>
      <c r="W498" s="304">
        <f t="shared" ca="1" si="207"/>
        <v>15.020110165941883</v>
      </c>
      <c r="Y498" s="314" t="str">
        <f t="shared" ca="1" si="225"/>
        <v/>
      </c>
      <c r="Z498" s="315" t="str">
        <f t="shared" ca="1" si="226"/>
        <v/>
      </c>
      <c r="AA498" s="316" t="str">
        <f t="shared" ca="1" si="227"/>
        <v/>
      </c>
      <c r="AC498" s="310" t="e">
        <f t="shared" ca="1" si="228"/>
        <v>#N/A</v>
      </c>
      <c r="AD498" s="323" t="e">
        <f t="shared" ca="1" si="229"/>
        <v>#N/A</v>
      </c>
      <c r="AE498" s="324" t="e">
        <f t="shared" ca="1" si="208"/>
        <v>#N/A</v>
      </c>
      <c r="AG498" s="306">
        <f t="shared" ca="1" si="230"/>
        <v>2.6171382108217784</v>
      </c>
      <c r="AH498" s="304">
        <f t="shared" ca="1" si="231"/>
        <v>-7.1645953245923142</v>
      </c>
    </row>
    <row r="499" spans="1:34" x14ac:dyDescent="0.25">
      <c r="A499" s="347">
        <f t="shared" ca="1" si="209"/>
        <v>0.1</v>
      </c>
      <c r="B499" s="304">
        <f t="shared" ca="1" si="210"/>
        <v>37.20000000000023</v>
      </c>
      <c r="D499" s="306">
        <f t="shared" ca="1" si="211"/>
        <v>-0.54187524971649492</v>
      </c>
      <c r="E499" s="307">
        <f t="shared" ca="1" si="212"/>
        <v>-2.6240927635471651</v>
      </c>
      <c r="F499" s="304">
        <f t="shared" ca="1" si="213"/>
        <v>2.6794573364686949</v>
      </c>
      <c r="G499" s="306">
        <f t="shared" ca="1" si="214"/>
        <v>8.3522357315868625</v>
      </c>
      <c r="H499" s="307">
        <f t="shared" ca="1" si="215"/>
        <v>-111.74153245755576</v>
      </c>
      <c r="I499" s="304">
        <f t="shared" ca="1" si="216"/>
        <v>112.05324590425298</v>
      </c>
      <c r="J499" s="306">
        <f t="shared" ca="1" si="217"/>
        <v>618.12725484845407</v>
      </c>
      <c r="K499" s="307">
        <f t="shared" ca="1" si="218"/>
        <v>1170.5093879687452</v>
      </c>
      <c r="L499" s="304">
        <f t="shared" ca="1" si="203"/>
        <v>1323.6969179194502</v>
      </c>
      <c r="M499" s="306">
        <f t="shared" ca="1" si="219"/>
        <v>-1.496189035102921</v>
      </c>
      <c r="N499" s="304">
        <f t="shared" ca="1" si="220"/>
        <v>-85.725317065148346</v>
      </c>
      <c r="P499" s="310">
        <f t="shared" ca="1" si="221"/>
        <v>23</v>
      </c>
      <c r="Q499" s="304">
        <f t="shared" ca="1" si="222"/>
        <v>0</v>
      </c>
      <c r="R499" s="306">
        <f t="shared" ca="1" si="223"/>
        <v>0</v>
      </c>
      <c r="S499" s="307">
        <f t="shared" ca="1" si="224"/>
        <v>2.0842999999999985</v>
      </c>
      <c r="T499" s="304">
        <f t="shared" ca="1" si="204"/>
        <v>20.446982999999985</v>
      </c>
      <c r="U499" s="311">
        <f t="shared" ca="1" si="205"/>
        <v>0</v>
      </c>
      <c r="V499" s="306">
        <f t="shared" ca="1" si="206"/>
        <v>1.0895404346220798</v>
      </c>
      <c r="W499" s="304">
        <f t="shared" ca="1" si="207"/>
        <v>15.106322295087637</v>
      </c>
      <c r="Y499" s="314" t="str">
        <f t="shared" ca="1" si="225"/>
        <v/>
      </c>
      <c r="Z499" s="315" t="str">
        <f t="shared" ca="1" si="226"/>
        <v/>
      </c>
      <c r="AA499" s="316" t="str">
        <f t="shared" ca="1" si="227"/>
        <v/>
      </c>
      <c r="AC499" s="310" t="e">
        <f t="shared" ca="1" si="228"/>
        <v>#N/A</v>
      </c>
      <c r="AD499" s="323" t="e">
        <f t="shared" ca="1" si="229"/>
        <v>#N/A</v>
      </c>
      <c r="AE499" s="324" t="e">
        <f t="shared" ca="1" si="208"/>
        <v>#N/A</v>
      </c>
      <c r="AG499" s="306">
        <f t="shared" ca="1" si="230"/>
        <v>2.5759175744993703</v>
      </c>
      <c r="AH499" s="304">
        <f t="shared" ca="1" si="231"/>
        <v>-7.2063091522054856</v>
      </c>
    </row>
    <row r="500" spans="1:34" x14ac:dyDescent="0.25">
      <c r="A500" s="347">
        <f t="shared" ca="1" si="209"/>
        <v>0.1</v>
      </c>
      <c r="B500" s="304">
        <f t="shared" ca="1" si="210"/>
        <v>37.300000000000232</v>
      </c>
      <c r="D500" s="306">
        <f t="shared" ca="1" si="211"/>
        <v>-0.54022766354861862</v>
      </c>
      <c r="E500" s="307">
        <f t="shared" ca="1" si="212"/>
        <v>-2.5824900325079234</v>
      </c>
      <c r="F500" s="304">
        <f t="shared" ca="1" si="213"/>
        <v>2.6383897923669228</v>
      </c>
      <c r="G500" s="306">
        <f t="shared" ca="1" si="214"/>
        <v>8.2982129652320005</v>
      </c>
      <c r="H500" s="307">
        <f t="shared" ca="1" si="215"/>
        <v>-111.99978146080656</v>
      </c>
      <c r="I500" s="304">
        <f t="shared" ca="1" si="216"/>
        <v>112.30677355210938</v>
      </c>
      <c r="J500" s="306">
        <f t="shared" ca="1" si="217"/>
        <v>618.95977728329501</v>
      </c>
      <c r="K500" s="307">
        <f t="shared" ca="1" si="218"/>
        <v>1159.322322272827</v>
      </c>
      <c r="L500" s="304">
        <f t="shared" ca="1" si="203"/>
        <v>1314.206777038776</v>
      </c>
      <c r="M500" s="306">
        <f t="shared" ca="1" si="219"/>
        <v>-1.4968401256487422</v>
      </c>
      <c r="N500" s="304">
        <f t="shared" ca="1" si="220"/>
        <v>-85.762621805504779</v>
      </c>
      <c r="P500" s="310">
        <f t="shared" ca="1" si="221"/>
        <v>23</v>
      </c>
      <c r="Q500" s="304">
        <f t="shared" ca="1" si="222"/>
        <v>0</v>
      </c>
      <c r="R500" s="306">
        <f t="shared" ca="1" si="223"/>
        <v>0</v>
      </c>
      <c r="S500" s="307">
        <f t="shared" ca="1" si="224"/>
        <v>2.0842999999999985</v>
      </c>
      <c r="T500" s="304">
        <f t="shared" ca="1" si="204"/>
        <v>20.446982999999985</v>
      </c>
      <c r="U500" s="311">
        <f t="shared" ca="1" si="205"/>
        <v>0</v>
      </c>
      <c r="V500" s="306">
        <f t="shared" ca="1" si="206"/>
        <v>1.0907641465871234</v>
      </c>
      <c r="W500" s="304">
        <f t="shared" ca="1" si="207"/>
        <v>15.191801125585677</v>
      </c>
      <c r="Y500" s="314" t="str">
        <f t="shared" ca="1" si="225"/>
        <v/>
      </c>
      <c r="Z500" s="315" t="str">
        <f t="shared" ca="1" si="226"/>
        <v/>
      </c>
      <c r="AA500" s="316" t="str">
        <f t="shared" ca="1" si="227"/>
        <v/>
      </c>
      <c r="AC500" s="310" t="e">
        <f t="shared" ca="1" si="228"/>
        <v>#N/A</v>
      </c>
      <c r="AD500" s="323" t="e">
        <f t="shared" ca="1" si="229"/>
        <v>#N/A</v>
      </c>
      <c r="AE500" s="324" t="e">
        <f t="shared" ca="1" si="208"/>
        <v>#N/A</v>
      </c>
      <c r="AG500" s="306">
        <f t="shared" ca="1" si="230"/>
        <v>2.5350384337535239</v>
      </c>
      <c r="AH500" s="304">
        <f t="shared" ca="1" si="231"/>
        <v>-7.247671781935253</v>
      </c>
    </row>
    <row r="501" spans="1:34" x14ac:dyDescent="0.25">
      <c r="A501" s="347">
        <f t="shared" ca="1" si="209"/>
        <v>0.1</v>
      </c>
      <c r="B501" s="304">
        <f t="shared" ca="1" si="210"/>
        <v>37.400000000000233</v>
      </c>
      <c r="D501" s="306">
        <f t="shared" ca="1" si="211"/>
        <v>-0.53855202556121129</v>
      </c>
      <c r="E501" s="307">
        <f t="shared" ca="1" si="212"/>
        <v>-2.5412411213293105</v>
      </c>
      <c r="F501" s="304">
        <f t="shared" ca="1" si="213"/>
        <v>2.5976806426062335</v>
      </c>
      <c r="G501" s="306">
        <f t="shared" ca="1" si="214"/>
        <v>8.2443577626758788</v>
      </c>
      <c r="H501" s="307">
        <f t="shared" ca="1" si="215"/>
        <v>-112.25390557293949</v>
      </c>
      <c r="I501" s="304">
        <f t="shared" ca="1" si="216"/>
        <v>112.55624705584941</v>
      </c>
      <c r="J501" s="306">
        <f t="shared" ca="1" si="217"/>
        <v>619.78690581969045</v>
      </c>
      <c r="K501" s="307">
        <f t="shared" ca="1" si="218"/>
        <v>1148.1096379211397</v>
      </c>
      <c r="L501" s="304">
        <f t="shared" ca="1" si="203"/>
        <v>1304.7189541479636</v>
      </c>
      <c r="M501" s="306">
        <f t="shared" ca="1" si="219"/>
        <v>-1.4974841140702124</v>
      </c>
      <c r="N501" s="304">
        <f t="shared" ca="1" si="220"/>
        <v>-85.799519624110303</v>
      </c>
      <c r="P501" s="310">
        <f t="shared" ca="1" si="221"/>
        <v>23</v>
      </c>
      <c r="Q501" s="304">
        <f t="shared" ca="1" si="222"/>
        <v>0</v>
      </c>
      <c r="R501" s="306">
        <f t="shared" ca="1" si="223"/>
        <v>0</v>
      </c>
      <c r="S501" s="307">
        <f t="shared" ca="1" si="224"/>
        <v>2.0842999999999985</v>
      </c>
      <c r="T501" s="304">
        <f t="shared" ca="1" si="204"/>
        <v>20.446982999999985</v>
      </c>
      <c r="U501" s="311">
        <f t="shared" ca="1" si="205"/>
        <v>0</v>
      </c>
      <c r="V501" s="306">
        <f t="shared" ca="1" si="206"/>
        <v>1.0919919599876209</v>
      </c>
      <c r="W501" s="304">
        <f t="shared" ca="1" si="207"/>
        <v>15.276545568943048</v>
      </c>
      <c r="Y501" s="314" t="str">
        <f t="shared" ca="1" si="225"/>
        <v/>
      </c>
      <c r="Z501" s="315" t="str">
        <f t="shared" ca="1" si="226"/>
        <v/>
      </c>
      <c r="AA501" s="316" t="str">
        <f t="shared" ca="1" si="227"/>
        <v/>
      </c>
      <c r="AC501" s="310" t="e">
        <f t="shared" ca="1" si="228"/>
        <v>#N/A</v>
      </c>
      <c r="AD501" s="323" t="e">
        <f t="shared" ca="1" si="229"/>
        <v>#N/A</v>
      </c>
      <c r="AE501" s="324" t="e">
        <f t="shared" ca="1" si="208"/>
        <v>#N/A</v>
      </c>
      <c r="AG501" s="306">
        <f t="shared" ca="1" si="230"/>
        <v>2.4945016401628415</v>
      </c>
      <c r="AH501" s="304">
        <f t="shared" ca="1" si="231"/>
        <v>-7.2886825915586471</v>
      </c>
    </row>
    <row r="502" spans="1:34" x14ac:dyDescent="0.25">
      <c r="A502" s="347">
        <f t="shared" ca="1" si="209"/>
        <v>0.1</v>
      </c>
      <c r="B502" s="304">
        <f t="shared" ca="1" si="210"/>
        <v>37.500000000000234</v>
      </c>
      <c r="D502" s="306">
        <f t="shared" ca="1" si="211"/>
        <v>-0.53684901046651923</v>
      </c>
      <c r="E502" s="307">
        <f t="shared" ca="1" si="212"/>
        <v>-2.5003465542627135</v>
      </c>
      <c r="F502" s="304">
        <f t="shared" ca="1" si="213"/>
        <v>2.55733059095853</v>
      </c>
      <c r="G502" s="306">
        <f t="shared" ca="1" si="214"/>
        <v>8.1906728616292277</v>
      </c>
      <c r="H502" s="307">
        <f t="shared" ca="1" si="215"/>
        <v>-112.50394022836576</v>
      </c>
      <c r="I502" s="304">
        <f t="shared" ca="1" si="216"/>
        <v>112.80170073555597</v>
      </c>
      <c r="J502" s="306">
        <f t="shared" ca="1" si="217"/>
        <v>620.60865735090567</v>
      </c>
      <c r="K502" s="307">
        <f t="shared" ca="1" si="218"/>
        <v>1136.8717456310744</v>
      </c>
      <c r="L502" s="304">
        <f t="shared" ca="1" si="203"/>
        <v>1295.2345237805932</v>
      </c>
      <c r="M502" s="306">
        <f t="shared" ca="1" si="219"/>
        <v>-1.4981211158044487</v>
      </c>
      <c r="N502" s="304">
        <f t="shared" ca="1" si="220"/>
        <v>-85.836017135024562</v>
      </c>
      <c r="P502" s="310">
        <f t="shared" ca="1" si="221"/>
        <v>23</v>
      </c>
      <c r="Q502" s="304">
        <f t="shared" ca="1" si="222"/>
        <v>0</v>
      </c>
      <c r="R502" s="306">
        <f t="shared" ca="1" si="223"/>
        <v>0</v>
      </c>
      <c r="S502" s="307">
        <f t="shared" ca="1" si="224"/>
        <v>2.0842999999999985</v>
      </c>
      <c r="T502" s="304">
        <f t="shared" ca="1" si="204"/>
        <v>20.446982999999985</v>
      </c>
      <c r="U502" s="311">
        <f t="shared" ca="1" si="205"/>
        <v>0</v>
      </c>
      <c r="V502" s="306">
        <f t="shared" ca="1" si="206"/>
        <v>1.0932238407690651</v>
      </c>
      <c r="W502" s="304">
        <f t="shared" ca="1" si="207"/>
        <v>15.360554740802069</v>
      </c>
      <c r="Y502" s="314" t="str">
        <f t="shared" ca="1" si="225"/>
        <v/>
      </c>
      <c r="Z502" s="315" t="str">
        <f t="shared" ca="1" si="226"/>
        <v/>
      </c>
      <c r="AA502" s="316" t="str">
        <f t="shared" ca="1" si="227"/>
        <v/>
      </c>
      <c r="AC502" s="310" t="e">
        <f t="shared" ca="1" si="228"/>
        <v>#N/A</v>
      </c>
      <c r="AD502" s="323" t="e">
        <f t="shared" ca="1" si="229"/>
        <v>#N/A</v>
      </c>
      <c r="AE502" s="324" t="e">
        <f t="shared" ca="1" si="208"/>
        <v>#N/A</v>
      </c>
      <c r="AG502" s="306">
        <f t="shared" ca="1" si="230"/>
        <v>2.4543079386605262</v>
      </c>
      <c r="AH502" s="304">
        <f t="shared" ca="1" si="231"/>
        <v>-7.3293410588413659</v>
      </c>
    </row>
    <row r="503" spans="1:34" x14ac:dyDescent="0.25">
      <c r="A503" s="347">
        <f t="shared" ca="1" si="209"/>
        <v>0.1</v>
      </c>
      <c r="B503" s="304">
        <f t="shared" ca="1" si="210"/>
        <v>37.600000000000236</v>
      </c>
      <c r="D503" s="306">
        <f t="shared" ca="1" si="211"/>
        <v>-0.53511928737888592</v>
      </c>
      <c r="E503" s="307">
        <f t="shared" ca="1" si="212"/>
        <v>-2.4598067571038742</v>
      </c>
      <c r="F503" s="304">
        <f t="shared" ca="1" si="213"/>
        <v>2.5173402499500868</v>
      </c>
      <c r="G503" s="306">
        <f t="shared" ca="1" si="214"/>
        <v>8.137160932891339</v>
      </c>
      <c r="H503" s="307">
        <f t="shared" ca="1" si="215"/>
        <v>-112.74992090407615</v>
      </c>
      <c r="I503" s="304">
        <f t="shared" ca="1" si="216"/>
        <v>113.0431689750566</v>
      </c>
      <c r="J503" s="306">
        <f t="shared" ca="1" si="217"/>
        <v>621.42504904063173</v>
      </c>
      <c r="K503" s="307">
        <f t="shared" ca="1" si="218"/>
        <v>1125.6090525744523</v>
      </c>
      <c r="L503" s="304">
        <f t="shared" ca="1" si="203"/>
        <v>1285.7545764307852</v>
      </c>
      <c r="M503" s="306">
        <f t="shared" ca="1" si="219"/>
        <v>-1.4987512436115478</v>
      </c>
      <c r="N503" s="304">
        <f t="shared" ca="1" si="220"/>
        <v>-85.872120798925167</v>
      </c>
      <c r="P503" s="310">
        <f t="shared" ca="1" si="221"/>
        <v>23</v>
      </c>
      <c r="Q503" s="304">
        <f t="shared" ca="1" si="222"/>
        <v>0</v>
      </c>
      <c r="R503" s="306">
        <f t="shared" ca="1" si="223"/>
        <v>0</v>
      </c>
      <c r="S503" s="307">
        <f t="shared" ca="1" si="224"/>
        <v>2.0842999999999985</v>
      </c>
      <c r="T503" s="304">
        <f t="shared" ca="1" si="204"/>
        <v>20.446982999999985</v>
      </c>
      <c r="U503" s="311">
        <f t="shared" ca="1" si="205"/>
        <v>0</v>
      </c>
      <c r="V503" s="306">
        <f t="shared" ca="1" si="206"/>
        <v>1.0944597551273281</v>
      </c>
      <c r="W503" s="304">
        <f t="shared" ca="1" si="207"/>
        <v>15.443827956677055</v>
      </c>
      <c r="Y503" s="314" t="str">
        <f t="shared" ca="1" si="225"/>
        <v/>
      </c>
      <c r="Z503" s="315" t="str">
        <f t="shared" ca="1" si="226"/>
        <v/>
      </c>
      <c r="AA503" s="316" t="str">
        <f t="shared" ca="1" si="227"/>
        <v/>
      </c>
      <c r="AC503" s="310" t="e">
        <f t="shared" ca="1" si="228"/>
        <v>#N/A</v>
      </c>
      <c r="AD503" s="323" t="e">
        <f t="shared" ca="1" si="229"/>
        <v>#N/A</v>
      </c>
      <c r="AE503" s="324" t="e">
        <f t="shared" ca="1" si="208"/>
        <v>#N/A</v>
      </c>
      <c r="AG503" s="306">
        <f t="shared" ca="1" si="230"/>
        <v>2.4144579698152331</v>
      </c>
      <c r="AH503" s="304">
        <f t="shared" ca="1" si="231"/>
        <v>-7.3696467594885959</v>
      </c>
    </row>
    <row r="504" spans="1:34" x14ac:dyDescent="0.25">
      <c r="A504" s="347">
        <f t="shared" ca="1" si="209"/>
        <v>0.1</v>
      </c>
      <c r="B504" s="304">
        <f t="shared" ca="1" si="210"/>
        <v>37.700000000000237</v>
      </c>
      <c r="D504" s="306">
        <f t="shared" ca="1" si="211"/>
        <v>-0.53336351969546048</v>
      </c>
      <c r="E504" s="307">
        <f t="shared" ca="1" si="212"/>
        <v>-2.4196220592487796</v>
      </c>
      <c r="F504" s="304">
        <f t="shared" ca="1" si="213"/>
        <v>2.4777101432058664</v>
      </c>
      <c r="G504" s="306">
        <f t="shared" ca="1" si="214"/>
        <v>8.0838245809217923</v>
      </c>
      <c r="H504" s="307">
        <f t="shared" ca="1" si="215"/>
        <v>-112.99188311000103</v>
      </c>
      <c r="I504" s="304">
        <f t="shared" ca="1" si="216"/>
        <v>113.28068621172477</v>
      </c>
      <c r="J504" s="306">
        <f t="shared" ca="1" si="217"/>
        <v>622.23609831632234</v>
      </c>
      <c r="K504" s="307">
        <f t="shared" ca="1" si="218"/>
        <v>1114.3219623737484</v>
      </c>
      <c r="L504" s="304">
        <f t="shared" ca="1" si="203"/>
        <v>1276.2802191824496</v>
      </c>
      <c r="M504" s="306">
        <f t="shared" ca="1" si="219"/>
        <v>-1.4993746076522159</v>
      </c>
      <c r="N504" s="304">
        <f t="shared" ca="1" si="220"/>
        <v>-85.907836927555678</v>
      </c>
      <c r="P504" s="310">
        <f t="shared" ca="1" si="221"/>
        <v>23</v>
      </c>
      <c r="Q504" s="304">
        <f t="shared" ca="1" si="222"/>
        <v>0</v>
      </c>
      <c r="R504" s="306">
        <f t="shared" ca="1" si="223"/>
        <v>0</v>
      </c>
      <c r="S504" s="307">
        <f t="shared" ca="1" si="224"/>
        <v>2.0842999999999985</v>
      </c>
      <c r="T504" s="304">
        <f t="shared" ca="1" si="204"/>
        <v>20.446982999999985</v>
      </c>
      <c r="U504" s="311">
        <f t="shared" ca="1" si="205"/>
        <v>0</v>
      </c>
      <c r="V504" s="306">
        <f t="shared" ca="1" si="206"/>
        <v>1.0956996695095977</v>
      </c>
      <c r="W504" s="304">
        <f t="shared" ca="1" si="207"/>
        <v>15.526364727701502</v>
      </c>
      <c r="Y504" s="314" t="str">
        <f t="shared" ca="1" si="225"/>
        <v/>
      </c>
      <c r="Z504" s="315" t="str">
        <f t="shared" ca="1" si="226"/>
        <v/>
      </c>
      <c r="AA504" s="316" t="str">
        <f t="shared" ca="1" si="227"/>
        <v/>
      </c>
      <c r="AC504" s="310" t="e">
        <f t="shared" ca="1" si="228"/>
        <v>#N/A</v>
      </c>
      <c r="AD504" s="323" t="e">
        <f t="shared" ca="1" si="229"/>
        <v>#N/A</v>
      </c>
      <c r="AE504" s="324" t="e">
        <f t="shared" ca="1" si="208"/>
        <v>#N/A</v>
      </c>
      <c r="AG504" s="306">
        <f t="shared" ca="1" si="230"/>
        <v>2.3749522720988283</v>
      </c>
      <c r="AH504" s="304">
        <f t="shared" ca="1" si="231"/>
        <v>-7.4095993650995853</v>
      </c>
    </row>
    <row r="505" spans="1:34" x14ac:dyDescent="0.25">
      <c r="A505" s="347">
        <f t="shared" ca="1" si="209"/>
        <v>0.1</v>
      </c>
      <c r="B505" s="304">
        <f t="shared" ca="1" si="210"/>
        <v>37.800000000000239</v>
      </c>
      <c r="D505" s="306">
        <f t="shared" ca="1" si="211"/>
        <v>-0.53158236498289313</v>
      </c>
      <c r="E505" s="307">
        <f t="shared" ca="1" si="212"/>
        <v>-2.379792695744543</v>
      </c>
      <c r="F505" s="304">
        <f t="shared" ca="1" si="213"/>
        <v>2.438440707804864</v>
      </c>
      <c r="G505" s="306">
        <f t="shared" ca="1" si="214"/>
        <v>8.0306663444235031</v>
      </c>
      <c r="H505" s="307">
        <f t="shared" ca="1" si="215"/>
        <v>-113.22986237957548</v>
      </c>
      <c r="I505" s="304">
        <f t="shared" ca="1" si="216"/>
        <v>113.51428692650569</v>
      </c>
      <c r="J505" s="306">
        <f t="shared" ca="1" si="217"/>
        <v>623.04182286258958</v>
      </c>
      <c r="K505" s="307">
        <f t="shared" ca="1" si="218"/>
        <v>1103.0108750992697</v>
      </c>
      <c r="L505" s="304">
        <f t="shared" ca="1" si="203"/>
        <v>1266.8125763597372</v>
      </c>
      <c r="M505" s="306">
        <f t="shared" ca="1" si="219"/>
        <v>-1.4999913155627473</v>
      </c>
      <c r="N505" s="304">
        <f t="shared" ca="1" si="220"/>
        <v>-85.943171688021465</v>
      </c>
      <c r="P505" s="310">
        <f t="shared" ca="1" si="221"/>
        <v>23</v>
      </c>
      <c r="Q505" s="304">
        <f t="shared" ca="1" si="222"/>
        <v>0</v>
      </c>
      <c r="R505" s="306">
        <f t="shared" ca="1" si="223"/>
        <v>0</v>
      </c>
      <c r="S505" s="307">
        <f t="shared" ca="1" si="224"/>
        <v>2.0842999999999985</v>
      </c>
      <c r="T505" s="304">
        <f t="shared" ca="1" si="204"/>
        <v>20.446982999999985</v>
      </c>
      <c r="U505" s="311">
        <f t="shared" ca="1" si="205"/>
        <v>0</v>
      </c>
      <c r="V505" s="306">
        <f t="shared" ca="1" si="206"/>
        <v>1.0969435506152392</v>
      </c>
      <c r="W505" s="304">
        <f t="shared" ca="1" si="207"/>
        <v>15.608164756388055</v>
      </c>
      <c r="Y505" s="314" t="str">
        <f t="shared" ca="1" si="225"/>
        <v/>
      </c>
      <c r="Z505" s="315" t="str">
        <f t="shared" ca="1" si="226"/>
        <v/>
      </c>
      <c r="AA505" s="316" t="str">
        <f t="shared" ca="1" si="227"/>
        <v/>
      </c>
      <c r="AC505" s="310" t="e">
        <f t="shared" ca="1" si="228"/>
        <v>#N/A</v>
      </c>
      <c r="AD505" s="323" t="e">
        <f t="shared" ca="1" si="229"/>
        <v>#N/A</v>
      </c>
      <c r="AE505" s="324" t="e">
        <f t="shared" ca="1" si="208"/>
        <v>#N/A</v>
      </c>
      <c r="AG505" s="306">
        <f t="shared" ca="1" si="230"/>
        <v>2.3357912841402051</v>
      </c>
      <c r="AH505" s="304">
        <f t="shared" ca="1" si="231"/>
        <v>-7.4491986411272428</v>
      </c>
    </row>
    <row r="506" spans="1:34" x14ac:dyDescent="0.25">
      <c r="A506" s="347">
        <f t="shared" ca="1" si="209"/>
        <v>0.1</v>
      </c>
      <c r="B506" s="304">
        <f t="shared" ca="1" si="210"/>
        <v>37.90000000000024</v>
      </c>
      <c r="D506" s="306">
        <f t="shared" ca="1" si="211"/>
        <v>-0.52977647486988466</v>
      </c>
      <c r="E506" s="307">
        <f t="shared" ca="1" si="212"/>
        <v>-2.3403188093341383</v>
      </c>
      <c r="F506" s="304">
        <f t="shared" ca="1" si="213"/>
        <v>2.3995322966463108</v>
      </c>
      <c r="G506" s="306">
        <f t="shared" ca="1" si="214"/>
        <v>7.9776886969365144</v>
      </c>
      <c r="H506" s="307">
        <f t="shared" ca="1" si="215"/>
        <v>-113.46389426050889</v>
      </c>
      <c r="I506" s="304">
        <f t="shared" ca="1" si="216"/>
        <v>113.74400563416593</v>
      </c>
      <c r="J506" s="306">
        <f t="shared" ca="1" si="217"/>
        <v>623.84224061465761</v>
      </c>
      <c r="K506" s="307">
        <f t="shared" ca="1" si="218"/>
        <v>1091.6761872672655</v>
      </c>
      <c r="L506" s="304">
        <f t="shared" ca="1" si="203"/>
        <v>1257.3527901991192</v>
      </c>
      <c r="M506" s="306">
        <f t="shared" ca="1" si="219"/>
        <v>-1.5006014725274541</v>
      </c>
      <c r="N506" s="304">
        <f t="shared" ca="1" si="220"/>
        <v>-85.978131106939671</v>
      </c>
      <c r="P506" s="310">
        <f t="shared" ca="1" si="221"/>
        <v>23</v>
      </c>
      <c r="Q506" s="304">
        <f t="shared" ca="1" si="222"/>
        <v>0</v>
      </c>
      <c r="R506" s="306">
        <f t="shared" ca="1" si="223"/>
        <v>0</v>
      </c>
      <c r="S506" s="307">
        <f t="shared" ca="1" si="224"/>
        <v>2.0842999999999985</v>
      </c>
      <c r="T506" s="304">
        <f t="shared" ca="1" si="204"/>
        <v>20.446982999999985</v>
      </c>
      <c r="U506" s="311">
        <f t="shared" ca="1" si="205"/>
        <v>0</v>
      </c>
      <c r="V506" s="306">
        <f t="shared" ca="1" si="206"/>
        <v>1.0981913653965814</v>
      </c>
      <c r="W506" s="304">
        <f t="shared" ca="1" si="207"/>
        <v>15.68922793240367</v>
      </c>
      <c r="Y506" s="314" t="str">
        <f t="shared" ca="1" si="225"/>
        <v/>
      </c>
      <c r="Z506" s="315" t="str">
        <f t="shared" ca="1" si="226"/>
        <v/>
      </c>
      <c r="AA506" s="316" t="str">
        <f t="shared" ca="1" si="227"/>
        <v/>
      </c>
      <c r="AC506" s="310" t="e">
        <f t="shared" ca="1" si="228"/>
        <v>#N/A</v>
      </c>
      <c r="AD506" s="323" t="e">
        <f t="shared" ca="1" si="229"/>
        <v>#N/A</v>
      </c>
      <c r="AE506" s="324" t="e">
        <f t="shared" ca="1" si="208"/>
        <v>#N/A</v>
      </c>
      <c r="AG506" s="306">
        <f t="shared" ca="1" si="230"/>
        <v>2.2969753469644409</v>
      </c>
      <c r="AH506" s="304">
        <f t="shared" ca="1" si="231"/>
        <v>-7.4884444448438643</v>
      </c>
    </row>
    <row r="507" spans="1:34" x14ac:dyDescent="0.25">
      <c r="A507" s="347">
        <f t="shared" ca="1" si="209"/>
        <v>0.1</v>
      </c>
      <c r="B507" s="304">
        <f t="shared" ca="1" si="210"/>
        <v>38.000000000000242</v>
      </c>
      <c r="D507" s="306">
        <f t="shared" ca="1" si="211"/>
        <v>-0.52794649494549395</v>
      </c>
      <c r="E507" s="307">
        <f t="shared" ca="1" si="212"/>
        <v>-2.301200452493851</v>
      </c>
      <c r="F507" s="304">
        <f t="shared" ca="1" si="213"/>
        <v>2.3609851808266686</v>
      </c>
      <c r="G507" s="306">
        <f t="shared" ca="1" si="214"/>
        <v>7.9248940474419651</v>
      </c>
      <c r="H507" s="307">
        <f t="shared" ca="1" si="215"/>
        <v>-113.69401430575827</v>
      </c>
      <c r="I507" s="304">
        <f t="shared" ca="1" si="216"/>
        <v>113.96987687376497</v>
      </c>
      <c r="J507" s="306">
        <f t="shared" ca="1" si="217"/>
        <v>624.63736975187658</v>
      </c>
      <c r="K507" s="307">
        <f t="shared" ca="1" si="218"/>
        <v>1080.3182918389521</v>
      </c>
      <c r="L507" s="304">
        <f t="shared" ca="1" si="203"/>
        <v>1247.902021543508</v>
      </c>
      <c r="M507" s="306">
        <f t="shared" ca="1" si="219"/>
        <v>-1.5012051813486464</v>
      </c>
      <c r="N507" s="304">
        <f t="shared" ca="1" si="220"/>
        <v>-86.012721074448805</v>
      </c>
      <c r="P507" s="310">
        <f t="shared" ca="1" si="221"/>
        <v>23</v>
      </c>
      <c r="Q507" s="304">
        <f t="shared" ca="1" si="222"/>
        <v>0</v>
      </c>
      <c r="R507" s="306">
        <f t="shared" ca="1" si="223"/>
        <v>0</v>
      </c>
      <c r="S507" s="307">
        <f t="shared" ca="1" si="224"/>
        <v>2.0842999999999985</v>
      </c>
      <c r="T507" s="304">
        <f t="shared" ca="1" si="204"/>
        <v>20.446982999999985</v>
      </c>
      <c r="U507" s="311">
        <f t="shared" ca="1" si="205"/>
        <v>0</v>
      </c>
      <c r="V507" s="306">
        <f t="shared" ca="1" si="206"/>
        <v>1.0994430810596394</v>
      </c>
      <c r="W507" s="304">
        <f t="shared" ca="1" si="207"/>
        <v>15.769554328362345</v>
      </c>
      <c r="Y507" s="314" t="str">
        <f t="shared" ca="1" si="225"/>
        <v/>
      </c>
      <c r="Z507" s="315" t="str">
        <f t="shared" ca="1" si="226"/>
        <v/>
      </c>
      <c r="AA507" s="316" t="str">
        <f t="shared" ca="1" si="227"/>
        <v/>
      </c>
      <c r="AC507" s="310">
        <f t="shared" ca="1" si="228"/>
        <v>38.000000000000242</v>
      </c>
      <c r="AD507" s="323">
        <f t="shared" ca="1" si="229"/>
        <v>624.63736975187658</v>
      </c>
      <c r="AE507" s="324" t="e">
        <f t="shared" ca="1" si="208"/>
        <v>#N/A</v>
      </c>
      <c r="AG507" s="306">
        <f t="shared" ca="1" si="230"/>
        <v>2.2585047062165318</v>
      </c>
      <c r="AH507" s="304">
        <f t="shared" ca="1" si="231"/>
        <v>-7.527336723314149</v>
      </c>
    </row>
    <row r="508" spans="1:34" x14ac:dyDescent="0.25">
      <c r="A508" s="347">
        <f t="shared" ca="1" si="209"/>
        <v>0.1</v>
      </c>
      <c r="B508" s="304">
        <f t="shared" ca="1" si="210"/>
        <v>38.100000000000243</v>
      </c>
      <c r="D508" s="306">
        <f t="shared" ca="1" si="211"/>
        <v>-0.52609306466310446</v>
      </c>
      <c r="E508" s="307">
        <f t="shared" ca="1" si="212"/>
        <v>-2.2624375894622579</v>
      </c>
      <c r="F508" s="304">
        <f t="shared" ca="1" si="213"/>
        <v>2.3227995520273397</v>
      </c>
      <c r="G508" s="306">
        <f t="shared" ca="1" si="214"/>
        <v>7.8722847409756547</v>
      </c>
      <c r="H508" s="307">
        <f t="shared" ca="1" si="215"/>
        <v>-113.9202580647045</v>
      </c>
      <c r="I508" s="304">
        <f t="shared" ca="1" si="216"/>
        <v>114.19193519934701</v>
      </c>
      <c r="J508" s="306">
        <f t="shared" ca="1" si="217"/>
        <v>625.4272286912975</v>
      </c>
      <c r="K508" s="307">
        <f t="shared" ca="1" si="218"/>
        <v>1068.937578220429</v>
      </c>
      <c r="L508" s="304">
        <f t="shared" ca="1" si="203"/>
        <v>1238.4614505588104</v>
      </c>
      <c r="M508" s="306">
        <f t="shared" ca="1" si="219"/>
        <v>-1.5018025425142605</v>
      </c>
      <c r="N508" s="304">
        <f t="shared" ca="1" si="220"/>
        <v>-86.046947348083506</v>
      </c>
      <c r="P508" s="310">
        <f t="shared" ca="1" si="221"/>
        <v>23</v>
      </c>
      <c r="Q508" s="304">
        <f t="shared" ca="1" si="222"/>
        <v>0</v>
      </c>
      <c r="R508" s="306">
        <f t="shared" ca="1" si="223"/>
        <v>0</v>
      </c>
      <c r="S508" s="307">
        <f t="shared" ca="1" si="224"/>
        <v>2.0842999999999985</v>
      </c>
      <c r="T508" s="304">
        <f t="shared" ca="1" si="204"/>
        <v>20.446982999999985</v>
      </c>
      <c r="U508" s="311">
        <f t="shared" ca="1" si="205"/>
        <v>0</v>
      </c>
      <c r="V508" s="306">
        <f t="shared" ca="1" si="206"/>
        <v>1.1006986650647597</v>
      </c>
      <c r="W508" s="304">
        <f t="shared" ca="1" si="207"/>
        <v>15.84914419563739</v>
      </c>
      <c r="Y508" s="314" t="str">
        <f t="shared" ca="1" si="225"/>
        <v/>
      </c>
      <c r="Z508" s="315" t="str">
        <f t="shared" ca="1" si="226"/>
        <v/>
      </c>
      <c r="AA508" s="316" t="str">
        <f t="shared" ca="1" si="227"/>
        <v/>
      </c>
      <c r="AC508" s="310" t="e">
        <f t="shared" ca="1" si="228"/>
        <v>#N/A</v>
      </c>
      <c r="AD508" s="323" t="e">
        <f t="shared" ca="1" si="229"/>
        <v>#N/A</v>
      </c>
      <c r="AE508" s="324" t="e">
        <f t="shared" ca="1" si="208"/>
        <v>#N/A</v>
      </c>
      <c r="AG508" s="306">
        <f t="shared" ca="1" si="230"/>
        <v>2.2203795143689389</v>
      </c>
      <c r="AH508" s="304">
        <f t="shared" ca="1" si="231"/>
        <v>-7.5658755113766523</v>
      </c>
    </row>
    <row r="509" spans="1:34" x14ac:dyDescent="0.25">
      <c r="A509" s="347">
        <f t="shared" ca="1" si="209"/>
        <v>0.1</v>
      </c>
      <c r="B509" s="304">
        <f t="shared" ca="1" si="210"/>
        <v>38.200000000000244</v>
      </c>
      <c r="D509" s="306">
        <f t="shared" ca="1" si="211"/>
        <v>-0.52421681724992697</v>
      </c>
      <c r="E509" s="307">
        <f t="shared" ca="1" si="212"/>
        <v>-2.2240300982598278</v>
      </c>
      <c r="F509" s="304">
        <f t="shared" ca="1" si="213"/>
        <v>2.2849755249133987</v>
      </c>
      <c r="G509" s="306">
        <f t="shared" ca="1" si="214"/>
        <v>7.8198630592506619</v>
      </c>
      <c r="H509" s="307">
        <f t="shared" ca="1" si="215"/>
        <v>-114.14266107453048</v>
      </c>
      <c r="I509" s="304">
        <f t="shared" ca="1" si="216"/>
        <v>114.41021517085163</v>
      </c>
      <c r="J509" s="306">
        <f t="shared" ca="1" si="217"/>
        <v>626.21183608130877</v>
      </c>
      <c r="K509" s="307">
        <f t="shared" ca="1" si="218"/>
        <v>1057.5344322634674</v>
      </c>
      <c r="L509" s="304">
        <f t="shared" ca="1" si="203"/>
        <v>1229.0322774732722</v>
      </c>
      <c r="M509" s="306">
        <f t="shared" ca="1" si="219"/>
        <v>-1.502393654263225</v>
      </c>
      <c r="N509" s="304">
        <f t="shared" ca="1" si="220"/>
        <v>-86.080815556519781</v>
      </c>
      <c r="P509" s="310">
        <f t="shared" ca="1" si="221"/>
        <v>23</v>
      </c>
      <c r="Q509" s="304">
        <f t="shared" ca="1" si="222"/>
        <v>0</v>
      </c>
      <c r="R509" s="306">
        <f t="shared" ca="1" si="223"/>
        <v>0</v>
      </c>
      <c r="S509" s="307">
        <f t="shared" ca="1" si="224"/>
        <v>2.0842999999999985</v>
      </c>
      <c r="T509" s="304">
        <f t="shared" ca="1" si="204"/>
        <v>20.446982999999985</v>
      </c>
      <c r="U509" s="311">
        <f t="shared" ca="1" si="205"/>
        <v>0</v>
      </c>
      <c r="V509" s="306">
        <f t="shared" ca="1" si="206"/>
        <v>1.1019580851272059</v>
      </c>
      <c r="W509" s="304">
        <f t="shared" ca="1" si="207"/>
        <v>15.927997960195604</v>
      </c>
      <c r="Y509" s="314" t="str">
        <f t="shared" ca="1" si="225"/>
        <v/>
      </c>
      <c r="Z509" s="315" t="str">
        <f t="shared" ca="1" si="226"/>
        <v/>
      </c>
      <c r="AA509" s="316" t="str">
        <f t="shared" ca="1" si="227"/>
        <v/>
      </c>
      <c r="AC509" s="310" t="e">
        <f t="shared" ca="1" si="228"/>
        <v>#N/A</v>
      </c>
      <c r="AD509" s="323" t="e">
        <f t="shared" ca="1" si="229"/>
        <v>#N/A</v>
      </c>
      <c r="AE509" s="324" t="e">
        <f t="shared" ca="1" si="208"/>
        <v>#N/A</v>
      </c>
      <c r="AG509" s="306">
        <f t="shared" ca="1" si="230"/>
        <v>2.1825998329123282</v>
      </c>
      <c r="AH509" s="304">
        <f t="shared" ca="1" si="231"/>
        <v>-7.6040609296346018</v>
      </c>
    </row>
    <row r="510" spans="1:34" x14ac:dyDescent="0.25">
      <c r="A510" s="347">
        <f t="shared" ca="1" si="209"/>
        <v>0.1</v>
      </c>
      <c r="B510" s="304">
        <f t="shared" ca="1" si="210"/>
        <v>38.300000000000246</v>
      </c>
      <c r="D510" s="306">
        <f t="shared" ca="1" si="211"/>
        <v>-0.52231837962194094</v>
      </c>
      <c r="E510" s="307">
        <f t="shared" ca="1" si="212"/>
        <v>-2.1859777726979654</v>
      </c>
      <c r="F510" s="304">
        <f t="shared" ca="1" si="213"/>
        <v>2.2475131395434484</v>
      </c>
      <c r="G510" s="306">
        <f t="shared" ca="1" si="214"/>
        <v>7.7676312212884682</v>
      </c>
      <c r="H510" s="307">
        <f t="shared" ca="1" si="215"/>
        <v>-114.36125885180027</v>
      </c>
      <c r="I510" s="304">
        <f t="shared" ca="1" si="216"/>
        <v>114.62475134524132</v>
      </c>
      <c r="J510" s="306">
        <f t="shared" ca="1" si="217"/>
        <v>626.99121079533575</v>
      </c>
      <c r="K510" s="307">
        <f t="shared" ca="1" si="218"/>
        <v>1046.1092362671509</v>
      </c>
      <c r="L510" s="304">
        <f t="shared" ca="1" si="203"/>
        <v>1219.6157233399556</v>
      </c>
      <c r="M510" s="306">
        <f t="shared" ca="1" si="219"/>
        <v>-1.5029786126486524</v>
      </c>
      <c r="N510" s="304">
        <f t="shared" ca="1" si="220"/>
        <v>-86.114331203195547</v>
      </c>
      <c r="P510" s="310">
        <f t="shared" ca="1" si="221"/>
        <v>23</v>
      </c>
      <c r="Q510" s="304">
        <f t="shared" ca="1" si="222"/>
        <v>0</v>
      </c>
      <c r="R510" s="306">
        <f t="shared" ca="1" si="223"/>
        <v>0</v>
      </c>
      <c r="S510" s="307">
        <f t="shared" ca="1" si="224"/>
        <v>2.0842999999999985</v>
      </c>
      <c r="T510" s="304">
        <f t="shared" ca="1" si="204"/>
        <v>20.446982999999985</v>
      </c>
      <c r="U510" s="311">
        <f t="shared" ca="1" si="205"/>
        <v>0</v>
      </c>
      <c r="V510" s="306">
        <f t="shared" ca="1" si="206"/>
        <v>1.1032213092176699</v>
      </c>
      <c r="W510" s="304">
        <f t="shared" ca="1" si="207"/>
        <v>16.006116218455094</v>
      </c>
      <c r="Y510" s="314" t="str">
        <f t="shared" ca="1" si="225"/>
        <v/>
      </c>
      <c r="Z510" s="315" t="str">
        <f t="shared" ca="1" si="226"/>
        <v/>
      </c>
      <c r="AA510" s="316" t="str">
        <f t="shared" ca="1" si="227"/>
        <v/>
      </c>
      <c r="AC510" s="310" t="e">
        <f t="shared" ca="1" si="228"/>
        <v>#N/A</v>
      </c>
      <c r="AD510" s="323" t="e">
        <f t="shared" ca="1" si="229"/>
        <v>#N/A</v>
      </c>
      <c r="AE510" s="324" t="e">
        <f t="shared" ca="1" si="208"/>
        <v>#N/A</v>
      </c>
      <c r="AG510" s="306">
        <f t="shared" ca="1" si="230"/>
        <v>2.1451656345287224</v>
      </c>
      <c r="AH510" s="304">
        <f t="shared" ca="1" si="231"/>
        <v>-7.6418931824572356</v>
      </c>
    </row>
    <row r="511" spans="1:34" x14ac:dyDescent="0.25">
      <c r="A511" s="347">
        <f t="shared" ca="1" si="209"/>
        <v>0.1</v>
      </c>
      <c r="B511" s="304">
        <f t="shared" ca="1" si="210"/>
        <v>38.400000000000247</v>
      </c>
      <c r="D511" s="306">
        <f t="shared" ca="1" si="211"/>
        <v>-0.52039837230416253</v>
      </c>
      <c r="E511" s="307">
        <f t="shared" ca="1" si="212"/>
        <v>-2.1482803243766808</v>
      </c>
      <c r="F511" s="304">
        <f t="shared" ca="1" si="213"/>
        <v>2.2104123637911544</v>
      </c>
      <c r="G511" s="306">
        <f t="shared" ca="1" si="214"/>
        <v>7.7155913840580519</v>
      </c>
      <c r="H511" s="307">
        <f t="shared" ca="1" si="215"/>
        <v>-114.57608688423794</v>
      </c>
      <c r="I511" s="304">
        <f t="shared" ca="1" si="216"/>
        <v>114.83557826784428</v>
      </c>
      <c r="J511" s="306">
        <f t="shared" ca="1" si="217"/>
        <v>627.76537192560306</v>
      </c>
      <c r="K511" s="307">
        <f t="shared" ca="1" si="218"/>
        <v>1034.6623689803489</v>
      </c>
      <c r="L511" s="304">
        <f t="shared" ca="1" si="203"/>
        <v>1210.2130308226392</v>
      </c>
      <c r="M511" s="306">
        <f t="shared" ca="1" si="219"/>
        <v>-1.5035575115989392</v>
      </c>
      <c r="N511" s="304">
        <f t="shared" ca="1" si="220"/>
        <v>-86.147499669811538</v>
      </c>
      <c r="P511" s="310">
        <f t="shared" ca="1" si="221"/>
        <v>23</v>
      </c>
      <c r="Q511" s="304">
        <f t="shared" ca="1" si="222"/>
        <v>0</v>
      </c>
      <c r="R511" s="306">
        <f t="shared" ca="1" si="223"/>
        <v>0</v>
      </c>
      <c r="S511" s="307">
        <f t="shared" ca="1" si="224"/>
        <v>2.0842999999999985</v>
      </c>
      <c r="T511" s="304">
        <f t="shared" ca="1" si="204"/>
        <v>20.446982999999985</v>
      </c>
      <c r="U511" s="311">
        <f t="shared" ca="1" si="205"/>
        <v>0</v>
      </c>
      <c r="V511" s="306">
        <f t="shared" ca="1" si="206"/>
        <v>1.1044883055627228</v>
      </c>
      <c r="W511" s="304">
        <f t="shared" ca="1" si="207"/>
        <v>16.083499733168924</v>
      </c>
      <c r="Y511" s="314" t="str">
        <f t="shared" ca="1" si="225"/>
        <v/>
      </c>
      <c r="Z511" s="315" t="str">
        <f t="shared" ca="1" si="226"/>
        <v/>
      </c>
      <c r="AA511" s="316" t="str">
        <f t="shared" ca="1" si="227"/>
        <v/>
      </c>
      <c r="AC511" s="310" t="e">
        <f t="shared" ca="1" si="228"/>
        <v>#N/A</v>
      </c>
      <c r="AD511" s="323" t="e">
        <f t="shared" ca="1" si="229"/>
        <v>#N/A</v>
      </c>
      <c r="AE511" s="324" t="e">
        <f t="shared" ca="1" si="208"/>
        <v>#N/A</v>
      </c>
      <c r="AG511" s="306">
        <f t="shared" ca="1" si="230"/>
        <v>2.1080768052465242</v>
      </c>
      <c r="AH511" s="304">
        <f t="shared" ca="1" si="231"/>
        <v>-7.6793725559924706</v>
      </c>
    </row>
    <row r="512" spans="1:34" x14ac:dyDescent="0.25">
      <c r="A512" s="347">
        <f t="shared" ca="1" si="209"/>
        <v>0.1</v>
      </c>
      <c r="B512" s="304">
        <f t="shared" ca="1" si="210"/>
        <v>38.500000000000249</v>
      </c>
      <c r="D512" s="306">
        <f t="shared" ca="1" si="211"/>
        <v>-0.51845740935613172</v>
      </c>
      <c r="E512" s="307">
        <f t="shared" ca="1" si="212"/>
        <v>-2.1109373846698167</v>
      </c>
      <c r="F512" s="304">
        <f t="shared" ca="1" si="213"/>
        <v>2.1736730957788746</v>
      </c>
      <c r="G512" s="306">
        <f t="shared" ca="1" si="214"/>
        <v>7.6637456431224384</v>
      </c>
      <c r="H512" s="307">
        <f t="shared" ca="1" si="215"/>
        <v>-114.78718062270492</v>
      </c>
      <c r="I512" s="304">
        <f t="shared" ca="1" si="216"/>
        <v>115.0427304639105</v>
      </c>
      <c r="J512" s="306">
        <f t="shared" ca="1" si="217"/>
        <v>628.53433877696204</v>
      </c>
      <c r="K512" s="307">
        <f t="shared" ca="1" si="218"/>
        <v>1023.1942056050018</v>
      </c>
      <c r="L512" s="304">
        <f t="shared" ca="1" si="203"/>
        <v>1200.8254650054034</v>
      </c>
      <c r="M512" s="306">
        <f t="shared" ca="1" si="219"/>
        <v>-1.5041304429768561</v>
      </c>
      <c r="N512" s="304">
        <f t="shared" ca="1" si="220"/>
        <v>-86.18032621971679</v>
      </c>
      <c r="P512" s="310">
        <f t="shared" ca="1" si="221"/>
        <v>23</v>
      </c>
      <c r="Q512" s="304">
        <f t="shared" ca="1" si="222"/>
        <v>0</v>
      </c>
      <c r="R512" s="306">
        <f t="shared" ca="1" si="223"/>
        <v>0</v>
      </c>
      <c r="S512" s="307">
        <f t="shared" ca="1" si="224"/>
        <v>2.0842999999999985</v>
      </c>
      <c r="T512" s="304">
        <f t="shared" ca="1" si="204"/>
        <v>20.446982999999985</v>
      </c>
      <c r="U512" s="311">
        <f t="shared" ca="1" si="205"/>
        <v>0</v>
      </c>
      <c r="V512" s="306">
        <f t="shared" ca="1" si="206"/>
        <v>1.1057590426451986</v>
      </c>
      <c r="W512" s="304">
        <f t="shared" ca="1" si="207"/>
        <v>16.16014942933624</v>
      </c>
      <c r="Y512" s="314" t="str">
        <f t="shared" ca="1" si="225"/>
        <v/>
      </c>
      <c r="Z512" s="315" t="str">
        <f t="shared" ca="1" si="226"/>
        <v/>
      </c>
      <c r="AA512" s="316" t="str">
        <f t="shared" ca="1" si="227"/>
        <v/>
      </c>
      <c r="AC512" s="310" t="e">
        <f t="shared" ca="1" si="228"/>
        <v>#N/A</v>
      </c>
      <c r="AD512" s="323" t="e">
        <f t="shared" ca="1" si="229"/>
        <v>#N/A</v>
      </c>
      <c r="AE512" s="324" t="e">
        <f t="shared" ca="1" si="208"/>
        <v>#N/A</v>
      </c>
      <c r="AG512" s="306">
        <f t="shared" ca="1" si="230"/>
        <v>2.0713331465766727</v>
      </c>
      <c r="AH512" s="304">
        <f t="shared" ca="1" si="231"/>
        <v>-7.7164994161919767</v>
      </c>
    </row>
    <row r="513" spans="1:34" x14ac:dyDescent="0.25">
      <c r="A513" s="347">
        <f t="shared" ca="1" si="209"/>
        <v>0.1</v>
      </c>
      <c r="B513" s="304">
        <f t="shared" ca="1" si="210"/>
        <v>38.60000000000025</v>
      </c>
      <c r="D513" s="306">
        <f t="shared" ca="1" si="211"/>
        <v>-0.5164960983024991</v>
      </c>
      <c r="E513" s="307">
        <f t="shared" ca="1" si="212"/>
        <v>-2.0739485066970484</v>
      </c>
      <c r="F513" s="304">
        <f t="shared" ca="1" si="213"/>
        <v>2.1372951663241606</v>
      </c>
      <c r="G513" s="306">
        <f t="shared" ca="1" si="214"/>
        <v>7.6120960332921888</v>
      </c>
      <c r="H513" s="307">
        <f t="shared" ca="1" si="215"/>
        <v>-114.99457547337462</v>
      </c>
      <c r="I513" s="304">
        <f t="shared" ca="1" si="216"/>
        <v>115.24624243037911</v>
      </c>
      <c r="J513" s="306">
        <f t="shared" ca="1" si="217"/>
        <v>629.29813086078275</v>
      </c>
      <c r="K513" s="307">
        <f t="shared" ca="1" si="218"/>
        <v>1011.7051178001979</v>
      </c>
      <c r="L513" s="304">
        <f t="shared" ca="1" si="203"/>
        <v>1191.4543142261002</v>
      </c>
      <c r="M513" s="306">
        <f t="shared" ca="1" si="219"/>
        <v>-1.5046974966367013</v>
      </c>
      <c r="N513" s="304">
        <f t="shared" ca="1" si="220"/>
        <v>-86.21281600118337</v>
      </c>
      <c r="P513" s="310">
        <f t="shared" ca="1" si="221"/>
        <v>23</v>
      </c>
      <c r="Q513" s="304">
        <f t="shared" ca="1" si="222"/>
        <v>0</v>
      </c>
      <c r="R513" s="306">
        <f t="shared" ca="1" si="223"/>
        <v>0</v>
      </c>
      <c r="S513" s="307">
        <f t="shared" ca="1" si="224"/>
        <v>2.0842999999999985</v>
      </c>
      <c r="T513" s="304">
        <f t="shared" ca="1" si="204"/>
        <v>20.446982999999985</v>
      </c>
      <c r="U513" s="311">
        <f t="shared" ca="1" si="205"/>
        <v>0</v>
      </c>
      <c r="V513" s="306">
        <f t="shared" ca="1" si="206"/>
        <v>1.1070334892045171</v>
      </c>
      <c r="W513" s="304">
        <f t="shared" ca="1" si="207"/>
        <v>16.236066390142767</v>
      </c>
      <c r="Y513" s="314" t="str">
        <f t="shared" ca="1" si="225"/>
        <v/>
      </c>
      <c r="Z513" s="315" t="str">
        <f t="shared" ca="1" si="226"/>
        <v/>
      </c>
      <c r="AA513" s="316" t="str">
        <f t="shared" ca="1" si="227"/>
        <v/>
      </c>
      <c r="AC513" s="310" t="e">
        <f t="shared" ca="1" si="228"/>
        <v>#N/A</v>
      </c>
      <c r="AD513" s="323" t="e">
        <f t="shared" ca="1" si="229"/>
        <v>#N/A</v>
      </c>
      <c r="AE513" s="324" t="e">
        <f t="shared" ca="1" si="208"/>
        <v>#N/A</v>
      </c>
      <c r="AG513" s="306">
        <f t="shared" ca="1" si="230"/>
        <v>2.034934377629428</v>
      </c>
      <c r="AH513" s="304">
        <f t="shared" ca="1" si="231"/>
        <v>-7.7532742068494223</v>
      </c>
    </row>
    <row r="514" spans="1:34" x14ac:dyDescent="0.25">
      <c r="A514" s="347">
        <f t="shared" ca="1" si="209"/>
        <v>0.1</v>
      </c>
      <c r="B514" s="304">
        <f t="shared" ca="1" si="210"/>
        <v>38.700000000000252</v>
      </c>
      <c r="D514" s="306">
        <f t="shared" ca="1" si="211"/>
        <v>-0.5145150400686197</v>
      </c>
      <c r="E514" s="307">
        <f t="shared" ca="1" si="212"/>
        <v>-2.0373131672817237</v>
      </c>
      <c r="F514" s="304">
        <f t="shared" ca="1" si="213"/>
        <v>2.101278341399897</v>
      </c>
      <c r="G514" s="306">
        <f t="shared" ca="1" si="214"/>
        <v>7.5606445292853266</v>
      </c>
      <c r="H514" s="307">
        <f t="shared" ca="1" si="215"/>
        <v>-115.19830679010279</v>
      </c>
      <c r="I514" s="304">
        <f t="shared" ca="1" si="216"/>
        <v>115.44614862785529</v>
      </c>
      <c r="J514" s="306">
        <f t="shared" ca="1" si="217"/>
        <v>630.05676788891162</v>
      </c>
      <c r="K514" s="307">
        <f t="shared" ca="1" si="218"/>
        <v>1000.195473687024</v>
      </c>
      <c r="L514" s="304">
        <f t="shared" ca="1" si="203"/>
        <v>1182.1008909338627</v>
      </c>
      <c r="M514" s="306">
        <f t="shared" ca="1" si="219"/>
        <v>-1.5052587604795948</v>
      </c>
      <c r="N514" s="304">
        <f t="shared" ca="1" si="220"/>
        <v>-86.244974050574456</v>
      </c>
      <c r="P514" s="310">
        <f t="shared" ca="1" si="221"/>
        <v>23</v>
      </c>
      <c r="Q514" s="304">
        <f t="shared" ca="1" si="222"/>
        <v>0</v>
      </c>
      <c r="R514" s="306">
        <f t="shared" ca="1" si="223"/>
        <v>0</v>
      </c>
      <c r="S514" s="307">
        <f t="shared" ca="1" si="224"/>
        <v>2.0842999999999985</v>
      </c>
      <c r="T514" s="304">
        <f t="shared" ca="1" si="204"/>
        <v>20.446982999999985</v>
      </c>
      <c r="U514" s="311">
        <f t="shared" ca="1" si="205"/>
        <v>0</v>
      </c>
      <c r="V514" s="306">
        <f t="shared" ca="1" si="206"/>
        <v>1.1083116142369422</v>
      </c>
      <c r="W514" s="304">
        <f t="shared" ca="1" si="207"/>
        <v>16.311251852932262</v>
      </c>
      <c r="Y514" s="314" t="str">
        <f t="shared" ca="1" si="225"/>
        <v/>
      </c>
      <c r="Z514" s="315" t="str">
        <f t="shared" ca="1" si="226"/>
        <v/>
      </c>
      <c r="AA514" s="316" t="str">
        <f t="shared" ca="1" si="227"/>
        <v/>
      </c>
      <c r="AC514" s="310" t="e">
        <f t="shared" ca="1" si="228"/>
        <v>#N/A</v>
      </c>
      <c r="AD514" s="323" t="e">
        <f t="shared" ca="1" si="229"/>
        <v>#N/A</v>
      </c>
      <c r="AE514" s="324" t="e">
        <f t="shared" ca="1" si="208"/>
        <v>#N/A</v>
      </c>
      <c r="AG514" s="306">
        <f t="shared" ca="1" si="230"/>
        <v>1.9988801372111213</v>
      </c>
      <c r="AH514" s="304">
        <f t="shared" ca="1" si="231"/>
        <v>-7.7896974476528227</v>
      </c>
    </row>
    <row r="515" spans="1:34" x14ac:dyDescent="0.25">
      <c r="A515" s="347">
        <f t="shared" ca="1" si="209"/>
        <v>0.1</v>
      </c>
      <c r="B515" s="304">
        <f t="shared" ca="1" si="210"/>
        <v>38.800000000000253</v>
      </c>
      <c r="D515" s="306">
        <f t="shared" ca="1" si="211"/>
        <v>-0.5125148289210183</v>
      </c>
      <c r="E515" s="307">
        <f t="shared" ca="1" si="212"/>
        <v>-2.001030768893802</v>
      </c>
      <c r="F515" s="304">
        <f t="shared" ca="1" si="213"/>
        <v>2.0656223246091385</v>
      </c>
      <c r="G515" s="306">
        <f t="shared" ca="1" si="214"/>
        <v>7.5093930463932246</v>
      </c>
      <c r="H515" s="307">
        <f t="shared" ca="1" si="215"/>
        <v>-115.39840986699217</v>
      </c>
      <c r="I515" s="304">
        <f t="shared" ca="1" si="216"/>
        <v>115.64248347279444</v>
      </c>
      <c r="J515" s="306">
        <f t="shared" ca="1" si="217"/>
        <v>630.81026976769556</v>
      </c>
      <c r="K515" s="307">
        <f t="shared" ca="1" si="218"/>
        <v>988.66563785416929</v>
      </c>
      <c r="L515" s="304">
        <f t="shared" ca="1" si="203"/>
        <v>1172.7665325707349</v>
      </c>
      <c r="M515" s="306">
        <f t="shared" ca="1" si="219"/>
        <v>-1.5058143205069785</v>
      </c>
      <c r="N515" s="304">
        <f t="shared" ca="1" si="220"/>
        <v>-86.276805295409716</v>
      </c>
      <c r="P515" s="310">
        <f t="shared" ca="1" si="221"/>
        <v>23</v>
      </c>
      <c r="Q515" s="304">
        <f t="shared" ca="1" si="222"/>
        <v>0</v>
      </c>
      <c r="R515" s="306">
        <f t="shared" ca="1" si="223"/>
        <v>0</v>
      </c>
      <c r="S515" s="307">
        <f t="shared" ca="1" si="224"/>
        <v>2.0842999999999985</v>
      </c>
      <c r="T515" s="304">
        <f t="shared" ca="1" si="204"/>
        <v>20.446982999999985</v>
      </c>
      <c r="U515" s="311">
        <f t="shared" ca="1" si="205"/>
        <v>0</v>
      </c>
      <c r="V515" s="306">
        <f t="shared" ca="1" si="206"/>
        <v>1.1095933869957844</v>
      </c>
      <c r="W515" s="304">
        <f t="shared" ca="1" si="207"/>
        <v>16.385707205210604</v>
      </c>
      <c r="Y515" s="314" t="str">
        <f t="shared" ca="1" si="225"/>
        <v/>
      </c>
      <c r="Z515" s="315" t="str">
        <f t="shared" ca="1" si="226"/>
        <v/>
      </c>
      <c r="AA515" s="316" t="str">
        <f t="shared" ca="1" si="227"/>
        <v/>
      </c>
      <c r="AC515" s="310" t="e">
        <f t="shared" ca="1" si="228"/>
        <v>#N/A</v>
      </c>
      <c r="AD515" s="323" t="e">
        <f t="shared" ca="1" si="229"/>
        <v>#N/A</v>
      </c>
      <c r="AE515" s="324" t="e">
        <f t="shared" ca="1" si="208"/>
        <v>#N/A</v>
      </c>
      <c r="AG515" s="306">
        <f t="shared" ca="1" si="230"/>
        <v>1.9631699859004179</v>
      </c>
      <c r="AH515" s="304">
        <f t="shared" ca="1" si="231"/>
        <v>-7.825769732251727</v>
      </c>
    </row>
    <row r="516" spans="1:34" x14ac:dyDescent="0.25">
      <c r="A516" s="347">
        <f t="shared" ca="1" si="209"/>
        <v>0.1</v>
      </c>
      <c r="B516" s="304">
        <f t="shared" ca="1" si="210"/>
        <v>38.900000000000254</v>
      </c>
      <c r="D516" s="306">
        <f t="shared" ca="1" si="211"/>
        <v>-0.51049605241264406</v>
      </c>
      <c r="E516" s="307">
        <f t="shared" ca="1" si="212"/>
        <v>-1.9651006415770675</v>
      </c>
      <c r="F516" s="304">
        <f t="shared" ca="1" si="213"/>
        <v>2.0303267596757659</v>
      </c>
      <c r="G516" s="306">
        <f t="shared" ca="1" si="214"/>
        <v>7.4583434411519605</v>
      </c>
      <c r="H516" s="307">
        <f t="shared" ca="1" si="215"/>
        <v>-115.59491993114987</v>
      </c>
      <c r="I516" s="304">
        <f t="shared" ca="1" si="216"/>
        <v>115.83528132989157</v>
      </c>
      <c r="J516" s="306">
        <f t="shared" ca="1" si="217"/>
        <v>631.55865659207279</v>
      </c>
      <c r="K516" s="307">
        <f t="shared" ca="1" si="218"/>
        <v>977.11597136426224</v>
      </c>
      <c r="L516" s="304">
        <f t="shared" ref="L516:L579" ca="1" si="232">SQRT(pos_x^2+pos_z^2)</f>
        <v>1163.452602477432</v>
      </c>
      <c r="M516" s="306">
        <f t="shared" ca="1" si="219"/>
        <v>-1.5063642608723924</v>
      </c>
      <c r="N516" s="304">
        <f t="shared" ca="1" si="220"/>
        <v>-86.308314557331812</v>
      </c>
      <c r="P516" s="310">
        <f t="shared" ca="1" si="221"/>
        <v>23</v>
      </c>
      <c r="Q516" s="304">
        <f t="shared" ca="1" si="222"/>
        <v>0</v>
      </c>
      <c r="R516" s="306">
        <f t="shared" ca="1" si="223"/>
        <v>0</v>
      </c>
      <c r="S516" s="307">
        <f t="shared" ca="1" si="224"/>
        <v>2.0842999999999985</v>
      </c>
      <c r="T516" s="304">
        <f t="shared" ref="T516:T579" ca="1" si="233">m*g</f>
        <v>20.446982999999985</v>
      </c>
      <c r="U516" s="311">
        <f t="shared" ref="U516:U579" ca="1" si="234">IF(pos_xz&lt;L_rampe,Poids*COS(Beta),0)</f>
        <v>0</v>
      </c>
      <c r="V516" s="306">
        <f t="shared" ref="V516:V579" ca="1" si="235">Rho_moyen*(20000-Alt_rampe-pos_z)/(20000+Alt_rampe+pos_z)</f>
        <v>1.1108787769915374</v>
      </c>
      <c r="W516" s="304">
        <f t="shared" ref="W516:W579" ca="1" si="236">1/2*Rho*Sref*Cx*vit_xz^2</f>
        <v>16.459433980683983</v>
      </c>
      <c r="Y516" s="314" t="str">
        <f t="shared" ca="1" si="225"/>
        <v/>
      </c>
      <c r="Z516" s="315" t="str">
        <f t="shared" ca="1" si="226"/>
        <v/>
      </c>
      <c r="AA516" s="316" t="str">
        <f t="shared" ca="1" si="227"/>
        <v/>
      </c>
      <c r="AC516" s="310" t="e">
        <f t="shared" ca="1" si="228"/>
        <v>#N/A</v>
      </c>
      <c r="AD516" s="323" t="e">
        <f t="shared" ca="1" si="229"/>
        <v>#N/A</v>
      </c>
      <c r="AE516" s="324" t="e">
        <f t="shared" ref="AE516:AE579" ca="1" si="237">IF(t&lt;T_para, pos_z, NA())</f>
        <v>#N/A</v>
      </c>
      <c r="AG516" s="306">
        <f t="shared" ca="1" si="230"/>
        <v>1.9278034081034567</v>
      </c>
      <c r="AH516" s="304">
        <f t="shared" ca="1" si="231"/>
        <v>-7.8614917263400743</v>
      </c>
    </row>
    <row r="517" spans="1:34" x14ac:dyDescent="0.25">
      <c r="A517" s="347">
        <f t="shared" ref="A517:A580" ca="1" si="238">IF(B516+0.01&lt;=T_ini+ROUNDUP(Temps_fin_propu,0), 0.01, IF(K516&gt;0, 0.1, 0.0001))</f>
        <v>0.1</v>
      </c>
      <c r="B517" s="304">
        <f t="shared" ref="B517:B580" ca="1" si="239">B516+pas</f>
        <v>39.000000000000256</v>
      </c>
      <c r="D517" s="306">
        <f t="shared" ref="D517:D580" ca="1" si="240">IF(AND(L516&lt;L_rampe,Poussee&lt;Poids*SIN(M516)),0,(-W516+Poussee)/m*COS(M516)-U516/m*SIN(M516))</f>
        <v>-0.50845929133277978</v>
      </c>
      <c r="E517" s="307">
        <f t="shared" ref="E517:E580" ca="1" si="241">IF(AND(L516&lt;L_rampe,Poussee&lt;Poids*SIN(M516)),0,(-W516+Poussee)/m*SIN(M516)+U516/m*COS(M516)-Poids/m)</f>
        <v>-1.929522044859894</v>
      </c>
      <c r="F517" s="304">
        <f t="shared" ref="F517:F580" ca="1" si="242">SQRT(acc_x^2+acc_z^2)</f>
        <v>1.99539123295231</v>
      </c>
      <c r="G517" s="306">
        <f t="shared" ref="G517:G580" ca="1" si="243">G516+acc_x*pas</f>
        <v>7.4074975120186828</v>
      </c>
      <c r="H517" s="307">
        <f t="shared" ref="H517:H580" ca="1" si="244">H516+acc_z*pas</f>
        <v>-115.78787213563587</v>
      </c>
      <c r="I517" s="304">
        <f t="shared" ref="I517:I580" ca="1" si="245">SQRT(vit_x^2+vit_z^2)</f>
        <v>116.02457650467389</v>
      </c>
      <c r="J517" s="306">
        <f t="shared" ref="J517:J580" ca="1" si="246">J516+0.5*(vit_x+G516)*pas*(K516&gt;=0)</f>
        <v>632.30194863973134</v>
      </c>
      <c r="K517" s="307">
        <f t="shared" ref="K517:K580" ca="1" si="247">K516+0.5*(vit_z+H516)*pas</f>
        <v>965.54683176092294</v>
      </c>
      <c r="L517" s="304">
        <f t="shared" ca="1" si="232"/>
        <v>1154.16049082316</v>
      </c>
      <c r="M517" s="306">
        <f t="shared" ref="M517:M580" ca="1" si="248">IF(AND(L516&gt;L_rampe,G517&gt;0),ATAN2(G517,H517),$M$4)</f>
        <v>-1.506908663931591</v>
      </c>
      <c r="N517" s="304">
        <f t="shared" ref="N517:N580" ca="1" si="249">DEGREES(Beta)</f>
        <v>-86.339506554977902</v>
      </c>
      <c r="P517" s="310">
        <f t="shared" ref="P517:P580" ca="1" si="250">MATCH(t-pas/2-T_ini,CdP_t)</f>
        <v>23</v>
      </c>
      <c r="Q517" s="304">
        <f t="shared" ref="Q517:Q580" ca="1" si="251">(INDEX(CdP,2,i_P+1)-INDEX(CdP,2,i_P+0))/(INDEX(CdP,1,i_P+1)-INDEX(CdP,1,i_P+0))*(t-pas/2-T_ini-INDEX(CdP,1,i_P+0))+INDEX(CdP,2,i_P+0)</f>
        <v>0</v>
      </c>
      <c r="R517" s="306">
        <f t="shared" ref="R517:R580" ca="1" si="252">Poussee/(g*ISP)</f>
        <v>0</v>
      </c>
      <c r="S517" s="307">
        <f t="shared" ref="S517:S580" ca="1" si="253">S516-Débit*pas</f>
        <v>2.0842999999999985</v>
      </c>
      <c r="T517" s="304">
        <f t="shared" ca="1" si="233"/>
        <v>20.446982999999985</v>
      </c>
      <c r="U517" s="311">
        <f t="shared" ca="1" si="234"/>
        <v>0</v>
      </c>
      <c r="V517" s="306">
        <f t="shared" ca="1" si="235"/>
        <v>1.1121677539919634</v>
      </c>
      <c r="W517" s="304">
        <f t="shared" ca="1" si="236"/>
        <v>16.53243385533267</v>
      </c>
      <c r="Y517" s="314" t="str">
        <f t="shared" ref="Y517:Y580" ca="1" si="254">IF(AND(pos_z&lt;=0,K516&gt;0),"Impact balistique","") &amp; IF(AND(H518&lt;0,vit_z&gt;=0),"Apogée","") &amp; IF(AND(Poussee=0,Q516&gt;0),"Fin de propulsion","") &amp; IF(AND(L518&gt;L_rampe,pos_xz&lt;=L_rampe),"Sortie de rampe","")</f>
        <v/>
      </c>
      <c r="Z517" s="315" t="str">
        <f t="shared" ref="Z517:Z580" ca="1" si="255">IF(ABS(t-T_para)&lt;pas/2,"Para","")</f>
        <v/>
      </c>
      <c r="AA517" s="316" t="str">
        <f t="shared" ref="AA517:AA580" ca="1" si="256">IF(ABS(t-T_satellite)&lt;pas/2,"Satellite","")</f>
        <v/>
      </c>
      <c r="AC517" s="310">
        <f t="shared" ref="AC517:AC580" ca="1" si="257">IF(ABS(t-ROUND(t,0))&lt;0.001,t,NA())</f>
        <v>39.000000000000256</v>
      </c>
      <c r="AD517" s="323">
        <f t="shared" ref="AD517:AD580" ca="1" si="258">IF(ABS(t-ROUND(t,0))&lt;0.001,pos_x,NA())</f>
        <v>632.30194863973134</v>
      </c>
      <c r="AE517" s="324" t="e">
        <f t="shared" ca="1" si="237"/>
        <v>#N/A</v>
      </c>
      <c r="AG517" s="306">
        <f t="shared" ref="AG517:AG580" ca="1" si="259">IF(AND(L516&lt;L_rampe,Poussee&lt;Poids*SIN(M516)),0,(-W516+Poussee)/m-Poids*SIN(M516)/m)</f>
        <v>1.892779814087481</v>
      </c>
      <c r="AH517" s="304">
        <f t="shared" ref="AH517:AH580" ca="1" si="260">IF(AND(L516&lt;L_rampe,Poussee&lt;Poids*SIN(M516)), g*SIN(M516), (-W516+Poussee)/m)</f>
        <v>-7.8968641657554066</v>
      </c>
    </row>
    <row r="518" spans="1:34" x14ac:dyDescent="0.25">
      <c r="A518" s="347">
        <f t="shared" ca="1" si="238"/>
        <v>0.1</v>
      </c>
      <c r="B518" s="304">
        <f t="shared" ca="1" si="239"/>
        <v>39.100000000000257</v>
      </c>
      <c r="D518" s="306">
        <f t="shared" ca="1" si="240"/>
        <v>-0.50640511966150448</v>
      </c>
      <c r="E518" s="307">
        <f t="shared" ca="1" si="241"/>
        <v>-1.8942941696488784</v>
      </c>
      <c r="F518" s="304">
        <f t="shared" ca="1" si="242"/>
        <v>1.9608152759464916</v>
      </c>
      <c r="G518" s="306">
        <f t="shared" ca="1" si="243"/>
        <v>7.356857000052532</v>
      </c>
      <c r="H518" s="307">
        <f t="shared" ca="1" si="244"/>
        <v>-115.97730155260075</v>
      </c>
      <c r="I518" s="304">
        <f t="shared" ca="1" si="245"/>
        <v>116.21040323629425</v>
      </c>
      <c r="J518" s="306">
        <f t="shared" ca="1" si="246"/>
        <v>633.04016636533493</v>
      </c>
      <c r="K518" s="307">
        <f t="shared" ca="1" si="247"/>
        <v>953.95857307651113</v>
      </c>
      <c r="L518" s="304">
        <f t="shared" ca="1" si="232"/>
        <v>1144.8916155593174</v>
      </c>
      <c r="M518" s="306">
        <f t="shared" ca="1" si="248"/>
        <v>-1.5074476102910581</v>
      </c>
      <c r="N518" s="304">
        <f t="shared" ca="1" si="249"/>
        <v>-86.37038590675931</v>
      </c>
      <c r="P518" s="310">
        <f t="shared" ca="1" si="250"/>
        <v>23</v>
      </c>
      <c r="Q518" s="304">
        <f t="shared" ca="1" si="251"/>
        <v>0</v>
      </c>
      <c r="R518" s="306">
        <f t="shared" ca="1" si="252"/>
        <v>0</v>
      </c>
      <c r="S518" s="307">
        <f t="shared" ca="1" si="253"/>
        <v>2.0842999999999985</v>
      </c>
      <c r="T518" s="304">
        <f t="shared" ca="1" si="233"/>
        <v>20.446982999999985</v>
      </c>
      <c r="U518" s="311">
        <f t="shared" ca="1" si="234"/>
        <v>0</v>
      </c>
      <c r="V518" s="306">
        <f t="shared" ca="1" si="235"/>
        <v>1.1134602880221169</v>
      </c>
      <c r="W518" s="304">
        <f t="shared" ca="1" si="236"/>
        <v>16.604708643521739</v>
      </c>
      <c r="Y518" s="314" t="str">
        <f t="shared" ca="1" si="254"/>
        <v/>
      </c>
      <c r="Z518" s="315" t="str">
        <f t="shared" ca="1" si="255"/>
        <v/>
      </c>
      <c r="AA518" s="316" t="str">
        <f t="shared" ca="1" si="256"/>
        <v/>
      </c>
      <c r="AC518" s="310" t="e">
        <f t="shared" ca="1" si="257"/>
        <v>#N/A</v>
      </c>
      <c r="AD518" s="323" t="e">
        <f t="shared" ca="1" si="258"/>
        <v>#N/A</v>
      </c>
      <c r="AE518" s="324" t="e">
        <f t="shared" ca="1" si="237"/>
        <v>#N/A</v>
      </c>
      <c r="AG518" s="306">
        <f t="shared" ca="1" si="259"/>
        <v>1.8580985419923852</v>
      </c>
      <c r="AH518" s="304">
        <f t="shared" ca="1" si="260"/>
        <v>-7.9318878545951552</v>
      </c>
    </row>
    <row r="519" spans="1:34" x14ac:dyDescent="0.25">
      <c r="A519" s="347">
        <f t="shared" ca="1" si="238"/>
        <v>0.1</v>
      </c>
      <c r="B519" s="304">
        <f t="shared" ca="1" si="239"/>
        <v>39.200000000000259</v>
      </c>
      <c r="D519" s="306">
        <f t="shared" ca="1" si="240"/>
        <v>-0.50433410452861094</v>
      </c>
      <c r="E519" s="307">
        <f t="shared" ca="1" si="241"/>
        <v>-1.8594161401046669</v>
      </c>
      <c r="F519" s="304">
        <f t="shared" ca="1" si="242"/>
        <v>1.9265983678682006</v>
      </c>
      <c r="G519" s="306">
        <f t="shared" ca="1" si="243"/>
        <v>7.306423589599671</v>
      </c>
      <c r="H519" s="307">
        <f t="shared" ca="1" si="244"/>
        <v>-116.16324316661121</v>
      </c>
      <c r="I519" s="304">
        <f t="shared" ca="1" si="245"/>
        <v>116.39279569052331</v>
      </c>
      <c r="J519" s="306">
        <f t="shared" ca="1" si="246"/>
        <v>633.77333039481755</v>
      </c>
      <c r="K519" s="307">
        <f t="shared" ca="1" si="247"/>
        <v>942.35154584055056</v>
      </c>
      <c r="L519" s="304">
        <f t="shared" ca="1" si="232"/>
        <v>1135.6474233968102</v>
      </c>
      <c r="M519" s="306">
        <f t="shared" ca="1" si="248"/>
        <v>-1.507981178854984</v>
      </c>
      <c r="N519" s="304">
        <f t="shared" ca="1" si="249"/>
        <v>-86.400957133553121</v>
      </c>
      <c r="P519" s="310">
        <f t="shared" ca="1" si="250"/>
        <v>23</v>
      </c>
      <c r="Q519" s="304">
        <f t="shared" ca="1" si="251"/>
        <v>0</v>
      </c>
      <c r="R519" s="306">
        <f t="shared" ca="1" si="252"/>
        <v>0</v>
      </c>
      <c r="S519" s="307">
        <f t="shared" ca="1" si="253"/>
        <v>2.0842999999999985</v>
      </c>
      <c r="T519" s="304">
        <f t="shared" ca="1" si="233"/>
        <v>20.446982999999985</v>
      </c>
      <c r="U519" s="311">
        <f t="shared" ca="1" si="234"/>
        <v>0</v>
      </c>
      <c r="V519" s="306">
        <f t="shared" ca="1" si="235"/>
        <v>1.1147563493643151</v>
      </c>
      <c r="W519" s="304">
        <f t="shared" ca="1" si="236"/>
        <v>16.676260294149994</v>
      </c>
      <c r="Y519" s="314" t="str">
        <f t="shared" ca="1" si="254"/>
        <v/>
      </c>
      <c r="Z519" s="315" t="str">
        <f t="shared" ca="1" si="255"/>
        <v/>
      </c>
      <c r="AA519" s="316" t="str">
        <f t="shared" ca="1" si="256"/>
        <v/>
      </c>
      <c r="AC519" s="310" t="e">
        <f t="shared" ca="1" si="257"/>
        <v>#N/A</v>
      </c>
      <c r="AD519" s="323" t="e">
        <f t="shared" ca="1" si="258"/>
        <v>#N/A</v>
      </c>
      <c r="AE519" s="324" t="e">
        <f t="shared" ca="1" si="237"/>
        <v>#N/A</v>
      </c>
      <c r="AG519" s="306">
        <f t="shared" ca="1" si="259"/>
        <v>1.8237588598198169</v>
      </c>
      <c r="AH519" s="304">
        <f t="shared" ca="1" si="260"/>
        <v>-7.9665636633506463</v>
      </c>
    </row>
    <row r="520" spans="1:34" x14ac:dyDescent="0.25">
      <c r="A520" s="347">
        <f t="shared" ca="1" si="238"/>
        <v>0.1</v>
      </c>
      <c r="B520" s="304">
        <f t="shared" ca="1" si="239"/>
        <v>39.30000000000026</v>
      </c>
      <c r="D520" s="306">
        <f t="shared" ca="1" si="240"/>
        <v>-0.50224680617684037</v>
      </c>
      <c r="E520" s="307">
        <f t="shared" ca="1" si="241"/>
        <v>-1.8248870154993506</v>
      </c>
      <c r="F520" s="304">
        <f t="shared" ca="1" si="242"/>
        <v>1.8927399381988439</v>
      </c>
      <c r="G520" s="306">
        <f t="shared" ca="1" si="243"/>
        <v>7.2561989089819869</v>
      </c>
      <c r="H520" s="307">
        <f t="shared" ca="1" si="244"/>
        <v>-116.34573186816114</v>
      </c>
      <c r="I520" s="304">
        <f t="shared" ca="1" si="245"/>
        <v>116.57178795293807</v>
      </c>
      <c r="J520" s="306">
        <f t="shared" ca="1" si="246"/>
        <v>634.50146151974661</v>
      </c>
      <c r="K520" s="307">
        <f t="shared" ca="1" si="247"/>
        <v>930.72609708881191</v>
      </c>
      <c r="L520" s="304">
        <f t="shared" ca="1" si="232"/>
        <v>1126.4293908065729</v>
      </c>
      <c r="M520" s="306">
        <f t="shared" ca="1" si="248"/>
        <v>-1.5085094468707565</v>
      </c>
      <c r="N520" s="304">
        <f t="shared" ca="1" si="249"/>
        <v>-86.431224661308633</v>
      </c>
      <c r="P520" s="310">
        <f t="shared" ca="1" si="250"/>
        <v>23</v>
      </c>
      <c r="Q520" s="304">
        <f t="shared" ca="1" si="251"/>
        <v>0</v>
      </c>
      <c r="R520" s="306">
        <f t="shared" ca="1" si="252"/>
        <v>0</v>
      </c>
      <c r="S520" s="307">
        <f t="shared" ca="1" si="253"/>
        <v>2.0842999999999985</v>
      </c>
      <c r="T520" s="304">
        <f t="shared" ca="1" si="233"/>
        <v>20.446982999999985</v>
      </c>
      <c r="U520" s="311">
        <f t="shared" ca="1" si="234"/>
        <v>0</v>
      </c>
      <c r="V520" s="306">
        <f t="shared" ca="1" si="235"/>
        <v>1.116055908558053</v>
      </c>
      <c r="W520" s="304">
        <f t="shared" ca="1" si="236"/>
        <v>16.747090886838372</v>
      </c>
      <c r="Y520" s="314" t="str">
        <f t="shared" ca="1" si="254"/>
        <v/>
      </c>
      <c r="Z520" s="315" t="str">
        <f t="shared" ca="1" si="255"/>
        <v/>
      </c>
      <c r="AA520" s="316" t="str">
        <f t="shared" ca="1" si="256"/>
        <v/>
      </c>
      <c r="AC520" s="310" t="e">
        <f t="shared" ca="1" si="257"/>
        <v>#N/A</v>
      </c>
      <c r="AD520" s="323" t="e">
        <f t="shared" ca="1" si="258"/>
        <v>#N/A</v>
      </c>
      <c r="AE520" s="324" t="e">
        <f t="shared" ca="1" si="237"/>
        <v>#N/A</v>
      </c>
      <c r="AG520" s="306">
        <f t="shared" ca="1" si="259"/>
        <v>1.7897599673993554</v>
      </c>
      <c r="AH520" s="304">
        <f t="shared" ca="1" si="260"/>
        <v>-8.0008925270594471</v>
      </c>
    </row>
    <row r="521" spans="1:34" x14ac:dyDescent="0.25">
      <c r="A521" s="347">
        <f t="shared" ca="1" si="238"/>
        <v>0.1</v>
      </c>
      <c r="B521" s="304">
        <f t="shared" ca="1" si="239"/>
        <v>39.400000000000261</v>
      </c>
      <c r="D521" s="306">
        <f t="shared" ca="1" si="240"/>
        <v>-0.50014377792934828</v>
      </c>
      <c r="E521" s="307">
        <f t="shared" ca="1" si="241"/>
        <v>-1.7907057920548493</v>
      </c>
      <c r="F521" s="304">
        <f t="shared" ca="1" si="242"/>
        <v>1.8592393692852534</v>
      </c>
      <c r="G521" s="306">
        <f t="shared" ca="1" si="243"/>
        <v>7.2061845311890522</v>
      </c>
      <c r="H521" s="307">
        <f t="shared" ca="1" si="244"/>
        <v>-116.52480244736662</v>
      </c>
      <c r="I521" s="304">
        <f t="shared" ca="1" si="245"/>
        <v>116.74741402230444</v>
      </c>
      <c r="J521" s="306">
        <f t="shared" ca="1" si="246"/>
        <v>635.22458069175514</v>
      </c>
      <c r="K521" s="307">
        <f t="shared" ca="1" si="247"/>
        <v>919.08257037303554</v>
      </c>
      <c r="L521" s="304">
        <f t="shared" ca="1" si="232"/>
        <v>1117.2390250427713</v>
      </c>
      <c r="M521" s="306">
        <f t="shared" ca="1" si="248"/>
        <v>-1.5090324899730225</v>
      </c>
      <c r="N521" s="304">
        <f t="shared" ca="1" si="249"/>
        <v>-86.461192823571906</v>
      </c>
      <c r="P521" s="310">
        <f t="shared" ca="1" si="250"/>
        <v>23</v>
      </c>
      <c r="Q521" s="304">
        <f t="shared" ca="1" si="251"/>
        <v>0</v>
      </c>
      <c r="R521" s="306">
        <f t="shared" ca="1" si="252"/>
        <v>0</v>
      </c>
      <c r="S521" s="307">
        <f t="shared" ca="1" si="253"/>
        <v>2.0842999999999985</v>
      </c>
      <c r="T521" s="304">
        <f t="shared" ca="1" si="233"/>
        <v>20.446982999999985</v>
      </c>
      <c r="U521" s="311">
        <f t="shared" ca="1" si="234"/>
        <v>0</v>
      </c>
      <c r="V521" s="306">
        <f t="shared" ca="1" si="235"/>
        <v>1.1173589363998679</v>
      </c>
      <c r="W521" s="304">
        <f t="shared" ca="1" si="236"/>
        <v>16.817202628158974</v>
      </c>
      <c r="Y521" s="314" t="str">
        <f t="shared" ca="1" si="254"/>
        <v/>
      </c>
      <c r="Z521" s="315" t="str">
        <f t="shared" ca="1" si="255"/>
        <v/>
      </c>
      <c r="AA521" s="316" t="str">
        <f t="shared" ca="1" si="256"/>
        <v/>
      </c>
      <c r="AC521" s="310" t="e">
        <f t="shared" ca="1" si="257"/>
        <v>#N/A</v>
      </c>
      <c r="AD521" s="323" t="e">
        <f t="shared" ca="1" si="258"/>
        <v>#N/A</v>
      </c>
      <c r="AE521" s="324" t="e">
        <f t="shared" ca="1" si="237"/>
        <v>#N/A</v>
      </c>
      <c r="AG521" s="306">
        <f t="shared" ca="1" si="259"/>
        <v>1.7561009983314051</v>
      </c>
      <c r="AH521" s="304">
        <f t="shared" ca="1" si="260"/>
        <v>-8.0348754434766505</v>
      </c>
    </row>
    <row r="522" spans="1:34" x14ac:dyDescent="0.25">
      <c r="A522" s="347">
        <f t="shared" ca="1" si="238"/>
        <v>0.1</v>
      </c>
      <c r="B522" s="304">
        <f t="shared" ca="1" si="239"/>
        <v>39.500000000000263</v>
      </c>
      <c r="D522" s="306">
        <f t="shared" ca="1" si="240"/>
        <v>-0.49802556616129223</v>
      </c>
      <c r="E522" s="307">
        <f t="shared" ca="1" si="241"/>
        <v>-1.7568714047616911</v>
      </c>
      <c r="F522" s="304">
        <f t="shared" ca="1" si="242"/>
        <v>1.826095998960513</v>
      </c>
      <c r="G522" s="306">
        <f t="shared" ca="1" si="243"/>
        <v>7.1563819745729234</v>
      </c>
      <c r="H522" s="307">
        <f t="shared" ca="1" si="244"/>
        <v>-116.7004895878428</v>
      </c>
      <c r="I522" s="304">
        <f t="shared" ca="1" si="245"/>
        <v>116.91970780415164</v>
      </c>
      <c r="J522" s="306">
        <f t="shared" ca="1" si="246"/>
        <v>635.94270901704328</v>
      </c>
      <c r="K522" s="307">
        <f t="shared" ca="1" si="247"/>
        <v>907.42130577127512</v>
      </c>
      <c r="L522" s="304">
        <f t="shared" ca="1" si="232"/>
        <v>1108.0778651879937</v>
      </c>
      <c r="M522" s="306">
        <f t="shared" ca="1" si="248"/>
        <v>-1.5095503822263721</v>
      </c>
      <c r="N522" s="304">
        <f t="shared" ca="1" si="249"/>
        <v>-86.490865863931361</v>
      </c>
      <c r="P522" s="310">
        <f t="shared" ca="1" si="250"/>
        <v>23</v>
      </c>
      <c r="Q522" s="304">
        <f t="shared" ca="1" si="251"/>
        <v>0</v>
      </c>
      <c r="R522" s="306">
        <f t="shared" ca="1" si="252"/>
        <v>0</v>
      </c>
      <c r="S522" s="307">
        <f t="shared" ca="1" si="253"/>
        <v>2.0842999999999985</v>
      </c>
      <c r="T522" s="304">
        <f t="shared" ca="1" si="233"/>
        <v>20.446982999999985</v>
      </c>
      <c r="U522" s="311">
        <f t="shared" ca="1" si="234"/>
        <v>0</v>
      </c>
      <c r="V522" s="306">
        <f t="shared" ca="1" si="235"/>
        <v>1.1186654039431472</v>
      </c>
      <c r="W522" s="304">
        <f t="shared" ca="1" si="236"/>
        <v>16.886597847905705</v>
      </c>
      <c r="Y522" s="314" t="str">
        <f t="shared" ca="1" si="254"/>
        <v/>
      </c>
      <c r="Z522" s="315" t="str">
        <f t="shared" ca="1" si="255"/>
        <v/>
      </c>
      <c r="AA522" s="316" t="str">
        <f t="shared" ca="1" si="256"/>
        <v/>
      </c>
      <c r="AC522" s="310" t="e">
        <f t="shared" ca="1" si="257"/>
        <v>#N/A</v>
      </c>
      <c r="AD522" s="323" t="e">
        <f t="shared" ca="1" si="258"/>
        <v>#N/A</v>
      </c>
      <c r="AE522" s="324" t="e">
        <f t="shared" ca="1" si="237"/>
        <v>#N/A</v>
      </c>
      <c r="AG522" s="306">
        <f t="shared" ca="1" si="259"/>
        <v>1.7227810219064015</v>
      </c>
      <c r="AH522" s="304">
        <f t="shared" ca="1" si="260"/>
        <v>-8.0685134712656463</v>
      </c>
    </row>
    <row r="523" spans="1:34" x14ac:dyDescent="0.25">
      <c r="A523" s="347">
        <f t="shared" ca="1" si="238"/>
        <v>0.1</v>
      </c>
      <c r="B523" s="304">
        <f t="shared" ca="1" si="239"/>
        <v>39.600000000000264</v>
      </c>
      <c r="D523" s="306">
        <f t="shared" ca="1" si="240"/>
        <v>-0.49589271027540804</v>
      </c>
      <c r="E523" s="307">
        <f t="shared" ca="1" si="241"/>
        <v>-1.7233827291777661</v>
      </c>
      <c r="F523" s="304">
        <f t="shared" ca="1" si="242"/>
        <v>1.7933091231944633</v>
      </c>
      <c r="G523" s="306">
        <f t="shared" ca="1" si="243"/>
        <v>7.1067927035453824</v>
      </c>
      <c r="H523" s="307">
        <f t="shared" ca="1" si="244"/>
        <v>-116.87282786076057</v>
      </c>
      <c r="I523" s="304">
        <f t="shared" ca="1" si="245"/>
        <v>117.08870310453582</v>
      </c>
      <c r="J523" s="306">
        <f t="shared" ca="1" si="246"/>
        <v>636.65586775094926</v>
      </c>
      <c r="K523" s="307">
        <f t="shared" ca="1" si="247"/>
        <v>895.74263989884491</v>
      </c>
      <c r="L523" s="304">
        <f t="shared" ca="1" si="232"/>
        <v>1098.9474832195876</v>
      </c>
      <c r="M523" s="306">
        <f t="shared" ca="1" si="248"/>
        <v>-1.510063196166693</v>
      </c>
      <c r="N523" s="304">
        <f t="shared" ca="1" si="249"/>
        <v>-86.520247938387229</v>
      </c>
      <c r="P523" s="310">
        <f t="shared" ca="1" si="250"/>
        <v>23</v>
      </c>
      <c r="Q523" s="304">
        <f t="shared" ca="1" si="251"/>
        <v>0</v>
      </c>
      <c r="R523" s="306">
        <f t="shared" ca="1" si="252"/>
        <v>0</v>
      </c>
      <c r="S523" s="307">
        <f t="shared" ca="1" si="253"/>
        <v>2.0842999999999985</v>
      </c>
      <c r="T523" s="304">
        <f t="shared" ca="1" si="233"/>
        <v>20.446982999999985</v>
      </c>
      <c r="U523" s="311">
        <f t="shared" ca="1" si="234"/>
        <v>0</v>
      </c>
      <c r="V523" s="306">
        <f t="shared" ca="1" si="235"/>
        <v>1.1199752824978899</v>
      </c>
      <c r="W523" s="304">
        <f t="shared" ca="1" si="236"/>
        <v>16.95527899540771</v>
      </c>
      <c r="Y523" s="314" t="str">
        <f t="shared" ca="1" si="254"/>
        <v/>
      </c>
      <c r="Z523" s="315" t="str">
        <f t="shared" ca="1" si="255"/>
        <v/>
      </c>
      <c r="AA523" s="316" t="str">
        <f t="shared" ca="1" si="256"/>
        <v/>
      </c>
      <c r="AC523" s="310" t="e">
        <f t="shared" ca="1" si="257"/>
        <v>#N/A</v>
      </c>
      <c r="AD523" s="323" t="e">
        <f t="shared" ca="1" si="258"/>
        <v>#N/A</v>
      </c>
      <c r="AE523" s="324" t="e">
        <f t="shared" ca="1" si="237"/>
        <v>#N/A</v>
      </c>
      <c r="AG523" s="306">
        <f t="shared" ca="1" si="259"/>
        <v>1.689799045000056</v>
      </c>
      <c r="AH523" s="304">
        <f t="shared" ca="1" si="260"/>
        <v>-8.1018077282088559</v>
      </c>
    </row>
    <row r="524" spans="1:34" x14ac:dyDescent="0.25">
      <c r="A524" s="347">
        <f t="shared" ca="1" si="238"/>
        <v>0.1</v>
      </c>
      <c r="B524" s="304">
        <f t="shared" ca="1" si="239"/>
        <v>39.700000000000266</v>
      </c>
      <c r="D524" s="306">
        <f t="shared" ca="1" si="240"/>
        <v>-0.49374574268149679</v>
      </c>
      <c r="E524" s="307">
        <f t="shared" ca="1" si="241"/>
        <v>-1.6902385832064031</v>
      </c>
      <c r="F524" s="304">
        <f t="shared" ca="1" si="242"/>
        <v>1.760877998776659</v>
      </c>
      <c r="G524" s="306">
        <f t="shared" ca="1" si="243"/>
        <v>7.0574181292772327</v>
      </c>
      <c r="H524" s="307">
        <f t="shared" ca="1" si="244"/>
        <v>-117.04185171908121</v>
      </c>
      <c r="I524" s="304">
        <f t="shared" ca="1" si="245"/>
        <v>117.25443362399072</v>
      </c>
      <c r="J524" s="306">
        <f t="shared" ca="1" si="246"/>
        <v>637.36407829259042</v>
      </c>
      <c r="K524" s="307">
        <f t="shared" ca="1" si="247"/>
        <v>884.04690591985286</v>
      </c>
      <c r="L524" s="304">
        <f t="shared" ca="1" si="232"/>
        <v>1089.8494850960974</v>
      </c>
      <c r="M524" s="306">
        <f t="shared" ca="1" si="248"/>
        <v>-1.5105710028412442</v>
      </c>
      <c r="N524" s="304">
        <f t="shared" ca="1" si="249"/>
        <v>-86.549343117647581</v>
      </c>
      <c r="P524" s="310">
        <f t="shared" ca="1" si="250"/>
        <v>23</v>
      </c>
      <c r="Q524" s="304">
        <f t="shared" ca="1" si="251"/>
        <v>0</v>
      </c>
      <c r="R524" s="306">
        <f t="shared" ca="1" si="252"/>
        <v>0</v>
      </c>
      <c r="S524" s="307">
        <f t="shared" ca="1" si="253"/>
        <v>2.0842999999999985</v>
      </c>
      <c r="T524" s="304">
        <f t="shared" ca="1" si="233"/>
        <v>20.446982999999985</v>
      </c>
      <c r="U524" s="311">
        <f t="shared" ca="1" si="234"/>
        <v>0</v>
      </c>
      <c r="V524" s="306">
        <f t="shared" ca="1" si="235"/>
        <v>1.121288543630417</v>
      </c>
      <c r="W524" s="304">
        <f t="shared" ca="1" si="236"/>
        <v>17.023248635886414</v>
      </c>
      <c r="Y524" s="314" t="str">
        <f t="shared" ca="1" si="254"/>
        <v/>
      </c>
      <c r="Z524" s="315" t="str">
        <f t="shared" ca="1" si="255"/>
        <v/>
      </c>
      <c r="AA524" s="316" t="str">
        <f t="shared" ca="1" si="256"/>
        <v/>
      </c>
      <c r="AC524" s="310" t="e">
        <f t="shared" ca="1" si="257"/>
        <v>#N/A</v>
      </c>
      <c r="AD524" s="323" t="e">
        <f t="shared" ca="1" si="258"/>
        <v>#N/A</v>
      </c>
      <c r="AE524" s="324" t="e">
        <f t="shared" ca="1" si="237"/>
        <v>#N/A</v>
      </c>
      <c r="AG524" s="306">
        <f t="shared" ca="1" si="259"/>
        <v>1.6571540139442007</v>
      </c>
      <c r="AH524" s="304">
        <f t="shared" ca="1" si="260"/>
        <v>-8.1347593894390062</v>
      </c>
    </row>
    <row r="525" spans="1:34" x14ac:dyDescent="0.25">
      <c r="A525" s="347">
        <f t="shared" ca="1" si="238"/>
        <v>0.1</v>
      </c>
      <c r="B525" s="304">
        <f t="shared" ca="1" si="239"/>
        <v>39.800000000000267</v>
      </c>
      <c r="D525" s="306">
        <f t="shared" ca="1" si="240"/>
        <v>-0.49158518877970908</v>
      </c>
      <c r="E525" s="307">
        <f t="shared" ca="1" si="241"/>
        <v>-1.6574377288534627</v>
      </c>
      <c r="F525" s="304">
        <f t="shared" ca="1" si="242"/>
        <v>1.7288018460351395</v>
      </c>
      <c r="G525" s="306">
        <f t="shared" ca="1" si="243"/>
        <v>7.0082596103992616</v>
      </c>
      <c r="H525" s="307">
        <f t="shared" ca="1" si="244"/>
        <v>-117.20759549196656</v>
      </c>
      <c r="I525" s="304">
        <f t="shared" ca="1" si="245"/>
        <v>117.41693295166253</v>
      </c>
      <c r="J525" s="306">
        <f t="shared" ca="1" si="246"/>
        <v>638.06736217957427</v>
      </c>
      <c r="K525" s="307">
        <f t="shared" ca="1" si="247"/>
        <v>872.33443355930046</v>
      </c>
      <c r="L525" s="304">
        <f t="shared" ca="1" si="232"/>
        <v>1080.7855118625646</v>
      </c>
      <c r="M525" s="306">
        <f t="shared" ca="1" si="248"/>
        <v>-1.5110738718474963</v>
      </c>
      <c r="N525" s="304">
        <f t="shared" ca="1" si="249"/>
        <v>-86.578155389353768</v>
      </c>
      <c r="P525" s="310">
        <f t="shared" ca="1" si="250"/>
        <v>23</v>
      </c>
      <c r="Q525" s="304">
        <f t="shared" ca="1" si="251"/>
        <v>0</v>
      </c>
      <c r="R525" s="306">
        <f t="shared" ca="1" si="252"/>
        <v>0</v>
      </c>
      <c r="S525" s="307">
        <f t="shared" ca="1" si="253"/>
        <v>2.0842999999999985</v>
      </c>
      <c r="T525" s="304">
        <f t="shared" ca="1" si="233"/>
        <v>20.446982999999985</v>
      </c>
      <c r="U525" s="311">
        <f t="shared" ca="1" si="234"/>
        <v>0</v>
      </c>
      <c r="V525" s="306">
        <f t="shared" ca="1" si="235"/>
        <v>1.1226051591630315</v>
      </c>
      <c r="W525" s="304">
        <f t="shared" ca="1" si="236"/>
        <v>17.090509446857045</v>
      </c>
      <c r="Y525" s="314" t="str">
        <f t="shared" ca="1" si="254"/>
        <v/>
      </c>
      <c r="Z525" s="315" t="str">
        <f t="shared" ca="1" si="255"/>
        <v/>
      </c>
      <c r="AA525" s="316" t="str">
        <f t="shared" ca="1" si="256"/>
        <v/>
      </c>
      <c r="AC525" s="310" t="e">
        <f t="shared" ca="1" si="257"/>
        <v>#N/A</v>
      </c>
      <c r="AD525" s="323" t="e">
        <f t="shared" ca="1" si="258"/>
        <v>#N/A</v>
      </c>
      <c r="AE525" s="324" t="e">
        <f t="shared" ca="1" si="237"/>
        <v>#N/A</v>
      </c>
      <c r="AG525" s="306">
        <f t="shared" ca="1" si="259"/>
        <v>1.6248448163730522</v>
      </c>
      <c r="AH525" s="304">
        <f t="shared" ca="1" si="260"/>
        <v>-8.1673696856913232</v>
      </c>
    </row>
    <row r="526" spans="1:34" x14ac:dyDescent="0.25">
      <c r="A526" s="347">
        <f t="shared" ca="1" si="238"/>
        <v>0.1</v>
      </c>
      <c r="B526" s="304">
        <f t="shared" ca="1" si="239"/>
        <v>39.900000000000269</v>
      </c>
      <c r="D526" s="306">
        <f t="shared" ca="1" si="240"/>
        <v>-0.48941156694748278</v>
      </c>
      <c r="E526" s="307">
        <f t="shared" ca="1" si="241"/>
        <v>-1.6249788739629647</v>
      </c>
      <c r="F526" s="304">
        <f t="shared" ca="1" si="242"/>
        <v>1.6970798515944781</v>
      </c>
      <c r="G526" s="306">
        <f t="shared" ca="1" si="243"/>
        <v>6.9593184537045136</v>
      </c>
      <c r="H526" s="307">
        <f t="shared" ca="1" si="244"/>
        <v>-117.37009337936286</v>
      </c>
      <c r="I526" s="304">
        <f t="shared" ca="1" si="245"/>
        <v>117.57623455962701</v>
      </c>
      <c r="J526" s="306">
        <f t="shared" ca="1" si="246"/>
        <v>638.76574108277941</v>
      </c>
      <c r="K526" s="307">
        <f t="shared" ca="1" si="247"/>
        <v>860.60554911573399</v>
      </c>
      <c r="L526" s="304">
        <f t="shared" ca="1" si="232"/>
        <v>1071.7572407732202</v>
      </c>
      <c r="M526" s="306">
        <f t="shared" ca="1" si="248"/>
        <v>-1.5115718713707769</v>
      </c>
      <c r="N526" s="304">
        <f t="shared" ca="1" si="249"/>
        <v>-86.606688660237268</v>
      </c>
      <c r="P526" s="310">
        <f t="shared" ca="1" si="250"/>
        <v>23</v>
      </c>
      <c r="Q526" s="304">
        <f t="shared" ca="1" si="251"/>
        <v>0</v>
      </c>
      <c r="R526" s="306">
        <f t="shared" ca="1" si="252"/>
        <v>0</v>
      </c>
      <c r="S526" s="307">
        <f t="shared" ca="1" si="253"/>
        <v>2.0842999999999985</v>
      </c>
      <c r="T526" s="304">
        <f t="shared" ca="1" si="233"/>
        <v>20.446982999999985</v>
      </c>
      <c r="U526" s="311">
        <f t="shared" ca="1" si="234"/>
        <v>0</v>
      </c>
      <c r="V526" s="306">
        <f t="shared" ca="1" si="235"/>
        <v>1.1239251011736364</v>
      </c>
      <c r="W526" s="304">
        <f t="shared" ca="1" si="236"/>
        <v>17.157064214575577</v>
      </c>
      <c r="Y526" s="314" t="str">
        <f t="shared" ca="1" si="254"/>
        <v/>
      </c>
      <c r="Z526" s="315" t="str">
        <f t="shared" ca="1" si="255"/>
        <v/>
      </c>
      <c r="AA526" s="316" t="str">
        <f t="shared" ca="1" si="256"/>
        <v/>
      </c>
      <c r="AC526" s="310" t="e">
        <f t="shared" ca="1" si="257"/>
        <v>#N/A</v>
      </c>
      <c r="AD526" s="323" t="e">
        <f t="shared" ca="1" si="258"/>
        <v>#N/A</v>
      </c>
      <c r="AE526" s="324" t="e">
        <f t="shared" ca="1" si="237"/>
        <v>#N/A</v>
      </c>
      <c r="AG526" s="306">
        <f t="shared" ca="1" si="259"/>
        <v>1.5928702830445882</v>
      </c>
      <c r="AH526" s="304">
        <f t="shared" ca="1" si="260"/>
        <v>-8.199639901577056</v>
      </c>
    </row>
    <row r="527" spans="1:34" x14ac:dyDescent="0.25">
      <c r="A527" s="347">
        <f t="shared" ca="1" si="238"/>
        <v>0.1</v>
      </c>
      <c r="B527" s="304">
        <f t="shared" ca="1" si="239"/>
        <v>40.00000000000027</v>
      </c>
      <c r="D527" s="306">
        <f t="shared" ca="1" si="240"/>
        <v>-0.48722538853010144</v>
      </c>
      <c r="E527" s="307">
        <f t="shared" ca="1" si="241"/>
        <v>-1.5928606739308204</v>
      </c>
      <c r="F527" s="304">
        <f t="shared" ca="1" si="242"/>
        <v>1.6657111711769408</v>
      </c>
      <c r="G527" s="306">
        <f t="shared" ca="1" si="243"/>
        <v>6.9105959148515037</v>
      </c>
      <c r="H527" s="307">
        <f t="shared" ca="1" si="244"/>
        <v>-117.52937944675594</v>
      </c>
      <c r="I527" s="304">
        <f t="shared" ca="1" si="245"/>
        <v>117.73237179738587</v>
      </c>
      <c r="J527" s="306">
        <f t="shared" ca="1" si="246"/>
        <v>639.45923680120723</v>
      </c>
      <c r="K527" s="307">
        <f t="shared" ca="1" si="247"/>
        <v>848.86057547442806</v>
      </c>
      <c r="L527" s="304">
        <f t="shared" ca="1" si="232"/>
        <v>1062.7663864298493</v>
      </c>
      <c r="M527" s="306">
        <f t="shared" ca="1" si="248"/>
        <v>-1.5120650682207704</v>
      </c>
      <c r="N527" s="304">
        <f t="shared" ca="1" si="249"/>
        <v>-86.634946758211044</v>
      </c>
      <c r="P527" s="310">
        <f t="shared" ca="1" si="250"/>
        <v>23</v>
      </c>
      <c r="Q527" s="304">
        <f t="shared" ca="1" si="251"/>
        <v>0</v>
      </c>
      <c r="R527" s="306">
        <f t="shared" ca="1" si="252"/>
        <v>0</v>
      </c>
      <c r="S527" s="307">
        <f t="shared" ca="1" si="253"/>
        <v>2.0842999999999985</v>
      </c>
      <c r="T527" s="304">
        <f t="shared" ca="1" si="233"/>
        <v>20.446982999999985</v>
      </c>
      <c r="U527" s="311">
        <f t="shared" ca="1" si="234"/>
        <v>0</v>
      </c>
      <c r="V527" s="306">
        <f t="shared" ca="1" si="235"/>
        <v>1.1252483419953025</v>
      </c>
      <c r="W527" s="304">
        <f t="shared" ca="1" si="236"/>
        <v>17.22291583053174</v>
      </c>
      <c r="Y527" s="314" t="str">
        <f t="shared" ca="1" si="254"/>
        <v/>
      </c>
      <c r="Z527" s="315" t="str">
        <f t="shared" ca="1" si="255"/>
        <v/>
      </c>
      <c r="AA527" s="316" t="str">
        <f t="shared" ca="1" si="256"/>
        <v/>
      </c>
      <c r="AC527" s="310">
        <f t="shared" ca="1" si="257"/>
        <v>40.00000000000027</v>
      </c>
      <c r="AD527" s="323">
        <f t="shared" ca="1" si="258"/>
        <v>639.45923680120723</v>
      </c>
      <c r="AE527" s="324" t="e">
        <f t="shared" ca="1" si="237"/>
        <v>#N/A</v>
      </c>
      <c r="AG527" s="306">
        <f t="shared" ca="1" si="259"/>
        <v>1.5612291896367285</v>
      </c>
      <c r="AH527" s="304">
        <f t="shared" ca="1" si="260"/>
        <v>-8.2315713738788023</v>
      </c>
    </row>
    <row r="528" spans="1:34" x14ac:dyDescent="0.25">
      <c r="A528" s="347">
        <f t="shared" ca="1" si="238"/>
        <v>0.1</v>
      </c>
      <c r="B528" s="304">
        <f t="shared" ca="1" si="239"/>
        <v>40.100000000000271</v>
      </c>
      <c r="D528" s="306">
        <f t="shared" ca="1" si="240"/>
        <v>-0.48502715783469169</v>
      </c>
      <c r="E528" s="307">
        <f t="shared" ca="1" si="241"/>
        <v>-1.5610817333963531</v>
      </c>
      <c r="F528" s="304">
        <f t="shared" ca="1" si="242"/>
        <v>1.6346949324509945</v>
      </c>
      <c r="G528" s="306">
        <f t="shared" ca="1" si="243"/>
        <v>6.8620931990680347</v>
      </c>
      <c r="H528" s="307">
        <f t="shared" ca="1" si="244"/>
        <v>-117.68548762009557</v>
      </c>
      <c r="I528" s="304">
        <f t="shared" ca="1" si="245"/>
        <v>117.88537788654013</v>
      </c>
      <c r="J528" s="306">
        <f t="shared" ca="1" si="246"/>
        <v>640.14787125690316</v>
      </c>
      <c r="K528" s="307">
        <f t="shared" ca="1" si="247"/>
        <v>837.09983212108546</v>
      </c>
      <c r="L528" s="304">
        <f t="shared" ca="1" si="232"/>
        <v>1053.8147019338335</v>
      </c>
      <c r="M528" s="306">
        <f t="shared" ca="1" si="248"/>
        <v>-1.5125535278669062</v>
      </c>
      <c r="N528" s="304">
        <f t="shared" ca="1" si="249"/>
        <v>-86.662933434397075</v>
      </c>
      <c r="P528" s="310">
        <f t="shared" ca="1" si="250"/>
        <v>23</v>
      </c>
      <c r="Q528" s="304">
        <f t="shared" ca="1" si="251"/>
        <v>0</v>
      </c>
      <c r="R528" s="306">
        <f t="shared" ca="1" si="252"/>
        <v>0</v>
      </c>
      <c r="S528" s="307">
        <f t="shared" ca="1" si="253"/>
        <v>2.0842999999999985</v>
      </c>
      <c r="T528" s="304">
        <f t="shared" ca="1" si="233"/>
        <v>20.446982999999985</v>
      </c>
      <c r="U528" s="311">
        <f t="shared" ca="1" si="234"/>
        <v>0</v>
      </c>
      <c r="V528" s="306">
        <f t="shared" ca="1" si="235"/>
        <v>1.1265748542157896</v>
      </c>
      <c r="W528" s="304">
        <f t="shared" ca="1" si="236"/>
        <v>17.288067287988756</v>
      </c>
      <c r="Y528" s="314" t="str">
        <f t="shared" ca="1" si="254"/>
        <v/>
      </c>
      <c r="Z528" s="315" t="str">
        <f t="shared" ca="1" si="255"/>
        <v/>
      </c>
      <c r="AA528" s="316" t="str">
        <f t="shared" ca="1" si="256"/>
        <v/>
      </c>
      <c r="AC528" s="310" t="e">
        <f t="shared" ca="1" si="257"/>
        <v>#N/A</v>
      </c>
      <c r="AD528" s="323" t="e">
        <f t="shared" ca="1" si="258"/>
        <v>#N/A</v>
      </c>
      <c r="AE528" s="324" t="e">
        <f t="shared" ca="1" si="237"/>
        <v>#N/A</v>
      </c>
      <c r="AG528" s="306">
        <f t="shared" ca="1" si="259"/>
        <v>1.5299202585181799</v>
      </c>
      <c r="AH528" s="304">
        <f t="shared" ca="1" si="260"/>
        <v>-8.2631654898679425</v>
      </c>
    </row>
    <row r="529" spans="1:34" x14ac:dyDescent="0.25">
      <c r="A529" s="347">
        <f t="shared" ca="1" si="238"/>
        <v>0.1</v>
      </c>
      <c r="B529" s="304">
        <f t="shared" ca="1" si="239"/>
        <v>40.200000000000273</v>
      </c>
      <c r="D529" s="306">
        <f t="shared" ca="1" si="240"/>
        <v>-0.48281737212761106</v>
      </c>
      <c r="E529" s="307">
        <f t="shared" ca="1" si="241"/>
        <v>-1.5296406079112881</v>
      </c>
      <c r="F529" s="304">
        <f t="shared" ca="1" si="242"/>
        <v>1.6040302379317628</v>
      </c>
      <c r="G529" s="306">
        <f t="shared" ca="1" si="243"/>
        <v>6.8138114618552734</v>
      </c>
      <c r="H529" s="307">
        <f t="shared" ca="1" si="244"/>
        <v>-117.83845168088671</v>
      </c>
      <c r="I529" s="304">
        <f t="shared" ca="1" si="245"/>
        <v>118.03528591563787</v>
      </c>
      <c r="J529" s="306">
        <f t="shared" ca="1" si="246"/>
        <v>640.83166648994927</v>
      </c>
      <c r="K529" s="307">
        <f t="shared" ca="1" si="247"/>
        <v>825.32363515603629</v>
      </c>
      <c r="L529" s="304">
        <f t="shared" ca="1" si="232"/>
        <v>1044.9039800495832</v>
      </c>
      <c r="M529" s="306">
        <f t="shared" ca="1" si="248"/>
        <v>-1.5130373144726788</v>
      </c>
      <c r="N529" s="304">
        <f t="shared" ca="1" si="249"/>
        <v>-86.690652365092802</v>
      </c>
      <c r="P529" s="310">
        <f t="shared" ca="1" si="250"/>
        <v>23</v>
      </c>
      <c r="Q529" s="304">
        <f t="shared" ca="1" si="251"/>
        <v>0</v>
      </c>
      <c r="R529" s="306">
        <f t="shared" ca="1" si="252"/>
        <v>0</v>
      </c>
      <c r="S529" s="307">
        <f t="shared" ca="1" si="253"/>
        <v>2.0842999999999985</v>
      </c>
      <c r="T529" s="304">
        <f t="shared" ca="1" si="233"/>
        <v>20.446982999999985</v>
      </c>
      <c r="U529" s="311">
        <f t="shared" ca="1" si="234"/>
        <v>0</v>
      </c>
      <c r="V529" s="306">
        <f t="shared" ca="1" si="235"/>
        <v>1.1279046106770316</v>
      </c>
      <c r="W529" s="304">
        <f t="shared" ca="1" si="236"/>
        <v>17.352521678570611</v>
      </c>
      <c r="Y529" s="314" t="str">
        <f t="shared" ca="1" si="254"/>
        <v/>
      </c>
      <c r="Z529" s="315" t="str">
        <f t="shared" ca="1" si="255"/>
        <v/>
      </c>
      <c r="AA529" s="316" t="str">
        <f t="shared" ca="1" si="256"/>
        <v/>
      </c>
      <c r="AC529" s="310" t="e">
        <f t="shared" ca="1" si="257"/>
        <v>#N/A</v>
      </c>
      <c r="AD529" s="323" t="e">
        <f t="shared" ca="1" si="258"/>
        <v>#N/A</v>
      </c>
      <c r="AE529" s="324" t="e">
        <f t="shared" ca="1" si="237"/>
        <v>#N/A</v>
      </c>
      <c r="AG529" s="306">
        <f t="shared" ca="1" si="259"/>
        <v>1.4989421604937316</v>
      </c>
      <c r="AH529" s="304">
        <f t="shared" ca="1" si="260"/>
        <v>-8.2944236856444693</v>
      </c>
    </row>
    <row r="530" spans="1:34" x14ac:dyDescent="0.25">
      <c r="A530" s="347">
        <f t="shared" ca="1" si="238"/>
        <v>0.1</v>
      </c>
      <c r="B530" s="304">
        <f t="shared" ca="1" si="239"/>
        <v>40.300000000000274</v>
      </c>
      <c r="D530" s="306">
        <f t="shared" ca="1" si="240"/>
        <v>-0.48059652163509387</v>
      </c>
      <c r="E530" s="307">
        <f t="shared" ca="1" si="241"/>
        <v>-1.49853580558581</v>
      </c>
      <c r="F530" s="304">
        <f t="shared" ca="1" si="242"/>
        <v>1.5737161679383178</v>
      </c>
      <c r="G530" s="306">
        <f t="shared" ca="1" si="243"/>
        <v>6.7657518096917642</v>
      </c>
      <c r="H530" s="307">
        <f t="shared" ca="1" si="244"/>
        <v>-117.98830526144529</v>
      </c>
      <c r="I530" s="304">
        <f t="shared" ca="1" si="245"/>
        <v>118.18212883519381</v>
      </c>
      <c r="J530" s="306">
        <f t="shared" ca="1" si="246"/>
        <v>641.51064465352658</v>
      </c>
      <c r="K530" s="307">
        <f t="shared" ca="1" si="247"/>
        <v>813.53229730891974</v>
      </c>
      <c r="L530" s="304">
        <f t="shared" ca="1" si="232"/>
        <v>1036.0360543767345</v>
      </c>
      <c r="M530" s="306">
        <f t="shared" ca="1" si="248"/>
        <v>-1.5135164909289336</v>
      </c>
      <c r="N530" s="304">
        <f t="shared" ca="1" si="249"/>
        <v>-86.718107153678247</v>
      </c>
      <c r="P530" s="310">
        <f t="shared" ca="1" si="250"/>
        <v>23</v>
      </c>
      <c r="Q530" s="304">
        <f t="shared" ca="1" si="251"/>
        <v>0</v>
      </c>
      <c r="R530" s="306">
        <f t="shared" ca="1" si="252"/>
        <v>0</v>
      </c>
      <c r="S530" s="307">
        <f t="shared" ca="1" si="253"/>
        <v>2.0842999999999985</v>
      </c>
      <c r="T530" s="304">
        <f t="shared" ca="1" si="233"/>
        <v>20.446982999999985</v>
      </c>
      <c r="U530" s="311">
        <f t="shared" ca="1" si="234"/>
        <v>0</v>
      </c>
      <c r="V530" s="306">
        <f t="shared" ca="1" si="235"/>
        <v>1.1292375844745701</v>
      </c>
      <c r="W530" s="304">
        <f t="shared" ca="1" si="236"/>
        <v>17.416282188897238</v>
      </c>
      <c r="Y530" s="314" t="str">
        <f t="shared" ca="1" si="254"/>
        <v/>
      </c>
      <c r="Z530" s="315" t="str">
        <f t="shared" ca="1" si="255"/>
        <v/>
      </c>
      <c r="AA530" s="316" t="str">
        <f t="shared" ca="1" si="256"/>
        <v/>
      </c>
      <c r="AC530" s="310" t="e">
        <f t="shared" ca="1" si="257"/>
        <v>#N/A</v>
      </c>
      <c r="AD530" s="323" t="e">
        <f t="shared" ca="1" si="258"/>
        <v>#N/A</v>
      </c>
      <c r="AE530" s="324" t="e">
        <f t="shared" ca="1" si="237"/>
        <v>#N/A</v>
      </c>
      <c r="AG530" s="306">
        <f t="shared" ca="1" si="259"/>
        <v>1.4682935165237403</v>
      </c>
      <c r="AH530" s="304">
        <f t="shared" ca="1" si="260"/>
        <v>-8.325347444499652</v>
      </c>
    </row>
    <row r="531" spans="1:34" x14ac:dyDescent="0.25">
      <c r="A531" s="347">
        <f t="shared" ca="1" si="238"/>
        <v>0.1</v>
      </c>
      <c r="B531" s="304">
        <f t="shared" ca="1" si="239"/>
        <v>40.400000000000276</v>
      </c>
      <c r="D531" s="306">
        <f t="shared" ca="1" si="240"/>
        <v>-0.47836508954706214</v>
      </c>
      <c r="E531" s="307">
        <f t="shared" ca="1" si="241"/>
        <v>-1.4677657887115494</v>
      </c>
      <c r="F531" s="304">
        <f t="shared" ca="1" si="242"/>
        <v>1.5437517836133521</v>
      </c>
      <c r="G531" s="306">
        <f t="shared" ca="1" si="243"/>
        <v>6.717915300737058</v>
      </c>
      <c r="H531" s="307">
        <f t="shared" ca="1" si="244"/>
        <v>-118.13508184031645</v>
      </c>
      <c r="I531" s="304">
        <f t="shared" ca="1" si="245"/>
        <v>118.32593945287796</v>
      </c>
      <c r="J531" s="306">
        <f t="shared" ca="1" si="246"/>
        <v>642.18482800904803</v>
      </c>
      <c r="K531" s="307">
        <f t="shared" ca="1" si="247"/>
        <v>801.72612795383168</v>
      </c>
      <c r="L531" s="304">
        <f t="shared" ca="1" si="232"/>
        <v>1027.2128005281352</v>
      </c>
      <c r="M531" s="306">
        <f t="shared" ca="1" si="248"/>
        <v>-1.5139911188861557</v>
      </c>
      <c r="N531" s="304">
        <f t="shared" ca="1" si="249"/>
        <v>-86.745301332465985</v>
      </c>
      <c r="P531" s="310">
        <f t="shared" ca="1" si="250"/>
        <v>23</v>
      </c>
      <c r="Q531" s="304">
        <f t="shared" ca="1" si="251"/>
        <v>0</v>
      </c>
      <c r="R531" s="306">
        <f t="shared" ca="1" si="252"/>
        <v>0</v>
      </c>
      <c r="S531" s="307">
        <f t="shared" ca="1" si="253"/>
        <v>2.0842999999999985</v>
      </c>
      <c r="T531" s="304">
        <f t="shared" ca="1" si="233"/>
        <v>20.446982999999985</v>
      </c>
      <c r="U531" s="311">
        <f t="shared" ca="1" si="234"/>
        <v>0</v>
      </c>
      <c r="V531" s="306">
        <f t="shared" ca="1" si="235"/>
        <v>1.1305737489569525</v>
      </c>
      <c r="W531" s="304">
        <f t="shared" ca="1" si="236"/>
        <v>17.479352097268265</v>
      </c>
      <c r="Y531" s="314" t="str">
        <f t="shared" ca="1" si="254"/>
        <v/>
      </c>
      <c r="Z531" s="315" t="str">
        <f t="shared" ca="1" si="255"/>
        <v/>
      </c>
      <c r="AA531" s="316" t="str">
        <f t="shared" ca="1" si="256"/>
        <v/>
      </c>
      <c r="AC531" s="310" t="e">
        <f t="shared" ca="1" si="257"/>
        <v>#N/A</v>
      </c>
      <c r="AD531" s="323" t="e">
        <f t="shared" ca="1" si="258"/>
        <v>#N/A</v>
      </c>
      <c r="AE531" s="324" t="e">
        <f t="shared" ca="1" si="237"/>
        <v>#N/A</v>
      </c>
      <c r="AG531" s="306">
        <f t="shared" ca="1" si="259"/>
        <v>1.437972899417769</v>
      </c>
      <c r="AH531" s="304">
        <f t="shared" ca="1" si="260"/>
        <v>-8.3559382953016605</v>
      </c>
    </row>
    <row r="532" spans="1:34" x14ac:dyDescent="0.25">
      <c r="A532" s="347">
        <f t="shared" ca="1" si="238"/>
        <v>0.1</v>
      </c>
      <c r="B532" s="304">
        <f t="shared" ca="1" si="239"/>
        <v>40.500000000000277</v>
      </c>
      <c r="D532" s="306">
        <f t="shared" ca="1" si="240"/>
        <v>-0.47612355202401735</v>
      </c>
      <c r="E532" s="307">
        <f t="shared" ca="1" si="241"/>
        <v>-1.4373289753611065</v>
      </c>
      <c r="F532" s="304">
        <f t="shared" ca="1" si="242"/>
        <v>1.5141361300109628</v>
      </c>
      <c r="G532" s="306">
        <f t="shared" ca="1" si="243"/>
        <v>6.6703029455346563</v>
      </c>
      <c r="H532" s="307">
        <f t="shared" ca="1" si="244"/>
        <v>-118.27881473785256</v>
      </c>
      <c r="I532" s="304">
        <f t="shared" ca="1" si="245"/>
        <v>118.46675042887121</v>
      </c>
      <c r="J532" s="306">
        <f t="shared" ca="1" si="246"/>
        <v>642.85423892136157</v>
      </c>
      <c r="K532" s="307">
        <f t="shared" ca="1" si="247"/>
        <v>789.90543312492321</v>
      </c>
      <c r="L532" s="304">
        <f t="shared" ca="1" si="232"/>
        <v>1018.4361373102564</v>
      </c>
      <c r="M532" s="306">
        <f t="shared" ca="1" si="248"/>
        <v>-1.5144612587857971</v>
      </c>
      <c r="N532" s="304">
        <f t="shared" ca="1" si="249"/>
        <v>-86.772238364496133</v>
      </c>
      <c r="P532" s="310">
        <f t="shared" ca="1" si="250"/>
        <v>23</v>
      </c>
      <c r="Q532" s="304">
        <f t="shared" ca="1" si="251"/>
        <v>0</v>
      </c>
      <c r="R532" s="306">
        <f t="shared" ca="1" si="252"/>
        <v>0</v>
      </c>
      <c r="S532" s="307">
        <f t="shared" ca="1" si="253"/>
        <v>2.0842999999999985</v>
      </c>
      <c r="T532" s="304">
        <f t="shared" ca="1" si="233"/>
        <v>20.446982999999985</v>
      </c>
      <c r="U532" s="311">
        <f t="shared" ca="1" si="234"/>
        <v>0</v>
      </c>
      <c r="V532" s="306">
        <f t="shared" ca="1" si="235"/>
        <v>1.1319130777250883</v>
      </c>
      <c r="W532" s="304">
        <f t="shared" ca="1" si="236"/>
        <v>17.54173477039577</v>
      </c>
      <c r="Y532" s="314" t="str">
        <f t="shared" ca="1" si="254"/>
        <v/>
      </c>
      <c r="Z532" s="315" t="str">
        <f t="shared" ca="1" si="255"/>
        <v/>
      </c>
      <c r="AA532" s="316" t="str">
        <f t="shared" ca="1" si="256"/>
        <v/>
      </c>
      <c r="AC532" s="310" t="e">
        <f t="shared" ca="1" si="257"/>
        <v>#N/A</v>
      </c>
      <c r="AD532" s="323" t="e">
        <f t="shared" ca="1" si="258"/>
        <v>#N/A</v>
      </c>
      <c r="AE532" s="324" t="e">
        <f t="shared" ca="1" si="237"/>
        <v>#N/A</v>
      </c>
      <c r="AG532" s="306">
        <f t="shared" ca="1" si="259"/>
        <v>1.4079788355021332</v>
      </c>
      <c r="AH532" s="304">
        <f t="shared" ca="1" si="260"/>
        <v>-8.3861978109045143</v>
      </c>
    </row>
    <row r="533" spans="1:34" x14ac:dyDescent="0.25">
      <c r="A533" s="347">
        <f t="shared" ca="1" si="238"/>
        <v>0.1</v>
      </c>
      <c r="B533" s="304">
        <f t="shared" ca="1" si="239"/>
        <v>40.600000000000279</v>
      </c>
      <c r="D533" s="306">
        <f t="shared" ca="1" si="240"/>
        <v>-0.47387237820687544</v>
      </c>
      <c r="E533" s="307">
        <f t="shared" ca="1" si="241"/>
        <v>-1.4072237409639818</v>
      </c>
      <c r="F533" s="304">
        <f t="shared" ca="1" si="242"/>
        <v>1.4848682392589936</v>
      </c>
      <c r="G533" s="306">
        <f t="shared" ca="1" si="243"/>
        <v>6.6229157077139691</v>
      </c>
      <c r="H533" s="307">
        <f t="shared" ca="1" si="244"/>
        <v>-118.41953711194896</v>
      </c>
      <c r="I533" s="304">
        <f t="shared" ca="1" si="245"/>
        <v>118.60459427138453</v>
      </c>
      <c r="J533" s="306">
        <f t="shared" ca="1" si="246"/>
        <v>643.51889985402397</v>
      </c>
      <c r="K533" s="307">
        <f t="shared" ca="1" si="247"/>
        <v>778.07051553243309</v>
      </c>
      <c r="L533" s="304">
        <f t="shared" ca="1" si="232"/>
        <v>1009.7080279022445</v>
      </c>
      <c r="M533" s="306">
        <f t="shared" ca="1" si="248"/>
        <v>-1.5149269698906729</v>
      </c>
      <c r="N533" s="304">
        <f t="shared" ca="1" si="249"/>
        <v>-86.7989216452779</v>
      </c>
      <c r="P533" s="310">
        <f t="shared" ca="1" si="250"/>
        <v>23</v>
      </c>
      <c r="Q533" s="304">
        <f t="shared" ca="1" si="251"/>
        <v>0</v>
      </c>
      <c r="R533" s="306">
        <f t="shared" ca="1" si="252"/>
        <v>0</v>
      </c>
      <c r="S533" s="307">
        <f t="shared" ca="1" si="253"/>
        <v>2.0842999999999985</v>
      </c>
      <c r="T533" s="304">
        <f t="shared" ca="1" si="233"/>
        <v>20.446982999999985</v>
      </c>
      <c r="U533" s="311">
        <f t="shared" ca="1" si="234"/>
        <v>0</v>
      </c>
      <c r="V533" s="306">
        <f t="shared" ca="1" si="235"/>
        <v>1.1332555446315651</v>
      </c>
      <c r="W533" s="304">
        <f t="shared" ca="1" si="236"/>
        <v>17.603433660186401</v>
      </c>
      <c r="Y533" s="314" t="str">
        <f t="shared" ca="1" si="254"/>
        <v/>
      </c>
      <c r="Z533" s="315" t="str">
        <f t="shared" ca="1" si="255"/>
        <v/>
      </c>
      <c r="AA533" s="316" t="str">
        <f t="shared" ca="1" si="256"/>
        <v/>
      </c>
      <c r="AC533" s="310" t="e">
        <f t="shared" ca="1" si="257"/>
        <v>#N/A</v>
      </c>
      <c r="AD533" s="323" t="e">
        <f t="shared" ca="1" si="258"/>
        <v>#N/A</v>
      </c>
      <c r="AE533" s="324" t="e">
        <f t="shared" ca="1" si="237"/>
        <v>#N/A</v>
      </c>
      <c r="AG533" s="306">
        <f t="shared" ca="1" si="259"/>
        <v>1.3783098062613224</v>
      </c>
      <c r="AH533" s="304">
        <f t="shared" ca="1" si="260"/>
        <v>-8.4161276065805222</v>
      </c>
    </row>
    <row r="534" spans="1:34" x14ac:dyDescent="0.25">
      <c r="A534" s="347">
        <f t="shared" ca="1" si="238"/>
        <v>0.1</v>
      </c>
      <c r="B534" s="304">
        <f t="shared" ca="1" si="239"/>
        <v>40.70000000000028</v>
      </c>
      <c r="D534" s="306">
        <f t="shared" ca="1" si="240"/>
        <v>-0.47161203022968901</v>
      </c>
      <c r="E534" s="307">
        <f t="shared" ca="1" si="241"/>
        <v>-1.3774484198586681</v>
      </c>
      <c r="F534" s="304">
        <f t="shared" ca="1" si="242"/>
        <v>1.4559471338027732</v>
      </c>
      <c r="G534" s="306">
        <f t="shared" ca="1" si="243"/>
        <v>6.575754504691</v>
      </c>
      <c r="H534" s="307">
        <f t="shared" ca="1" si="244"/>
        <v>-118.55728195393482</v>
      </c>
      <c r="I534" s="304">
        <f t="shared" ca="1" si="245"/>
        <v>118.73950333233992</v>
      </c>
      <c r="J534" s="306">
        <f t="shared" ca="1" si="246"/>
        <v>644.17883336464422</v>
      </c>
      <c r="K534" s="307">
        <f t="shared" ca="1" si="247"/>
        <v>766.22167457913895</v>
      </c>
      <c r="L534" s="304">
        <f t="shared" ca="1" si="232"/>
        <v>1001.030481029371</v>
      </c>
      <c r="M534" s="306">
        <f t="shared" ca="1" si="248"/>
        <v>-1.5153883103144601</v>
      </c>
      <c r="N534" s="304">
        <f t="shared" ca="1" si="249"/>
        <v>-86.825354504479677</v>
      </c>
      <c r="P534" s="310">
        <f t="shared" ca="1" si="250"/>
        <v>23</v>
      </c>
      <c r="Q534" s="304">
        <f t="shared" ca="1" si="251"/>
        <v>0</v>
      </c>
      <c r="R534" s="306">
        <f t="shared" ca="1" si="252"/>
        <v>0</v>
      </c>
      <c r="S534" s="307">
        <f t="shared" ca="1" si="253"/>
        <v>2.0842999999999985</v>
      </c>
      <c r="T534" s="304">
        <f t="shared" ca="1" si="233"/>
        <v>20.446982999999985</v>
      </c>
      <c r="U534" s="311">
        <f t="shared" ca="1" si="234"/>
        <v>0</v>
      </c>
      <c r="V534" s="306">
        <f t="shared" ca="1" si="235"/>
        <v>1.1346011237799265</v>
      </c>
      <c r="W534" s="304">
        <f t="shared" ca="1" si="236"/>
        <v>17.664452300573291</v>
      </c>
      <c r="Y534" s="314" t="str">
        <f t="shared" ca="1" si="254"/>
        <v/>
      </c>
      <c r="Z534" s="315" t="str">
        <f t="shared" ca="1" si="255"/>
        <v/>
      </c>
      <c r="AA534" s="316" t="str">
        <f t="shared" ca="1" si="256"/>
        <v/>
      </c>
      <c r="AC534" s="310" t="e">
        <f t="shared" ca="1" si="257"/>
        <v>#N/A</v>
      </c>
      <c r="AD534" s="323" t="e">
        <f t="shared" ca="1" si="258"/>
        <v>#N/A</v>
      </c>
      <c r="AE534" s="324" t="e">
        <f t="shared" ca="1" si="237"/>
        <v>#N/A</v>
      </c>
      <c r="AG534" s="306">
        <f t="shared" ca="1" si="259"/>
        <v>1.3489642499531342</v>
      </c>
      <c r="AH534" s="304">
        <f t="shared" ca="1" si="260"/>
        <v>-8.4457293384764256</v>
      </c>
    </row>
    <row r="535" spans="1:34" x14ac:dyDescent="0.25">
      <c r="A535" s="347">
        <f t="shared" ca="1" si="238"/>
        <v>0.1</v>
      </c>
      <c r="B535" s="304">
        <f t="shared" ca="1" si="239"/>
        <v>40.800000000000281</v>
      </c>
      <c r="D535" s="306">
        <f t="shared" ca="1" si="240"/>
        <v>-0.46934296323513225</v>
      </c>
      <c r="E535" s="307">
        <f t="shared" ca="1" si="241"/>
        <v>-1.3480013068207608</v>
      </c>
      <c r="F535" s="304">
        <f t="shared" ca="1" si="242"/>
        <v>1.4273718297377225</v>
      </c>
      <c r="G535" s="306">
        <f t="shared" ca="1" si="243"/>
        <v>6.5288202083674864</v>
      </c>
      <c r="H535" s="307">
        <f t="shared" ca="1" si="244"/>
        <v>-118.6920820846169</v>
      </c>
      <c r="I535" s="304">
        <f t="shared" ca="1" si="245"/>
        <v>118.87150980320989</v>
      </c>
      <c r="J535" s="306">
        <f t="shared" ca="1" si="246"/>
        <v>644.83406210029716</v>
      </c>
      <c r="K535" s="307">
        <f t="shared" ca="1" si="247"/>
        <v>754.35920637721131</v>
      </c>
      <c r="L535" s="304">
        <f t="shared" ca="1" si="232"/>
        <v>992.4055521261588</v>
      </c>
      <c r="M535" s="306">
        <f t="shared" ca="1" si="248"/>
        <v>-1.5158453370503293</v>
      </c>
      <c r="N535" s="304">
        <f t="shared" ca="1" si="249"/>
        <v>-86.851540207569627</v>
      </c>
      <c r="P535" s="310">
        <f t="shared" ca="1" si="250"/>
        <v>23</v>
      </c>
      <c r="Q535" s="304">
        <f t="shared" ca="1" si="251"/>
        <v>0</v>
      </c>
      <c r="R535" s="306">
        <f t="shared" ca="1" si="252"/>
        <v>0</v>
      </c>
      <c r="S535" s="307">
        <f t="shared" ca="1" si="253"/>
        <v>2.0842999999999985</v>
      </c>
      <c r="T535" s="304">
        <f t="shared" ca="1" si="233"/>
        <v>20.446982999999985</v>
      </c>
      <c r="U535" s="311">
        <f t="shared" ca="1" si="234"/>
        <v>0</v>
      </c>
      <c r="V535" s="306">
        <f t="shared" ca="1" si="235"/>
        <v>1.1359497895239148</v>
      </c>
      <c r="W535" s="304">
        <f t="shared" ca="1" si="236"/>
        <v>17.724794304398063</v>
      </c>
      <c r="Y535" s="314" t="str">
        <f t="shared" ca="1" si="254"/>
        <v/>
      </c>
      <c r="Z535" s="315" t="str">
        <f t="shared" ca="1" si="255"/>
        <v/>
      </c>
      <c r="AA535" s="316" t="str">
        <f t="shared" ca="1" si="256"/>
        <v/>
      </c>
      <c r="AC535" s="310" t="e">
        <f t="shared" ca="1" si="257"/>
        <v>#N/A</v>
      </c>
      <c r="AD535" s="323" t="e">
        <f t="shared" ca="1" si="258"/>
        <v>#N/A</v>
      </c>
      <c r="AE535" s="324" t="e">
        <f t="shared" ca="1" si="237"/>
        <v>#N/A</v>
      </c>
      <c r="AG535" s="306">
        <f t="shared" ca="1" si="259"/>
        <v>1.319940563197525</v>
      </c>
      <c r="AH535" s="304">
        <f t="shared" ca="1" si="260"/>
        <v>-8.4750047020934147</v>
      </c>
    </row>
    <row r="536" spans="1:34" x14ac:dyDescent="0.25">
      <c r="A536" s="347">
        <f t="shared" ca="1" si="238"/>
        <v>0.1</v>
      </c>
      <c r="B536" s="304">
        <f t="shared" ca="1" si="239"/>
        <v>40.900000000000283</v>
      </c>
      <c r="D536" s="306">
        <f t="shared" ca="1" si="240"/>
        <v>-0.46706562539266006</v>
      </c>
      <c r="E536" s="307">
        <f t="shared" ca="1" si="241"/>
        <v>-1.3188806585668864</v>
      </c>
      <c r="F536" s="304">
        <f t="shared" ca="1" si="242"/>
        <v>1.3991413402388126</v>
      </c>
      <c r="G536" s="306">
        <f t="shared" ca="1" si="243"/>
        <v>6.4821136458282202</v>
      </c>
      <c r="H536" s="307">
        <f t="shared" ca="1" si="244"/>
        <v>-118.82397015047358</v>
      </c>
      <c r="I536" s="304">
        <f t="shared" ca="1" si="245"/>
        <v>119.00064571101314</v>
      </c>
      <c r="J536" s="306">
        <f t="shared" ca="1" si="246"/>
        <v>645.48460879300694</v>
      </c>
      <c r="K536" s="307">
        <f t="shared" ca="1" si="247"/>
        <v>742.48340376545673</v>
      </c>
      <c r="L536" s="304">
        <f t="shared" ca="1" si="232"/>
        <v>983.835344483923</v>
      </c>
      <c r="M536" s="306">
        <f t="shared" ca="1" si="248"/>
        <v>-1.5162981059987366</v>
      </c>
      <c r="N536" s="304">
        <f t="shared" ca="1" si="249"/>
        <v>-86.877481957407937</v>
      </c>
      <c r="P536" s="310">
        <f t="shared" ca="1" si="250"/>
        <v>23</v>
      </c>
      <c r="Q536" s="304">
        <f t="shared" ca="1" si="251"/>
        <v>0</v>
      </c>
      <c r="R536" s="306">
        <f t="shared" ca="1" si="252"/>
        <v>0</v>
      </c>
      <c r="S536" s="307">
        <f t="shared" ca="1" si="253"/>
        <v>2.0842999999999985</v>
      </c>
      <c r="T536" s="304">
        <f t="shared" ca="1" si="233"/>
        <v>20.446982999999985</v>
      </c>
      <c r="U536" s="311">
        <f t="shared" ca="1" si="234"/>
        <v>0</v>
      </c>
      <c r="V536" s="306">
        <f t="shared" ca="1" si="235"/>
        <v>1.137301516466676</v>
      </c>
      <c r="W536" s="304">
        <f t="shared" ca="1" si="236"/>
        <v>17.784463360343199</v>
      </c>
      <c r="Y536" s="314" t="str">
        <f t="shared" ca="1" si="254"/>
        <v/>
      </c>
      <c r="Z536" s="315" t="str">
        <f t="shared" ca="1" si="255"/>
        <v/>
      </c>
      <c r="AA536" s="316" t="str">
        <f t="shared" ca="1" si="256"/>
        <v/>
      </c>
      <c r="AC536" s="310" t="e">
        <f t="shared" ca="1" si="257"/>
        <v>#N/A</v>
      </c>
      <c r="AD536" s="323" t="e">
        <f t="shared" ca="1" si="258"/>
        <v>#N/A</v>
      </c>
      <c r="AE536" s="324" t="e">
        <f t="shared" ca="1" si="237"/>
        <v>#N/A</v>
      </c>
      <c r="AG536" s="306">
        <f t="shared" ca="1" si="259"/>
        <v>1.2912371025390339</v>
      </c>
      <c r="AH536" s="304">
        <f t="shared" ca="1" si="260"/>
        <v>-8.5039554307911889</v>
      </c>
    </row>
    <row r="537" spans="1:34" x14ac:dyDescent="0.25">
      <c r="A537" s="347">
        <f t="shared" ca="1" si="238"/>
        <v>0.1</v>
      </c>
      <c r="B537" s="304">
        <f t="shared" ca="1" si="239"/>
        <v>41.000000000000284</v>
      </c>
      <c r="D537" s="306">
        <f t="shared" ca="1" si="240"/>
        <v>-0.46478045791926431</v>
      </c>
      <c r="E537" s="307">
        <f t="shared" ca="1" si="241"/>
        <v>-1.2900846952343539</v>
      </c>
      <c r="F537" s="304">
        <f t="shared" ca="1" si="242"/>
        <v>1.3712546790955926</v>
      </c>
      <c r="G537" s="306">
        <f t="shared" ca="1" si="243"/>
        <v>6.435635600036294</v>
      </c>
      <c r="H537" s="307">
        <f t="shared" ca="1" si="244"/>
        <v>-118.95297861999703</v>
      </c>
      <c r="I537" s="304">
        <f t="shared" ca="1" si="245"/>
        <v>119.12694291446383</v>
      </c>
      <c r="J537" s="306">
        <f t="shared" ca="1" si="246"/>
        <v>646.13049625530016</v>
      </c>
      <c r="K537" s="307">
        <f t="shared" ca="1" si="247"/>
        <v>730.59455632693323</v>
      </c>
      <c r="L537" s="304">
        <f t="shared" ca="1" si="232"/>
        <v>975.32201037691596</v>
      </c>
      <c r="M537" s="306">
        <f t="shared" ca="1" si="248"/>
        <v>-1.5167466719944076</v>
      </c>
      <c r="N537" s="304">
        <f t="shared" ca="1" si="249"/>
        <v>-86.903182895792966</v>
      </c>
      <c r="P537" s="310">
        <f t="shared" ca="1" si="250"/>
        <v>23</v>
      </c>
      <c r="Q537" s="304">
        <f t="shared" ca="1" si="251"/>
        <v>0</v>
      </c>
      <c r="R537" s="306">
        <f t="shared" ca="1" si="252"/>
        <v>0</v>
      </c>
      <c r="S537" s="307">
        <f t="shared" ca="1" si="253"/>
        <v>2.0842999999999985</v>
      </c>
      <c r="T537" s="304">
        <f t="shared" ca="1" si="233"/>
        <v>20.446982999999985</v>
      </c>
      <c r="U537" s="311">
        <f t="shared" ca="1" si="234"/>
        <v>0</v>
      </c>
      <c r="V537" s="306">
        <f t="shared" ca="1" si="235"/>
        <v>1.13865627945993</v>
      </c>
      <c r="W537" s="304">
        <f t="shared" ca="1" si="236"/>
        <v>17.843463229914974</v>
      </c>
      <c r="Y537" s="314" t="str">
        <f t="shared" ca="1" si="254"/>
        <v/>
      </c>
      <c r="Z537" s="315" t="str">
        <f t="shared" ca="1" si="255"/>
        <v/>
      </c>
      <c r="AA537" s="316" t="str">
        <f t="shared" ca="1" si="256"/>
        <v/>
      </c>
      <c r="AC537" s="310">
        <f t="shared" ca="1" si="257"/>
        <v>41.000000000000284</v>
      </c>
      <c r="AD537" s="323">
        <f t="shared" ca="1" si="258"/>
        <v>646.13049625530016</v>
      </c>
      <c r="AE537" s="324" t="e">
        <f t="shared" ca="1" si="237"/>
        <v>#N/A</v>
      </c>
      <c r="AG537" s="306">
        <f t="shared" ca="1" si="259"/>
        <v>1.2628521859827924</v>
      </c>
      <c r="AH537" s="304">
        <f t="shared" ca="1" si="260"/>
        <v>-8.5325832943161792</v>
      </c>
    </row>
    <row r="538" spans="1:34" x14ac:dyDescent="0.25">
      <c r="A538" s="347">
        <f t="shared" ca="1" si="238"/>
        <v>0.1</v>
      </c>
      <c r="B538" s="304">
        <f t="shared" ca="1" si="239"/>
        <v>41.100000000000286</v>
      </c>
      <c r="D538" s="306">
        <f t="shared" ca="1" si="240"/>
        <v>-0.4624878951026995</v>
      </c>
      <c r="E538" s="307">
        <f t="shared" ca="1" si="241"/>
        <v>-1.2616116018364245</v>
      </c>
      <c r="F538" s="304">
        <f t="shared" ca="1" si="242"/>
        <v>1.3437108643621196</v>
      </c>
      <c r="G538" s="306">
        <f t="shared" ca="1" si="243"/>
        <v>6.3893868105260241</v>
      </c>
      <c r="H538" s="307">
        <f t="shared" ca="1" si="244"/>
        <v>-119.07913978018067</v>
      </c>
      <c r="I538" s="304">
        <f t="shared" ca="1" si="245"/>
        <v>119.25043310027151</v>
      </c>
      <c r="J538" s="306">
        <f t="shared" ca="1" si="246"/>
        <v>646.77174737582823</v>
      </c>
      <c r="K538" s="307">
        <f t="shared" ca="1" si="247"/>
        <v>718.6929504069243</v>
      </c>
      <c r="L538" s="304">
        <f t="shared" ca="1" si="232"/>
        <v>966.867752160652</v>
      </c>
      <c r="M538" s="306">
        <f t="shared" ca="1" si="248"/>
        <v>-1.5171910888325375</v>
      </c>
      <c r="N538" s="304">
        <f t="shared" ca="1" si="249"/>
        <v>-86.928646104962368</v>
      </c>
      <c r="P538" s="310">
        <f t="shared" ca="1" si="250"/>
        <v>23</v>
      </c>
      <c r="Q538" s="304">
        <f t="shared" ca="1" si="251"/>
        <v>0</v>
      </c>
      <c r="R538" s="306">
        <f t="shared" ca="1" si="252"/>
        <v>0</v>
      </c>
      <c r="S538" s="307">
        <f t="shared" ca="1" si="253"/>
        <v>2.0842999999999985</v>
      </c>
      <c r="T538" s="304">
        <f t="shared" ca="1" si="233"/>
        <v>20.446982999999985</v>
      </c>
      <c r="U538" s="311">
        <f t="shared" ca="1" si="234"/>
        <v>0</v>
      </c>
      <c r="V538" s="306">
        <f t="shared" ca="1" si="235"/>
        <v>1.1400140536031074</v>
      </c>
      <c r="W538" s="304">
        <f t="shared" ca="1" si="236"/>
        <v>17.901797744477125</v>
      </c>
      <c r="Y538" s="314" t="str">
        <f t="shared" ca="1" si="254"/>
        <v/>
      </c>
      <c r="Z538" s="315" t="str">
        <f t="shared" ca="1" si="255"/>
        <v/>
      </c>
      <c r="AA538" s="316" t="str">
        <f t="shared" ca="1" si="256"/>
        <v/>
      </c>
      <c r="AC538" s="310" t="e">
        <f t="shared" ca="1" si="257"/>
        <v>#N/A</v>
      </c>
      <c r="AD538" s="323" t="e">
        <f t="shared" ca="1" si="258"/>
        <v>#N/A</v>
      </c>
      <c r="AE538" s="324" t="e">
        <f t="shared" ca="1" si="237"/>
        <v>#N/A</v>
      </c>
      <c r="AG538" s="306">
        <f t="shared" ca="1" si="259"/>
        <v>1.2347840945041124</v>
      </c>
      <c r="AH538" s="304">
        <f t="shared" ca="1" si="260"/>
        <v>-8.5608900973540223</v>
      </c>
    </row>
    <row r="539" spans="1:34" x14ac:dyDescent="0.25">
      <c r="A539" s="347">
        <f t="shared" ca="1" si="238"/>
        <v>0.1</v>
      </c>
      <c r="B539" s="304">
        <f t="shared" ca="1" si="239"/>
        <v>41.200000000000287</v>
      </c>
      <c r="D539" s="306">
        <f t="shared" ca="1" si="240"/>
        <v>-0.46018836432711757</v>
      </c>
      <c r="E539" s="307">
        <f t="shared" ca="1" si="241"/>
        <v>-1.2334595296931017</v>
      </c>
      <c r="F539" s="304">
        <f t="shared" ca="1" si="242"/>
        <v>1.3165089221318613</v>
      </c>
      <c r="G539" s="306">
        <f t="shared" ca="1" si="243"/>
        <v>6.3433679740933124</v>
      </c>
      <c r="H539" s="307">
        <f t="shared" ca="1" si="244"/>
        <v>-119.20248573314998</v>
      </c>
      <c r="I539" s="304">
        <f t="shared" ca="1" si="245"/>
        <v>119.37114777958944</v>
      </c>
      <c r="J539" s="306">
        <f t="shared" ca="1" si="246"/>
        <v>647.40838511505922</v>
      </c>
      <c r="K539" s="307">
        <f t="shared" ca="1" si="247"/>
        <v>706.77886913125781</v>
      </c>
      <c r="L539" s="304">
        <f t="shared" ca="1" si="232"/>
        <v>958.47482333535947</v>
      </c>
      <c r="M539" s="306">
        <f t="shared" ca="1" si="248"/>
        <v>-1.5176314092942336</v>
      </c>
      <c r="N539" s="304">
        <f t="shared" ca="1" si="249"/>
        <v>-86.9538746090508</v>
      </c>
      <c r="P539" s="310">
        <f t="shared" ca="1" si="250"/>
        <v>23</v>
      </c>
      <c r="Q539" s="304">
        <f t="shared" ca="1" si="251"/>
        <v>0</v>
      </c>
      <c r="R539" s="306">
        <f t="shared" ca="1" si="252"/>
        <v>0</v>
      </c>
      <c r="S539" s="307">
        <f t="shared" ca="1" si="253"/>
        <v>2.0842999999999985</v>
      </c>
      <c r="T539" s="304">
        <f t="shared" ca="1" si="233"/>
        <v>20.446982999999985</v>
      </c>
      <c r="U539" s="311">
        <f t="shared" ca="1" si="234"/>
        <v>0</v>
      </c>
      <c r="V539" s="306">
        <f t="shared" ca="1" si="235"/>
        <v>1.1413748142424518</v>
      </c>
      <c r="W539" s="304">
        <f t="shared" ca="1" si="236"/>
        <v>17.959470802335435</v>
      </c>
      <c r="Y539" s="314" t="str">
        <f t="shared" ca="1" si="254"/>
        <v/>
      </c>
      <c r="Z539" s="315" t="str">
        <f t="shared" ca="1" si="255"/>
        <v/>
      </c>
      <c r="AA539" s="316" t="str">
        <f t="shared" ca="1" si="256"/>
        <v/>
      </c>
      <c r="AC539" s="310" t="e">
        <f t="shared" ca="1" si="257"/>
        <v>#N/A</v>
      </c>
      <c r="AD539" s="323" t="e">
        <f t="shared" ca="1" si="258"/>
        <v>#N/A</v>
      </c>
      <c r="AE539" s="324" t="e">
        <f t="shared" ca="1" si="237"/>
        <v>#N/A</v>
      </c>
      <c r="AG539" s="306">
        <f t="shared" ca="1" si="259"/>
        <v>1.2070310735316205</v>
      </c>
      <c r="AH539" s="304">
        <f t="shared" ca="1" si="260"/>
        <v>-8.5888776781063854</v>
      </c>
    </row>
    <row r="540" spans="1:34" x14ac:dyDescent="0.25">
      <c r="A540" s="347">
        <f t="shared" ca="1" si="238"/>
        <v>0.1</v>
      </c>
      <c r="B540" s="304">
        <f t="shared" ca="1" si="239"/>
        <v>41.300000000000288</v>
      </c>
      <c r="D540" s="306">
        <f t="shared" ca="1" si="240"/>
        <v>-0.45788228610101794</v>
      </c>
      <c r="E540" s="307">
        <f t="shared" ca="1" si="241"/>
        <v>-1.2056265978373801</v>
      </c>
      <c r="F540" s="304">
        <f t="shared" ca="1" si="242"/>
        <v>1.2896478904484086</v>
      </c>
      <c r="G540" s="306">
        <f t="shared" ca="1" si="243"/>
        <v>6.297579745483211</v>
      </c>
      <c r="H540" s="307">
        <f t="shared" ca="1" si="244"/>
        <v>-119.32304839293373</v>
      </c>
      <c r="I540" s="304">
        <f t="shared" ca="1" si="245"/>
        <v>119.48911828460835</v>
      </c>
      <c r="J540" s="306">
        <f t="shared" ca="1" si="246"/>
        <v>648.04043250103803</v>
      </c>
      <c r="K540" s="307">
        <f t="shared" ca="1" si="247"/>
        <v>694.85259242495363</v>
      </c>
      <c r="L540" s="304">
        <f t="shared" ca="1" si="232"/>
        <v>950.14552956681905</v>
      </c>
      <c r="M540" s="306">
        <f t="shared" ca="1" si="248"/>
        <v>-1.5180676851712278</v>
      </c>
      <c r="N540" s="304">
        <f t="shared" ca="1" si="249"/>
        <v>-86.978871375505946</v>
      </c>
      <c r="P540" s="310">
        <f t="shared" ca="1" si="250"/>
        <v>23</v>
      </c>
      <c r="Q540" s="304">
        <f t="shared" ca="1" si="251"/>
        <v>0</v>
      </c>
      <c r="R540" s="306">
        <f t="shared" ca="1" si="252"/>
        <v>0</v>
      </c>
      <c r="S540" s="307">
        <f t="shared" ca="1" si="253"/>
        <v>2.0842999999999985</v>
      </c>
      <c r="T540" s="304">
        <f t="shared" ca="1" si="233"/>
        <v>20.446982999999985</v>
      </c>
      <c r="U540" s="311">
        <f t="shared" ca="1" si="234"/>
        <v>0</v>
      </c>
      <c r="V540" s="306">
        <f t="shared" ca="1" si="235"/>
        <v>1.1427385369700931</v>
      </c>
      <c r="W540" s="304">
        <f t="shared" ca="1" si="236"/>
        <v>18.016486365873291</v>
      </c>
      <c r="Y540" s="314" t="str">
        <f t="shared" ca="1" si="254"/>
        <v/>
      </c>
      <c r="Z540" s="315" t="str">
        <f t="shared" ca="1" si="255"/>
        <v/>
      </c>
      <c r="AA540" s="316" t="str">
        <f t="shared" ca="1" si="256"/>
        <v/>
      </c>
      <c r="AC540" s="310" t="e">
        <f t="shared" ca="1" si="257"/>
        <v>#N/A</v>
      </c>
      <c r="AD540" s="323" t="e">
        <f t="shared" ca="1" si="258"/>
        <v>#N/A</v>
      </c>
      <c r="AE540" s="324" t="e">
        <f t="shared" ca="1" si="237"/>
        <v>#N/A</v>
      </c>
      <c r="AG540" s="306">
        <f t="shared" ca="1" si="259"/>
        <v>1.1795913344039626</v>
      </c>
      <c r="AH540" s="304">
        <f t="shared" ca="1" si="260"/>
        <v>-8.6165479068922171</v>
      </c>
    </row>
    <row r="541" spans="1:34" x14ac:dyDescent="0.25">
      <c r="A541" s="347">
        <f t="shared" ca="1" si="238"/>
        <v>0.1</v>
      </c>
      <c r="B541" s="304">
        <f t="shared" ca="1" si="239"/>
        <v>41.40000000000029</v>
      </c>
      <c r="D541" s="306">
        <f t="shared" ca="1" si="240"/>
        <v>-0.4555700740874018</v>
      </c>
      <c r="E541" s="307">
        <f t="shared" ca="1" si="241"/>
        <v>-1.1781108943968892</v>
      </c>
      <c r="F541" s="304">
        <f t="shared" ca="1" si="242"/>
        <v>1.2631268233636079</v>
      </c>
      <c r="G541" s="306">
        <f t="shared" ca="1" si="243"/>
        <v>6.2520227380744711</v>
      </c>
      <c r="H541" s="307">
        <f t="shared" ca="1" si="244"/>
        <v>-119.44085948237341</v>
      </c>
      <c r="I541" s="304">
        <f t="shared" ca="1" si="245"/>
        <v>119.60437576529327</v>
      </c>
      <c r="J541" s="306">
        <f t="shared" ca="1" si="246"/>
        <v>648.66791262521588</v>
      </c>
      <c r="K541" s="307">
        <f t="shared" ca="1" si="247"/>
        <v>682.91439703118829</v>
      </c>
      <c r="L541" s="304">
        <f t="shared" ca="1" si="232"/>
        <v>941.88222965614239</v>
      </c>
      <c r="M541" s="306">
        <f t="shared" ca="1" si="248"/>
        <v>-1.5184999672898809</v>
      </c>
      <c r="N541" s="304">
        <f t="shared" ca="1" si="249"/>
        <v>-87.003639316463733</v>
      </c>
      <c r="P541" s="310">
        <f t="shared" ca="1" si="250"/>
        <v>23</v>
      </c>
      <c r="Q541" s="304">
        <f t="shared" ca="1" si="251"/>
        <v>0</v>
      </c>
      <c r="R541" s="306">
        <f t="shared" ca="1" si="252"/>
        <v>0</v>
      </c>
      <c r="S541" s="307">
        <f t="shared" ca="1" si="253"/>
        <v>2.0842999999999985</v>
      </c>
      <c r="T541" s="304">
        <f t="shared" ca="1" si="233"/>
        <v>20.446982999999985</v>
      </c>
      <c r="U541" s="311">
        <f t="shared" ca="1" si="234"/>
        <v>0</v>
      </c>
      <c r="V541" s="306">
        <f t="shared" ca="1" si="235"/>
        <v>1.1441051976230887</v>
      </c>
      <c r="W541" s="304">
        <f t="shared" ca="1" si="236"/>
        <v>18.072848458738282</v>
      </c>
      <c r="Y541" s="314" t="str">
        <f t="shared" ca="1" si="254"/>
        <v/>
      </c>
      <c r="Z541" s="315" t="str">
        <f t="shared" ca="1" si="255"/>
        <v/>
      </c>
      <c r="AA541" s="316" t="str">
        <f t="shared" ca="1" si="256"/>
        <v/>
      </c>
      <c r="AC541" s="310" t="e">
        <f t="shared" ca="1" si="257"/>
        <v>#N/A</v>
      </c>
      <c r="AD541" s="323" t="e">
        <f t="shared" ca="1" si="258"/>
        <v>#N/A</v>
      </c>
      <c r="AE541" s="324" t="e">
        <f t="shared" ca="1" si="237"/>
        <v>#N/A</v>
      </c>
      <c r="AG541" s="306">
        <f t="shared" ca="1" si="259"/>
        <v>1.1524630558001174</v>
      </c>
      <c r="AH541" s="304">
        <f t="shared" ca="1" si="260"/>
        <v>-8.643902684773451</v>
      </c>
    </row>
    <row r="542" spans="1:34" x14ac:dyDescent="0.25">
      <c r="A542" s="347">
        <f t="shared" ca="1" si="238"/>
        <v>0.1</v>
      </c>
      <c r="B542" s="304">
        <f t="shared" ca="1" si="239"/>
        <v>41.500000000000291</v>
      </c>
      <c r="D542" s="306">
        <f t="shared" ca="1" si="240"/>
        <v>-0.45325213513607038</v>
      </c>
      <c r="E542" s="307">
        <f t="shared" ca="1" si="241"/>
        <v>-1.1509104779509514</v>
      </c>
      <c r="F542" s="304">
        <f t="shared" ca="1" si="242"/>
        <v>1.2369447951556665</v>
      </c>
      <c r="G542" s="306">
        <f t="shared" ca="1" si="243"/>
        <v>6.2066975245608642</v>
      </c>
      <c r="H542" s="307">
        <f t="shared" ca="1" si="244"/>
        <v>-119.5559505301685</v>
      </c>
      <c r="I542" s="304">
        <f t="shared" ca="1" si="245"/>
        <v>119.71695118626054</v>
      </c>
      <c r="J542" s="306">
        <f t="shared" ca="1" si="246"/>
        <v>649.2908486383476</v>
      </c>
      <c r="K542" s="307">
        <f t="shared" ca="1" si="247"/>
        <v>670.96455653056114</v>
      </c>
      <c r="L542" s="304">
        <f t="shared" ca="1" si="232"/>
        <v>933.68733644928386</v>
      </c>
      <c r="M542" s="306">
        <f t="shared" ca="1" si="248"/>
        <v>-1.5189283055345015</v>
      </c>
      <c r="N542" s="304">
        <f t="shared" ca="1" si="249"/>
        <v>-87.028181290084547</v>
      </c>
      <c r="P542" s="310">
        <f t="shared" ca="1" si="250"/>
        <v>23</v>
      </c>
      <c r="Q542" s="304">
        <f t="shared" ca="1" si="251"/>
        <v>0</v>
      </c>
      <c r="R542" s="306">
        <f t="shared" ca="1" si="252"/>
        <v>0</v>
      </c>
      <c r="S542" s="307">
        <f t="shared" ca="1" si="253"/>
        <v>2.0842999999999985</v>
      </c>
      <c r="T542" s="304">
        <f t="shared" ca="1" si="233"/>
        <v>20.446982999999985</v>
      </c>
      <c r="U542" s="311">
        <f t="shared" ca="1" si="234"/>
        <v>0</v>
      </c>
      <c r="V542" s="306">
        <f t="shared" ca="1" si="235"/>
        <v>1.1454747722824317</v>
      </c>
      <c r="W542" s="304">
        <f t="shared" ca="1" si="236"/>
        <v>18.128561163079812</v>
      </c>
      <c r="Y542" s="314" t="str">
        <f t="shared" ca="1" si="254"/>
        <v/>
      </c>
      <c r="Z542" s="315" t="str">
        <f t="shared" ca="1" si="255"/>
        <v/>
      </c>
      <c r="AA542" s="316" t="str">
        <f t="shared" ca="1" si="256"/>
        <v/>
      </c>
      <c r="AC542" s="310" t="e">
        <f t="shared" ca="1" si="257"/>
        <v>#N/A</v>
      </c>
      <c r="AD542" s="323" t="e">
        <f t="shared" ca="1" si="258"/>
        <v>#N/A</v>
      </c>
      <c r="AE542" s="324" t="e">
        <f t="shared" ca="1" si="237"/>
        <v>#N/A</v>
      </c>
      <c r="AG542" s="306">
        <f t="shared" ca="1" si="259"/>
        <v>1.1256443851433637</v>
      </c>
      <c r="AH542" s="304">
        <f t="shared" ca="1" si="260"/>
        <v>-8.6709439422051986</v>
      </c>
    </row>
    <row r="543" spans="1:34" x14ac:dyDescent="0.25">
      <c r="A543" s="347">
        <f t="shared" ca="1" si="238"/>
        <v>0.1</v>
      </c>
      <c r="B543" s="304">
        <f t="shared" ca="1" si="239"/>
        <v>41.600000000000293</v>
      </c>
      <c r="D543" s="306">
        <f t="shared" ca="1" si="240"/>
        <v>-0.45092886931797344</v>
      </c>
      <c r="E543" s="307">
        <f t="shared" ca="1" si="241"/>
        <v>-1.1240233788630096</v>
      </c>
      <c r="F543" s="304">
        <f t="shared" ca="1" si="242"/>
        <v>1.2111009047205781</v>
      </c>
      <c r="G543" s="306">
        <f t="shared" ca="1" si="243"/>
        <v>6.1616046376290665</v>
      </c>
      <c r="H543" s="307">
        <f t="shared" ca="1" si="244"/>
        <v>-119.6683528680548</v>
      </c>
      <c r="I543" s="304">
        <f t="shared" ca="1" si="245"/>
        <v>119.82687532379258</v>
      </c>
      <c r="J543" s="306">
        <f t="shared" ca="1" si="246"/>
        <v>649.9092637464571</v>
      </c>
      <c r="K543" s="307">
        <f t="shared" ca="1" si="247"/>
        <v>659.00334136064998</v>
      </c>
      <c r="L543" s="304">
        <f t="shared" ca="1" si="232"/>
        <v>925.56331767630206</v>
      </c>
      <c r="M543" s="306">
        <f t="shared" ca="1" si="248"/>
        <v>-1.5193527488700045</v>
      </c>
      <c r="N543" s="304">
        <f t="shared" ca="1" si="249"/>
        <v>-87.052500101851308</v>
      </c>
      <c r="P543" s="310">
        <f t="shared" ca="1" si="250"/>
        <v>23</v>
      </c>
      <c r="Q543" s="304">
        <f t="shared" ca="1" si="251"/>
        <v>0</v>
      </c>
      <c r="R543" s="306">
        <f t="shared" ca="1" si="252"/>
        <v>0</v>
      </c>
      <c r="S543" s="307">
        <f t="shared" ca="1" si="253"/>
        <v>2.0842999999999985</v>
      </c>
      <c r="T543" s="304">
        <f t="shared" ca="1" si="233"/>
        <v>20.446982999999985</v>
      </c>
      <c r="U543" s="311">
        <f t="shared" ca="1" si="234"/>
        <v>0</v>
      </c>
      <c r="V543" s="306">
        <f t="shared" ca="1" si="235"/>
        <v>1.1468472372720351</v>
      </c>
      <c r="W543" s="304">
        <f t="shared" ca="1" si="236"/>
        <v>18.183628616837765</v>
      </c>
      <c r="Y543" s="314" t="str">
        <f t="shared" ca="1" si="254"/>
        <v/>
      </c>
      <c r="Z543" s="315" t="str">
        <f t="shared" ca="1" si="255"/>
        <v/>
      </c>
      <c r="AA543" s="316" t="str">
        <f t="shared" ca="1" si="256"/>
        <v/>
      </c>
      <c r="AC543" s="310" t="e">
        <f t="shared" ca="1" si="257"/>
        <v>#N/A</v>
      </c>
      <c r="AD543" s="323" t="e">
        <f t="shared" ca="1" si="258"/>
        <v>#N/A</v>
      </c>
      <c r="AE543" s="324" t="e">
        <f t="shared" ca="1" si="237"/>
        <v>#N/A</v>
      </c>
      <c r="AG543" s="306">
        <f t="shared" ca="1" si="259"/>
        <v>1.0991334399789778</v>
      </c>
      <c r="AH543" s="304">
        <f t="shared" ca="1" si="260"/>
        <v>-8.6976736377104178</v>
      </c>
    </row>
    <row r="544" spans="1:34" x14ac:dyDescent="0.25">
      <c r="A544" s="347">
        <f t="shared" ca="1" si="238"/>
        <v>0.1</v>
      </c>
      <c r="B544" s="304">
        <f t="shared" ca="1" si="239"/>
        <v>41.700000000000294</v>
      </c>
      <c r="D544" s="306">
        <f t="shared" ca="1" si="240"/>
        <v>-0.44860066996151737</v>
      </c>
      <c r="E544" s="307">
        <f t="shared" ca="1" si="241"/>
        <v>-1.0974476005884366</v>
      </c>
      <c r="F544" s="304">
        <f t="shared" ca="1" si="242"/>
        <v>1.1855942801511985</v>
      </c>
      <c r="G544" s="306">
        <f t="shared" ca="1" si="243"/>
        <v>6.1167445706329149</v>
      </c>
      <c r="H544" s="307">
        <f t="shared" ca="1" si="244"/>
        <v>-119.77809762811364</v>
      </c>
      <c r="I544" s="304">
        <f t="shared" ca="1" si="245"/>
        <v>119.9341787629877</v>
      </c>
      <c r="J544" s="306">
        <f t="shared" ca="1" si="246"/>
        <v>650.52318120687016</v>
      </c>
      <c r="K544" s="307">
        <f t="shared" ca="1" si="247"/>
        <v>647.03101883584156</v>
      </c>
      <c r="L544" s="304">
        <f t="shared" ca="1" si="232"/>
        <v>917.51269670956253</v>
      </c>
      <c r="M544" s="306">
        <f t="shared" ca="1" si="248"/>
        <v>-1.5197733453639293</v>
      </c>
      <c r="N544" s="304">
        <f t="shared" ca="1" si="249"/>
        <v>-87.0765985058312</v>
      </c>
      <c r="P544" s="310">
        <f t="shared" ca="1" si="250"/>
        <v>23</v>
      </c>
      <c r="Q544" s="304">
        <f t="shared" ca="1" si="251"/>
        <v>0</v>
      </c>
      <c r="R544" s="306">
        <f t="shared" ca="1" si="252"/>
        <v>0</v>
      </c>
      <c r="S544" s="307">
        <f t="shared" ca="1" si="253"/>
        <v>2.0842999999999985</v>
      </c>
      <c r="T544" s="304">
        <f t="shared" ca="1" si="233"/>
        <v>20.446982999999985</v>
      </c>
      <c r="U544" s="311">
        <f t="shared" ca="1" si="234"/>
        <v>0</v>
      </c>
      <c r="V544" s="306">
        <f t="shared" ca="1" si="235"/>
        <v>1.1482225691576844</v>
      </c>
      <c r="W544" s="304">
        <f t="shared" ca="1" si="236"/>
        <v>18.238055011082118</v>
      </c>
      <c r="Y544" s="314" t="str">
        <f t="shared" ca="1" si="254"/>
        <v/>
      </c>
      <c r="Z544" s="315" t="str">
        <f t="shared" ca="1" si="255"/>
        <v/>
      </c>
      <c r="AA544" s="316" t="str">
        <f t="shared" ca="1" si="256"/>
        <v/>
      </c>
      <c r="AC544" s="310" t="e">
        <f t="shared" ca="1" si="257"/>
        <v>#N/A</v>
      </c>
      <c r="AD544" s="323" t="e">
        <f t="shared" ca="1" si="258"/>
        <v>#N/A</v>
      </c>
      <c r="AE544" s="324" t="e">
        <f t="shared" ca="1" si="237"/>
        <v>#N/A</v>
      </c>
      <c r="AG544" s="306">
        <f t="shared" ca="1" si="259"/>
        <v>1.0729283093257038</v>
      </c>
      <c r="AH544" s="304">
        <f t="shared" ca="1" si="260"/>
        <v>-8.7240937565790819</v>
      </c>
    </row>
    <row r="545" spans="1:34" x14ac:dyDescent="0.25">
      <c r="A545" s="347">
        <f t="shared" ca="1" si="238"/>
        <v>0.1</v>
      </c>
      <c r="B545" s="304">
        <f t="shared" ca="1" si="239"/>
        <v>41.800000000000296</v>
      </c>
      <c r="D545" s="306">
        <f t="shared" ca="1" si="240"/>
        <v>-0.44626792369074575</v>
      </c>
      <c r="E545" s="307">
        <f t="shared" ca="1" si="241"/>
        <v>-1.0711811209577977</v>
      </c>
      <c r="F545" s="304">
        <f t="shared" ca="1" si="242"/>
        <v>1.1604240835193198</v>
      </c>
      <c r="G545" s="306">
        <f t="shared" ca="1" si="243"/>
        <v>6.0721177782638405</v>
      </c>
      <c r="H545" s="307">
        <f t="shared" ca="1" si="244"/>
        <v>-119.88521574020942</v>
      </c>
      <c r="I545" s="304">
        <f t="shared" ca="1" si="245"/>
        <v>120.03889189504235</v>
      </c>
      <c r="J545" s="306">
        <f t="shared" ca="1" si="246"/>
        <v>651.13262432431497</v>
      </c>
      <c r="K545" s="307">
        <f t="shared" ca="1" si="247"/>
        <v>635.04785316742539</v>
      </c>
      <c r="L545" s="304">
        <f t="shared" ca="1" si="232"/>
        <v>909.53805322923427</v>
      </c>
      <c r="M545" s="306">
        <f t="shared" ca="1" si="248"/>
        <v>-1.5201901422078361</v>
      </c>
      <c r="N545" s="304">
        <f t="shared" ca="1" si="249"/>
        <v>-87.100479205901436</v>
      </c>
      <c r="P545" s="310">
        <f t="shared" ca="1" si="250"/>
        <v>23</v>
      </c>
      <c r="Q545" s="304">
        <f t="shared" ca="1" si="251"/>
        <v>0</v>
      </c>
      <c r="R545" s="306">
        <f t="shared" ca="1" si="252"/>
        <v>0</v>
      </c>
      <c r="S545" s="307">
        <f t="shared" ca="1" si="253"/>
        <v>2.0842999999999985</v>
      </c>
      <c r="T545" s="304">
        <f t="shared" ca="1" si="233"/>
        <v>20.446982999999985</v>
      </c>
      <c r="U545" s="311">
        <f t="shared" ca="1" si="234"/>
        <v>0</v>
      </c>
      <c r="V545" s="306">
        <f t="shared" ca="1" si="235"/>
        <v>1.1496007447459651</v>
      </c>
      <c r="W545" s="304">
        <f t="shared" ca="1" si="236"/>
        <v>18.291844587403428</v>
      </c>
      <c r="Y545" s="314" t="str">
        <f t="shared" ca="1" si="254"/>
        <v/>
      </c>
      <c r="Z545" s="315" t="str">
        <f t="shared" ca="1" si="255"/>
        <v/>
      </c>
      <c r="AA545" s="316" t="str">
        <f t="shared" ca="1" si="256"/>
        <v/>
      </c>
      <c r="AC545" s="310" t="e">
        <f t="shared" ca="1" si="257"/>
        <v>#N/A</v>
      </c>
      <c r="AD545" s="323" t="e">
        <f t="shared" ca="1" si="258"/>
        <v>#N/A</v>
      </c>
      <c r="AE545" s="324" t="e">
        <f t="shared" ca="1" si="237"/>
        <v>#N/A</v>
      </c>
      <c r="AG545" s="306">
        <f t="shared" ca="1" si="259"/>
        <v>1.0470270550011485</v>
      </c>
      <c r="AH545" s="304">
        <f t="shared" ca="1" si="260"/>
        <v>-8.750206309591773</v>
      </c>
    </row>
    <row r="546" spans="1:34" x14ac:dyDescent="0.25">
      <c r="A546" s="347">
        <f t="shared" ca="1" si="238"/>
        <v>0.1</v>
      </c>
      <c r="B546" s="304">
        <f t="shared" ca="1" si="239"/>
        <v>41.900000000000297</v>
      </c>
      <c r="D546" s="306">
        <f t="shared" ca="1" si="240"/>
        <v>-0.44393101046535022</v>
      </c>
      <c r="E546" s="307">
        <f t="shared" ca="1" si="241"/>
        <v>-1.0452218934355333</v>
      </c>
      <c r="F546" s="304">
        <f t="shared" ca="1" si="242"/>
        <v>1.1355895158769951</v>
      </c>
      <c r="G546" s="306">
        <f t="shared" ca="1" si="243"/>
        <v>6.0277246772173054</v>
      </c>
      <c r="H546" s="307">
        <f t="shared" ca="1" si="244"/>
        <v>-119.98973792955297</v>
      </c>
      <c r="I546" s="304">
        <f t="shared" ca="1" si="245"/>
        <v>120.14104491466328</v>
      </c>
      <c r="J546" s="306">
        <f t="shared" ca="1" si="246"/>
        <v>651.73761644708907</v>
      </c>
      <c r="K546" s="307">
        <f t="shared" ca="1" si="247"/>
        <v>623.05410548393729</v>
      </c>
      <c r="L546" s="304">
        <f t="shared" ca="1" si="232"/>
        <v>901.6420237835647</v>
      </c>
      <c r="M546" s="306">
        <f t="shared" ca="1" si="248"/>
        <v>-1.5206031857381059</v>
      </c>
      <c r="N546" s="304">
        <f t="shared" ca="1" si="249"/>
        <v>-87.124144856941086</v>
      </c>
      <c r="P546" s="310">
        <f t="shared" ca="1" si="250"/>
        <v>23</v>
      </c>
      <c r="Q546" s="304">
        <f t="shared" ca="1" si="251"/>
        <v>0</v>
      </c>
      <c r="R546" s="306">
        <f t="shared" ca="1" si="252"/>
        <v>0</v>
      </c>
      <c r="S546" s="307">
        <f t="shared" ca="1" si="253"/>
        <v>2.0842999999999985</v>
      </c>
      <c r="T546" s="304">
        <f t="shared" ca="1" si="233"/>
        <v>20.446982999999985</v>
      </c>
      <c r="U546" s="311">
        <f t="shared" ca="1" si="234"/>
        <v>0</v>
      </c>
      <c r="V546" s="306">
        <f t="shared" ca="1" si="235"/>
        <v>1.1509817410831631</v>
      </c>
      <c r="W546" s="304">
        <f t="shared" ca="1" si="236"/>
        <v>18.345001635354034</v>
      </c>
      <c r="Y546" s="314" t="str">
        <f t="shared" ca="1" si="254"/>
        <v/>
      </c>
      <c r="Z546" s="315" t="str">
        <f t="shared" ca="1" si="255"/>
        <v/>
      </c>
      <c r="AA546" s="316" t="str">
        <f t="shared" ca="1" si="256"/>
        <v/>
      </c>
      <c r="AC546" s="310" t="e">
        <f t="shared" ca="1" si="257"/>
        <v>#N/A</v>
      </c>
      <c r="AD546" s="323" t="e">
        <f t="shared" ca="1" si="258"/>
        <v>#N/A</v>
      </c>
      <c r="AE546" s="324" t="e">
        <f t="shared" ca="1" si="237"/>
        <v>#N/A</v>
      </c>
      <c r="AG546" s="306">
        <f t="shared" ca="1" si="259"/>
        <v>1.0214277129211276</v>
      </c>
      <c r="AH546" s="304">
        <f t="shared" ca="1" si="260"/>
        <v>-8.7760133317677109</v>
      </c>
    </row>
    <row r="547" spans="1:34" x14ac:dyDescent="0.25">
      <c r="A547" s="347">
        <f t="shared" ca="1" si="238"/>
        <v>0.1</v>
      </c>
      <c r="B547" s="304">
        <f t="shared" ca="1" si="239"/>
        <v>42.000000000000298</v>
      </c>
      <c r="D547" s="306">
        <f t="shared" ca="1" si="240"/>
        <v>-0.44159030362236856</v>
      </c>
      <c r="E547" s="307">
        <f t="shared" ca="1" si="241"/>
        <v>-1.0195678483542139</v>
      </c>
      <c r="F547" s="304">
        <f t="shared" ca="1" si="242"/>
        <v>1.1110898224945349</v>
      </c>
      <c r="G547" s="306">
        <f t="shared" ca="1" si="243"/>
        <v>5.9835656468550686</v>
      </c>
      <c r="H547" s="307">
        <f t="shared" ca="1" si="244"/>
        <v>-120.0916947143884</v>
      </c>
      <c r="I547" s="304">
        <f t="shared" ca="1" si="245"/>
        <v>120.24066781760689</v>
      </c>
      <c r="J547" s="306">
        <f t="shared" ca="1" si="246"/>
        <v>652.33818096329264</v>
      </c>
      <c r="K547" s="307">
        <f t="shared" ca="1" si="247"/>
        <v>611.05003385174018</v>
      </c>
      <c r="L547" s="304">
        <f t="shared" ca="1" si="232"/>
        <v>893.82730223053181</v>
      </c>
      <c r="M547" s="306">
        <f t="shared" ca="1" si="248"/>
        <v>-1.5210125214561581</v>
      </c>
      <c r="N547" s="304">
        <f t="shared" ca="1" si="249"/>
        <v>-87.147598065989428</v>
      </c>
      <c r="P547" s="310">
        <f t="shared" ca="1" si="250"/>
        <v>23</v>
      </c>
      <c r="Q547" s="304">
        <f t="shared" ca="1" si="251"/>
        <v>0</v>
      </c>
      <c r="R547" s="306">
        <f t="shared" ca="1" si="252"/>
        <v>0</v>
      </c>
      <c r="S547" s="307">
        <f t="shared" ca="1" si="253"/>
        <v>2.0842999999999985</v>
      </c>
      <c r="T547" s="304">
        <f t="shared" ca="1" si="233"/>
        <v>20.446982999999985</v>
      </c>
      <c r="U547" s="311">
        <f t="shared" ca="1" si="234"/>
        <v>0</v>
      </c>
      <c r="V547" s="306">
        <f t="shared" ca="1" si="235"/>
        <v>1.1523655354541393</v>
      </c>
      <c r="W547" s="304">
        <f t="shared" ca="1" si="236"/>
        <v>18.397530489939903</v>
      </c>
      <c r="Y547" s="314" t="str">
        <f t="shared" ca="1" si="254"/>
        <v/>
      </c>
      <c r="Z547" s="315" t="str">
        <f t="shared" ca="1" si="255"/>
        <v/>
      </c>
      <c r="AA547" s="316" t="str">
        <f t="shared" ca="1" si="256"/>
        <v/>
      </c>
      <c r="AC547" s="310">
        <f t="shared" ca="1" si="257"/>
        <v>42.000000000000298</v>
      </c>
      <c r="AD547" s="323">
        <f t="shared" ca="1" si="258"/>
        <v>652.33818096329264</v>
      </c>
      <c r="AE547" s="324" t="e">
        <f t="shared" ca="1" si="237"/>
        <v>#N/A</v>
      </c>
      <c r="AG547" s="306">
        <f t="shared" ca="1" si="259"/>
        <v>0.99612829437318595</v>
      </c>
      <c r="AH547" s="304">
        <f t="shared" ca="1" si="260"/>
        <v>-8.8015168811370952</v>
      </c>
    </row>
    <row r="548" spans="1:34" x14ac:dyDescent="0.25">
      <c r="A548" s="347">
        <f t="shared" ca="1" si="238"/>
        <v>0.1</v>
      </c>
      <c r="B548" s="304">
        <f t="shared" ca="1" si="239"/>
        <v>42.1000000000003</v>
      </c>
      <c r="D548" s="306">
        <f t="shared" ca="1" si="240"/>
        <v>-0.43924616991954768</v>
      </c>
      <c r="E548" s="307">
        <f t="shared" ca="1" si="241"/>
        <v>-0.9942168941243672</v>
      </c>
      <c r="F548" s="304">
        <f t="shared" ca="1" si="242"/>
        <v>1.0869242983535217</v>
      </c>
      <c r="G548" s="306">
        <f t="shared" ca="1" si="243"/>
        <v>5.9396410298631137</v>
      </c>
      <c r="H548" s="307">
        <f t="shared" ca="1" si="244"/>
        <v>-120.19111640380083</v>
      </c>
      <c r="I548" s="304">
        <f t="shared" ca="1" si="245"/>
        <v>120.33779039834343</v>
      </c>
      <c r="J548" s="306">
        <f t="shared" ca="1" si="246"/>
        <v>652.93434129712853</v>
      </c>
      <c r="K548" s="307">
        <f t="shared" ca="1" si="247"/>
        <v>599.03589329583076</v>
      </c>
      <c r="L548" s="304">
        <f t="shared" ca="1" si="232"/>
        <v>886.09664004658612</v>
      </c>
      <c r="M548" s="306">
        <f t="shared" ca="1" si="248"/>
        <v>-1.5214181940481055</v>
      </c>
      <c r="N548" s="304">
        <f t="shared" ca="1" si="249"/>
        <v>-87.170841393372157</v>
      </c>
      <c r="P548" s="310">
        <f t="shared" ca="1" si="250"/>
        <v>23</v>
      </c>
      <c r="Q548" s="304">
        <f t="shared" ca="1" si="251"/>
        <v>0</v>
      </c>
      <c r="R548" s="306">
        <f t="shared" ca="1" si="252"/>
        <v>0</v>
      </c>
      <c r="S548" s="307">
        <f t="shared" ca="1" si="253"/>
        <v>2.0842999999999985</v>
      </c>
      <c r="T548" s="304">
        <f t="shared" ca="1" si="233"/>
        <v>20.446982999999985</v>
      </c>
      <c r="U548" s="311">
        <f t="shared" ca="1" si="234"/>
        <v>0</v>
      </c>
      <c r="V548" s="306">
        <f t="shared" ca="1" si="235"/>
        <v>1.1537521053811826</v>
      </c>
      <c r="W548" s="304">
        <f t="shared" ca="1" si="236"/>
        <v>18.44943552916283</v>
      </c>
      <c r="Y548" s="314" t="str">
        <f t="shared" ca="1" si="254"/>
        <v/>
      </c>
      <c r="Z548" s="315" t="str">
        <f t="shared" ca="1" si="255"/>
        <v/>
      </c>
      <c r="AA548" s="316" t="str">
        <f t="shared" ca="1" si="256"/>
        <v/>
      </c>
      <c r="AC548" s="310" t="e">
        <f t="shared" ca="1" si="257"/>
        <v>#N/A</v>
      </c>
      <c r="AD548" s="323" t="e">
        <f t="shared" ca="1" si="258"/>
        <v>#N/A</v>
      </c>
      <c r="AE548" s="324" t="e">
        <f t="shared" ca="1" si="237"/>
        <v>#N/A</v>
      </c>
      <c r="AG548" s="306">
        <f t="shared" ca="1" si="259"/>
        <v>0.97112678726430879</v>
      </c>
      <c r="AH548" s="304">
        <f t="shared" ca="1" si="260"/>
        <v>-8.8267190375377425</v>
      </c>
    </row>
    <row r="549" spans="1:34" x14ac:dyDescent="0.25">
      <c r="A549" s="347">
        <f t="shared" ca="1" si="238"/>
        <v>0.1</v>
      </c>
      <c r="B549" s="304">
        <f t="shared" ca="1" si="239"/>
        <v>42.200000000000301</v>
      </c>
      <c r="D549" s="306">
        <f t="shared" ca="1" si="240"/>
        <v>-0.43689896958027735</v>
      </c>
      <c r="E549" s="307">
        <f t="shared" ca="1" si="241"/>
        <v>-0.96916691841999736</v>
      </c>
      <c r="F549" s="304">
        <f t="shared" ca="1" si="242"/>
        <v>1.0630922939143252</v>
      </c>
      <c r="G549" s="306">
        <f t="shared" ca="1" si="243"/>
        <v>5.8959511329050862</v>
      </c>
      <c r="H549" s="307">
        <f t="shared" ca="1" si="244"/>
        <v>-120.28803309564283</v>
      </c>
      <c r="I549" s="304">
        <f t="shared" ca="1" si="245"/>
        <v>120.43244224784313</v>
      </c>
      <c r="J549" s="306">
        <f t="shared" ca="1" si="246"/>
        <v>653.52612090526691</v>
      </c>
      <c r="K549" s="307">
        <f t="shared" ca="1" si="247"/>
        <v>587.01193582085853</v>
      </c>
      <c r="L549" s="304">
        <f t="shared" ca="1" si="232"/>
        <v>878.45284648729853</v>
      </c>
      <c r="M549" s="306">
        <f t="shared" ca="1" si="248"/>
        <v>-1.5218202474038682</v>
      </c>
      <c r="N549" s="304">
        <f t="shared" ca="1" si="249"/>
        <v>-87.193877353796424</v>
      </c>
      <c r="P549" s="310">
        <f t="shared" ca="1" si="250"/>
        <v>23</v>
      </c>
      <c r="Q549" s="304">
        <f t="shared" ca="1" si="251"/>
        <v>0</v>
      </c>
      <c r="R549" s="306">
        <f t="shared" ca="1" si="252"/>
        <v>0</v>
      </c>
      <c r="S549" s="307">
        <f t="shared" ca="1" si="253"/>
        <v>2.0842999999999985</v>
      </c>
      <c r="T549" s="304">
        <f t="shared" ca="1" si="233"/>
        <v>20.446982999999985</v>
      </c>
      <c r="U549" s="311">
        <f t="shared" ca="1" si="234"/>
        <v>0</v>
      </c>
      <c r="V549" s="306">
        <f t="shared" ca="1" si="235"/>
        <v>1.1551414286228345</v>
      </c>
      <c r="W549" s="304">
        <f t="shared" ca="1" si="236"/>
        <v>18.500721171612774</v>
      </c>
      <c r="Y549" s="314" t="str">
        <f t="shared" ca="1" si="254"/>
        <v/>
      </c>
      <c r="Z549" s="315" t="str">
        <f t="shared" ca="1" si="255"/>
        <v/>
      </c>
      <c r="AA549" s="316" t="str">
        <f t="shared" ca="1" si="256"/>
        <v/>
      </c>
      <c r="AC549" s="310" t="e">
        <f t="shared" ca="1" si="257"/>
        <v>#N/A</v>
      </c>
      <c r="AD549" s="323" t="e">
        <f t="shared" ca="1" si="258"/>
        <v>#N/A</v>
      </c>
      <c r="AE549" s="324" t="e">
        <f t="shared" ca="1" si="237"/>
        <v>#N/A</v>
      </c>
      <c r="AG549" s="306">
        <f t="shared" ca="1" si="259"/>
        <v>0.94642115734306209</v>
      </c>
      <c r="AH549" s="304">
        <f t="shared" ca="1" si="260"/>
        <v>-8.8516219014358981</v>
      </c>
    </row>
    <row r="550" spans="1:34" x14ac:dyDescent="0.25">
      <c r="A550" s="347">
        <f t="shared" ca="1" si="238"/>
        <v>0.1</v>
      </c>
      <c r="B550" s="304">
        <f t="shared" ca="1" si="239"/>
        <v>42.300000000000303</v>
      </c>
      <c r="D550" s="306">
        <f t="shared" ca="1" si="240"/>
        <v>-0.43454905634000274</v>
      </c>
      <c r="E550" s="307">
        <f t="shared" ca="1" si="241"/>
        <v>-0.94441578933994208</v>
      </c>
      <c r="F550" s="304">
        <f t="shared" ca="1" si="242"/>
        <v>1.0395932211786361</v>
      </c>
      <c r="G550" s="306">
        <f t="shared" ca="1" si="243"/>
        <v>5.8524962272710859</v>
      </c>
      <c r="H550" s="307">
        <f t="shared" ca="1" si="244"/>
        <v>-120.38247467457683</v>
      </c>
      <c r="I550" s="304">
        <f t="shared" ca="1" si="245"/>
        <v>120.52465275148215</v>
      </c>
      <c r="J550" s="306">
        <f t="shared" ca="1" si="246"/>
        <v>654.1135432732757</v>
      </c>
      <c r="K550" s="307">
        <f t="shared" ca="1" si="247"/>
        <v>574.97841043234757</v>
      </c>
      <c r="L550" s="304">
        <f t="shared" ca="1" si="232"/>
        <v>870.89878858385646</v>
      </c>
      <c r="M550" s="306">
        <f t="shared" ca="1" si="248"/>
        <v>-1.5222187246357579</v>
      </c>
      <c r="N550" s="304">
        <f t="shared" ca="1" si="249"/>
        <v>-87.216708417415759</v>
      </c>
      <c r="P550" s="310">
        <f t="shared" ca="1" si="250"/>
        <v>23</v>
      </c>
      <c r="Q550" s="304">
        <f t="shared" ca="1" si="251"/>
        <v>0</v>
      </c>
      <c r="R550" s="306">
        <f t="shared" ca="1" si="252"/>
        <v>0</v>
      </c>
      <c r="S550" s="307">
        <f t="shared" ca="1" si="253"/>
        <v>2.0842999999999985</v>
      </c>
      <c r="T550" s="304">
        <f t="shared" ca="1" si="233"/>
        <v>20.446982999999985</v>
      </c>
      <c r="U550" s="311">
        <f t="shared" ca="1" si="234"/>
        <v>0</v>
      </c>
      <c r="V550" s="306">
        <f t="shared" ca="1" si="235"/>
        <v>1.1565334831726974</v>
      </c>
      <c r="W550" s="304">
        <f t="shared" ca="1" si="236"/>
        <v>18.551391874110248</v>
      </c>
      <c r="Y550" s="314" t="str">
        <f t="shared" ca="1" si="254"/>
        <v/>
      </c>
      <c r="Z550" s="315" t="str">
        <f t="shared" ca="1" si="255"/>
        <v/>
      </c>
      <c r="AA550" s="316" t="str">
        <f t="shared" ca="1" si="256"/>
        <v/>
      </c>
      <c r="AC550" s="310" t="e">
        <f t="shared" ca="1" si="257"/>
        <v>#N/A</v>
      </c>
      <c r="AD550" s="323" t="e">
        <f t="shared" ca="1" si="258"/>
        <v>#N/A</v>
      </c>
      <c r="AE550" s="324" t="e">
        <f t="shared" ca="1" si="237"/>
        <v>#N/A</v>
      </c>
      <c r="AG550" s="306">
        <f t="shared" ca="1" si="259"/>
        <v>0.92200934939628887</v>
      </c>
      <c r="AH550" s="304">
        <f t="shared" ca="1" si="260"/>
        <v>-8.8762275927710927</v>
      </c>
    </row>
    <row r="551" spans="1:34" x14ac:dyDescent="0.25">
      <c r="A551" s="347">
        <f t="shared" ca="1" si="238"/>
        <v>0.1</v>
      </c>
      <c r="B551" s="304">
        <f t="shared" ca="1" si="239"/>
        <v>42.400000000000304</v>
      </c>
      <c r="D551" s="306">
        <f t="shared" ca="1" si="240"/>
        <v>-0.43219677749407304</v>
      </c>
      <c r="E551" s="307">
        <f t="shared" ca="1" si="241"/>
        <v>-0.91996135654508393</v>
      </c>
      <c r="F551" s="304">
        <f t="shared" ca="1" si="242"/>
        <v>1.0164265600684252</v>
      </c>
      <c r="G551" s="306">
        <f t="shared" ca="1" si="243"/>
        <v>5.8092765495216785</v>
      </c>
      <c r="H551" s="307">
        <f t="shared" ca="1" si="244"/>
        <v>-120.47447081023134</v>
      </c>
      <c r="I551" s="304">
        <f t="shared" ca="1" si="245"/>
        <v>120.61445108706546</v>
      </c>
      <c r="J551" s="306">
        <f t="shared" ca="1" si="246"/>
        <v>654.69663191211532</v>
      </c>
      <c r="K551" s="307">
        <f t="shared" ca="1" si="247"/>
        <v>562.93556315810713</v>
      </c>
      <c r="L551" s="304">
        <f t="shared" ca="1" si="232"/>
        <v>863.43739095848923</v>
      </c>
      <c r="M551" s="306">
        <f t="shared" ca="1" si="248"/>
        <v>-1.5226136680965534</v>
      </c>
      <c r="N551" s="304">
        <f t="shared" ca="1" si="249"/>
        <v>-87.239337010865626</v>
      </c>
      <c r="P551" s="310">
        <f t="shared" ca="1" si="250"/>
        <v>23</v>
      </c>
      <c r="Q551" s="304">
        <f t="shared" ca="1" si="251"/>
        <v>0</v>
      </c>
      <c r="R551" s="306">
        <f t="shared" ca="1" si="252"/>
        <v>0</v>
      </c>
      <c r="S551" s="307">
        <f t="shared" ca="1" si="253"/>
        <v>2.0842999999999985</v>
      </c>
      <c r="T551" s="304">
        <f t="shared" ca="1" si="233"/>
        <v>20.446982999999985</v>
      </c>
      <c r="U551" s="311">
        <f t="shared" ca="1" si="234"/>
        <v>0</v>
      </c>
      <c r="V551" s="306">
        <f t="shared" ca="1" si="235"/>
        <v>1.1579282472582171</v>
      </c>
      <c r="W551" s="304">
        <f t="shared" ca="1" si="236"/>
        <v>18.601452129398261</v>
      </c>
      <c r="Y551" s="314" t="str">
        <f t="shared" ca="1" si="254"/>
        <v/>
      </c>
      <c r="Z551" s="315" t="str">
        <f t="shared" ca="1" si="255"/>
        <v/>
      </c>
      <c r="AA551" s="316" t="str">
        <f t="shared" ca="1" si="256"/>
        <v/>
      </c>
      <c r="AC551" s="310" t="e">
        <f t="shared" ca="1" si="257"/>
        <v>#N/A</v>
      </c>
      <c r="AD551" s="323" t="e">
        <f t="shared" ca="1" si="258"/>
        <v>#N/A</v>
      </c>
      <c r="AE551" s="324" t="e">
        <f t="shared" ca="1" si="237"/>
        <v>#N/A</v>
      </c>
      <c r="AG551" s="306">
        <f t="shared" ca="1" si="259"/>
        <v>0.89788928842049209</v>
      </c>
      <c r="AH551" s="304">
        <f t="shared" ca="1" si="260"/>
        <v>-8.9005382498250061</v>
      </c>
    </row>
    <row r="552" spans="1:34" x14ac:dyDescent="0.25">
      <c r="A552" s="347">
        <f t="shared" ca="1" si="238"/>
        <v>0.1</v>
      </c>
      <c r="B552" s="304">
        <f t="shared" ca="1" si="239"/>
        <v>42.500000000000306</v>
      </c>
      <c r="D552" s="306">
        <f t="shared" ca="1" si="240"/>
        <v>-0.42984247394693442</v>
      </c>
      <c r="E552" s="307">
        <f t="shared" ca="1" si="241"/>
        <v>-0.89580145237165176</v>
      </c>
      <c r="F552" s="304">
        <f t="shared" ca="1" si="242"/>
        <v>0.99359186514382336</v>
      </c>
      <c r="G552" s="306">
        <f t="shared" ca="1" si="243"/>
        <v>5.7662923021269847</v>
      </c>
      <c r="H552" s="307">
        <f t="shared" ca="1" si="244"/>
        <v>-120.5640509554685</v>
      </c>
      <c r="I552" s="304">
        <f t="shared" ca="1" si="245"/>
        <v>120.70186622296431</v>
      </c>
      <c r="J552" s="306">
        <f t="shared" ca="1" si="246"/>
        <v>655.27541035469778</v>
      </c>
      <c r="K552" s="307">
        <f t="shared" ca="1" si="247"/>
        <v>550.88363706982216</v>
      </c>
      <c r="L552" s="304">
        <f t="shared" ca="1" si="232"/>
        <v>856.07163544109619</v>
      </c>
      <c r="M552" s="306">
        <f t="shared" ca="1" si="248"/>
        <v>-1.5230051193970828</v>
      </c>
      <c r="N552" s="304">
        <f t="shared" ca="1" si="249"/>
        <v>-87.261765518270877</v>
      </c>
      <c r="P552" s="310">
        <f t="shared" ca="1" si="250"/>
        <v>23</v>
      </c>
      <c r="Q552" s="304">
        <f t="shared" ca="1" si="251"/>
        <v>0</v>
      </c>
      <c r="R552" s="306">
        <f t="shared" ca="1" si="252"/>
        <v>0</v>
      </c>
      <c r="S552" s="307">
        <f t="shared" ca="1" si="253"/>
        <v>2.0842999999999985</v>
      </c>
      <c r="T552" s="304">
        <f t="shared" ca="1" si="233"/>
        <v>20.446982999999985</v>
      </c>
      <c r="U552" s="311">
        <f t="shared" ca="1" si="234"/>
        <v>0</v>
      </c>
      <c r="V552" s="306">
        <f t="shared" ca="1" si="235"/>
        <v>1.1593256993394421</v>
      </c>
      <c r="W552" s="304">
        <f t="shared" ca="1" si="236"/>
        <v>18.65090646388364</v>
      </c>
      <c r="Y552" s="314" t="str">
        <f t="shared" ca="1" si="254"/>
        <v/>
      </c>
      <c r="Z552" s="315" t="str">
        <f t="shared" ca="1" si="255"/>
        <v/>
      </c>
      <c r="AA552" s="316" t="str">
        <f t="shared" ca="1" si="256"/>
        <v/>
      </c>
      <c r="AC552" s="310" t="e">
        <f t="shared" ca="1" si="257"/>
        <v>#N/A</v>
      </c>
      <c r="AD552" s="323" t="e">
        <f t="shared" ca="1" si="258"/>
        <v>#N/A</v>
      </c>
      <c r="AE552" s="324" t="e">
        <f t="shared" ca="1" si="237"/>
        <v>#N/A</v>
      </c>
      <c r="AG552" s="306">
        <f t="shared" ca="1" si="259"/>
        <v>0.87405888076813021</v>
      </c>
      <c r="AH552" s="304">
        <f t="shared" ca="1" si="260"/>
        <v>-8.924556028114127</v>
      </c>
    </row>
    <row r="553" spans="1:34" x14ac:dyDescent="0.25">
      <c r="A553" s="347">
        <f t="shared" ca="1" si="238"/>
        <v>0.1</v>
      </c>
      <c r="B553" s="304">
        <f t="shared" ca="1" si="239"/>
        <v>42.600000000000307</v>
      </c>
      <c r="D553" s="306">
        <f t="shared" ca="1" si="240"/>
        <v>-0.42748648026259428</v>
      </c>
      <c r="E553" s="307">
        <f t="shared" ca="1" si="241"/>
        <v>-0.87193389292071544</v>
      </c>
      <c r="F553" s="304">
        <f t="shared" ca="1" si="242"/>
        <v>0.9710887726831029</v>
      </c>
      <c r="G553" s="306">
        <f t="shared" ca="1" si="243"/>
        <v>5.723543654100725</v>
      </c>
      <c r="H553" s="307">
        <f t="shared" ca="1" si="244"/>
        <v>-120.65124434476057</v>
      </c>
      <c r="I553" s="304">
        <f t="shared" ca="1" si="245"/>
        <v>120.7869269163659</v>
      </c>
      <c r="J553" s="306">
        <f t="shared" ca="1" si="246"/>
        <v>655.84990215250912</v>
      </c>
      <c r="K553" s="307">
        <f t="shared" ca="1" si="247"/>
        <v>538.82287230481074</v>
      </c>
      <c r="L553" s="304">
        <f t="shared" ca="1" si="232"/>
        <v>848.80456046858171</v>
      </c>
      <c r="M553" s="306">
        <f t="shared" ca="1" si="248"/>
        <v>-1.523393119423325</v>
      </c>
      <c r="N553" s="304">
        <f t="shared" ca="1" si="249"/>
        <v>-87.283996282225516</v>
      </c>
      <c r="P553" s="310">
        <f t="shared" ca="1" si="250"/>
        <v>23</v>
      </c>
      <c r="Q553" s="304">
        <f t="shared" ca="1" si="251"/>
        <v>0</v>
      </c>
      <c r="R553" s="306">
        <f t="shared" ca="1" si="252"/>
        <v>0</v>
      </c>
      <c r="S553" s="307">
        <f t="shared" ca="1" si="253"/>
        <v>2.0842999999999985</v>
      </c>
      <c r="T553" s="304">
        <f t="shared" ca="1" si="233"/>
        <v>20.446982999999985</v>
      </c>
      <c r="U553" s="311">
        <f t="shared" ca="1" si="234"/>
        <v>0</v>
      </c>
      <c r="V553" s="306">
        <f t="shared" ca="1" si="235"/>
        <v>1.1607258181077713</v>
      </c>
      <c r="W553" s="304">
        <f t="shared" ca="1" si="236"/>
        <v>18.699759435427492</v>
      </c>
      <c r="Y553" s="314" t="str">
        <f t="shared" ca="1" si="254"/>
        <v/>
      </c>
      <c r="Z553" s="315" t="str">
        <f t="shared" ca="1" si="255"/>
        <v/>
      </c>
      <c r="AA553" s="316" t="str">
        <f t="shared" ca="1" si="256"/>
        <v/>
      </c>
      <c r="AC553" s="310" t="e">
        <f t="shared" ca="1" si="257"/>
        <v>#N/A</v>
      </c>
      <c r="AD553" s="323" t="e">
        <f t="shared" ca="1" si="258"/>
        <v>#N/A</v>
      </c>
      <c r="AE553" s="324" t="e">
        <f t="shared" ca="1" si="237"/>
        <v>#N/A</v>
      </c>
      <c r="AG553" s="306">
        <f t="shared" ca="1" si="259"/>
        <v>0.8505160152690312</v>
      </c>
      <c r="AH553" s="304">
        <f t="shared" ca="1" si="260"/>
        <v>-8.9482830993060762</v>
      </c>
    </row>
    <row r="554" spans="1:34" x14ac:dyDescent="0.25">
      <c r="A554" s="347">
        <f t="shared" ca="1" si="238"/>
        <v>0.1</v>
      </c>
      <c r="B554" s="304">
        <f t="shared" ca="1" si="239"/>
        <v>42.700000000000308</v>
      </c>
      <c r="D554" s="306">
        <f t="shared" ca="1" si="240"/>
        <v>-0.42512912471631875</v>
      </c>
      <c r="E554" s="307">
        <f t="shared" ca="1" si="241"/>
        <v>-0.84835647912398038</v>
      </c>
      <c r="F554" s="304">
        <f t="shared" ca="1" si="242"/>
        <v>0.94891700814860502</v>
      </c>
      <c r="G554" s="306">
        <f t="shared" ca="1" si="243"/>
        <v>5.6810307416290931</v>
      </c>
      <c r="H554" s="307">
        <f t="shared" ca="1" si="244"/>
        <v>-120.73607999267297</v>
      </c>
      <c r="I554" s="304">
        <f t="shared" ca="1" si="245"/>
        <v>120.86966171163242</v>
      </c>
      <c r="J554" s="306">
        <f t="shared" ca="1" si="246"/>
        <v>656.42013087229566</v>
      </c>
      <c r="K554" s="307">
        <f t="shared" ca="1" si="247"/>
        <v>526.75350608793906</v>
      </c>
      <c r="L554" s="304">
        <f t="shared" ca="1" si="232"/>
        <v>841.63926024772525</v>
      </c>
      <c r="M554" s="306">
        <f t="shared" ca="1" si="248"/>
        <v>-1.5237777083530495</v>
      </c>
      <c r="N554" s="304">
        <f t="shared" ca="1" si="249"/>
        <v>-87.306031604746181</v>
      </c>
      <c r="P554" s="310">
        <f t="shared" ca="1" si="250"/>
        <v>23</v>
      </c>
      <c r="Q554" s="304">
        <f t="shared" ca="1" si="251"/>
        <v>0</v>
      </c>
      <c r="R554" s="306">
        <f t="shared" ca="1" si="252"/>
        <v>0</v>
      </c>
      <c r="S554" s="307">
        <f t="shared" ca="1" si="253"/>
        <v>2.0842999999999985</v>
      </c>
      <c r="T554" s="304">
        <f t="shared" ca="1" si="233"/>
        <v>20.446982999999985</v>
      </c>
      <c r="U554" s="311">
        <f t="shared" ca="1" si="234"/>
        <v>0</v>
      </c>
      <c r="V554" s="306">
        <f t="shared" ca="1" si="235"/>
        <v>1.1621285824846737</v>
      </c>
      <c r="W554" s="304">
        <f t="shared" ca="1" si="236"/>
        <v>18.748015631184252</v>
      </c>
      <c r="Y554" s="314" t="str">
        <f t="shared" ca="1" si="254"/>
        <v/>
      </c>
      <c r="Z554" s="315" t="str">
        <f t="shared" ca="1" si="255"/>
        <v/>
      </c>
      <c r="AA554" s="316" t="str">
        <f t="shared" ca="1" si="256"/>
        <v/>
      </c>
      <c r="AC554" s="310" t="e">
        <f t="shared" ca="1" si="257"/>
        <v>#N/A</v>
      </c>
      <c r="AD554" s="323" t="e">
        <f t="shared" ca="1" si="258"/>
        <v>#N/A</v>
      </c>
      <c r="AE554" s="324" t="e">
        <f t="shared" ca="1" si="237"/>
        <v>#N/A</v>
      </c>
      <c r="AG554" s="306">
        <f t="shared" ca="1" si="259"/>
        <v>0.82725856432701228</v>
      </c>
      <c r="AH554" s="304">
        <f t="shared" ca="1" si="260"/>
        <v>-8.9717216501595285</v>
      </c>
    </row>
    <row r="555" spans="1:34" x14ac:dyDescent="0.25">
      <c r="A555" s="347">
        <f t="shared" ca="1" si="238"/>
        <v>0.1</v>
      </c>
      <c r="B555" s="304">
        <f t="shared" ca="1" si="239"/>
        <v>42.80000000000031</v>
      </c>
      <c r="D555" s="306">
        <f t="shared" ca="1" si="240"/>
        <v>-0.42277072934745263</v>
      </c>
      <c r="E555" s="307">
        <f t="shared" ca="1" si="241"/>
        <v>-0.82506699778613246</v>
      </c>
      <c r="F555" s="304">
        <f t="shared" ca="1" si="242"/>
        <v>0.92707639406296982</v>
      </c>
      <c r="G555" s="306">
        <f t="shared" ca="1" si="243"/>
        <v>5.6387536686943474</v>
      </c>
      <c r="H555" s="307">
        <f t="shared" ca="1" si="244"/>
        <v>-120.81858669245159</v>
      </c>
      <c r="I555" s="304">
        <f t="shared" ca="1" si="245"/>
        <v>120.95009893876752</v>
      </c>
      <c r="J555" s="306">
        <f t="shared" ca="1" si="246"/>
        <v>656.9861200928118</v>
      </c>
      <c r="K555" s="307">
        <f t="shared" ca="1" si="247"/>
        <v>514.67577275368285</v>
      </c>
      <c r="L555" s="304">
        <f t="shared" ca="1" si="232"/>
        <v>834.57888366181851</v>
      </c>
      <c r="M555" s="306">
        <f t="shared" ca="1" si="248"/>
        <v>-1.5241589256720056</v>
      </c>
      <c r="N555" s="304">
        <f t="shared" ca="1" si="249"/>
        <v>-87.327873748199664</v>
      </c>
      <c r="P555" s="310">
        <f t="shared" ca="1" si="250"/>
        <v>23</v>
      </c>
      <c r="Q555" s="304">
        <f t="shared" ca="1" si="251"/>
        <v>0</v>
      </c>
      <c r="R555" s="306">
        <f t="shared" ca="1" si="252"/>
        <v>0</v>
      </c>
      <c r="S555" s="307">
        <f t="shared" ca="1" si="253"/>
        <v>2.0842999999999985</v>
      </c>
      <c r="T555" s="304">
        <f t="shared" ca="1" si="233"/>
        <v>20.446982999999985</v>
      </c>
      <c r="U555" s="311">
        <f t="shared" ca="1" si="234"/>
        <v>0</v>
      </c>
      <c r="V555" s="306">
        <f t="shared" ca="1" si="235"/>
        <v>1.1635339716203927</v>
      </c>
      <c r="W555" s="304">
        <f t="shared" ca="1" si="236"/>
        <v>18.795679665489132</v>
      </c>
      <c r="Y555" s="314" t="str">
        <f t="shared" ca="1" si="254"/>
        <v/>
      </c>
      <c r="Z555" s="315" t="str">
        <f t="shared" ca="1" si="255"/>
        <v/>
      </c>
      <c r="AA555" s="316" t="str">
        <f t="shared" ca="1" si="256"/>
        <v/>
      </c>
      <c r="AC555" s="310" t="e">
        <f t="shared" ca="1" si="257"/>
        <v>#N/A</v>
      </c>
      <c r="AD555" s="323" t="e">
        <f t="shared" ca="1" si="258"/>
        <v>#N/A</v>
      </c>
      <c r="AE555" s="324" t="e">
        <f t="shared" ca="1" si="237"/>
        <v>#N/A</v>
      </c>
      <c r="AG555" s="306">
        <f t="shared" ca="1" si="259"/>
        <v>0.80428438499204802</v>
      </c>
      <c r="AH555" s="304">
        <f t="shared" ca="1" si="260"/>
        <v>-8.9948738814874378</v>
      </c>
    </row>
    <row r="556" spans="1:34" x14ac:dyDescent="0.25">
      <c r="A556" s="347">
        <f t="shared" ca="1" si="238"/>
        <v>0.1</v>
      </c>
      <c r="B556" s="304">
        <f t="shared" ca="1" si="239"/>
        <v>42.900000000000311</v>
      </c>
      <c r="D556" s="306">
        <f t="shared" ca="1" si="240"/>
        <v>-0.4204116100133346</v>
      </c>
      <c r="E556" s="307">
        <f t="shared" ca="1" si="241"/>
        <v>-0.80206322260385576</v>
      </c>
      <c r="F556" s="304">
        <f t="shared" ca="1" si="242"/>
        <v>0.90556685832007255</v>
      </c>
      <c r="G556" s="306">
        <f t="shared" ca="1" si="243"/>
        <v>5.596712507693014</v>
      </c>
      <c r="H556" s="307">
        <f t="shared" ca="1" si="244"/>
        <v>-120.89879301471197</v>
      </c>
      <c r="I556" s="304">
        <f t="shared" ca="1" si="245"/>
        <v>121.02826671198731</v>
      </c>
      <c r="J556" s="306">
        <f t="shared" ca="1" si="246"/>
        <v>657.5478934016312</v>
      </c>
      <c r="K556" s="307">
        <f t="shared" ca="1" si="247"/>
        <v>502.58990376832469</v>
      </c>
      <c r="L556" s="304">
        <f t="shared" ca="1" si="232"/>
        <v>827.62663290083697</v>
      </c>
      <c r="M556" s="306">
        <f t="shared" ca="1" si="248"/>
        <v>-1.5245368101896766</v>
      </c>
      <c r="N556" s="304">
        <f t="shared" ca="1" si="249"/>
        <v>-87.34952493620554</v>
      </c>
      <c r="P556" s="310">
        <f t="shared" ca="1" si="250"/>
        <v>23</v>
      </c>
      <c r="Q556" s="304">
        <f t="shared" ca="1" si="251"/>
        <v>0</v>
      </c>
      <c r="R556" s="306">
        <f t="shared" ca="1" si="252"/>
        <v>0</v>
      </c>
      <c r="S556" s="307">
        <f t="shared" ca="1" si="253"/>
        <v>2.0842999999999985</v>
      </c>
      <c r="T556" s="304">
        <f t="shared" ca="1" si="233"/>
        <v>20.446982999999985</v>
      </c>
      <c r="U556" s="311">
        <f t="shared" ca="1" si="234"/>
        <v>0</v>
      </c>
      <c r="V556" s="306">
        <f t="shared" ca="1" si="235"/>
        <v>1.1649419648926367</v>
      </c>
      <c r="W556" s="304">
        <f t="shared" ca="1" si="236"/>
        <v>18.842756177793532</v>
      </c>
      <c r="Y556" s="314" t="str">
        <f t="shared" ca="1" si="254"/>
        <v/>
      </c>
      <c r="Z556" s="315" t="str">
        <f t="shared" ca="1" si="255"/>
        <v/>
      </c>
      <c r="AA556" s="316" t="str">
        <f t="shared" ca="1" si="256"/>
        <v/>
      </c>
      <c r="AC556" s="310" t="e">
        <f t="shared" ca="1" si="257"/>
        <v>#N/A</v>
      </c>
      <c r="AD556" s="323" t="e">
        <f t="shared" ca="1" si="258"/>
        <v>#N/A</v>
      </c>
      <c r="AE556" s="324" t="e">
        <f t="shared" ca="1" si="237"/>
        <v>#N/A</v>
      </c>
      <c r="AG556" s="306">
        <f t="shared" ca="1" si="259"/>
        <v>0.78159132000814324</v>
      </c>
      <c r="AH556" s="304">
        <f t="shared" ca="1" si="260"/>
        <v>-9.0177420071434753</v>
      </c>
    </row>
    <row r="557" spans="1:34" x14ac:dyDescent="0.25">
      <c r="A557" s="347">
        <f t="shared" ca="1" si="238"/>
        <v>0.1</v>
      </c>
      <c r="B557" s="304">
        <f t="shared" ca="1" si="239"/>
        <v>43.000000000000313</v>
      </c>
      <c r="D557" s="306">
        <f t="shared" ca="1" si="240"/>
        <v>-0.41805207644422593</v>
      </c>
      <c r="E557" s="307">
        <f t="shared" ca="1" si="241"/>
        <v>-0.77934291516170262</v>
      </c>
      <c r="F557" s="304">
        <f t="shared" ca="1" si="242"/>
        <v>0.88438844295483066</v>
      </c>
      <c r="G557" s="306">
        <f t="shared" ca="1" si="243"/>
        <v>5.5549073000485913</v>
      </c>
      <c r="H557" s="307">
        <f t="shared" ca="1" si="244"/>
        <v>-120.97672730622814</v>
      </c>
      <c r="I557" s="304">
        <f t="shared" ca="1" si="245"/>
        <v>121.10419292839377</v>
      </c>
      <c r="J557" s="306">
        <f t="shared" ca="1" si="246"/>
        <v>658.10547439201832</v>
      </c>
      <c r="K557" s="307">
        <f t="shared" ca="1" si="247"/>
        <v>490.49612775227769</v>
      </c>
      <c r="L557" s="304">
        <f t="shared" ca="1" si="232"/>
        <v>820.78576179458798</v>
      </c>
      <c r="M557" s="306">
        <f t="shared" ca="1" si="248"/>
        <v>-1.5249114000546116</v>
      </c>
      <c r="N557" s="304">
        <f t="shared" ca="1" si="249"/>
        <v>-87.370987354514696</v>
      </c>
      <c r="P557" s="310">
        <f t="shared" ca="1" si="250"/>
        <v>23</v>
      </c>
      <c r="Q557" s="304">
        <f t="shared" ca="1" si="251"/>
        <v>0</v>
      </c>
      <c r="R557" s="306">
        <f t="shared" ca="1" si="252"/>
        <v>0</v>
      </c>
      <c r="S557" s="307">
        <f t="shared" ca="1" si="253"/>
        <v>2.0842999999999985</v>
      </c>
      <c r="T557" s="304">
        <f t="shared" ca="1" si="233"/>
        <v>20.446982999999985</v>
      </c>
      <c r="U557" s="311">
        <f t="shared" ca="1" si="234"/>
        <v>0</v>
      </c>
      <c r="V557" s="306">
        <f t="shared" ca="1" si="235"/>
        <v>1.1663525419052456</v>
      </c>
      <c r="W557" s="304">
        <f t="shared" ca="1" si="236"/>
        <v>18.889249830647973</v>
      </c>
      <c r="Y557" s="314" t="str">
        <f t="shared" ca="1" si="254"/>
        <v/>
      </c>
      <c r="Z557" s="315" t="str">
        <f t="shared" ca="1" si="255"/>
        <v/>
      </c>
      <c r="AA557" s="316" t="str">
        <f t="shared" ca="1" si="256"/>
        <v/>
      </c>
      <c r="AC557" s="310">
        <f t="shared" ca="1" si="257"/>
        <v>43.000000000000313</v>
      </c>
      <c r="AD557" s="323">
        <f t="shared" ca="1" si="258"/>
        <v>658.10547439201832</v>
      </c>
      <c r="AE557" s="324" t="e">
        <f t="shared" ca="1" si="237"/>
        <v>#N/A</v>
      </c>
      <c r="AG557" s="306">
        <f t="shared" ca="1" si="259"/>
        <v>0.75917719883708656</v>
      </c>
      <c r="AH557" s="304">
        <f t="shared" ca="1" si="260"/>
        <v>-9.040328253031495</v>
      </c>
    </row>
    <row r="558" spans="1:34" x14ac:dyDescent="0.25">
      <c r="A558" s="347">
        <f t="shared" ca="1" si="238"/>
        <v>0.1</v>
      </c>
      <c r="B558" s="304">
        <f t="shared" ca="1" si="239"/>
        <v>43.100000000000314</v>
      </c>
      <c r="D558" s="306">
        <f t="shared" ca="1" si="240"/>
        <v>-0.41569243229919134</v>
      </c>
      <c r="E558" s="307">
        <f t="shared" ca="1" si="241"/>
        <v>-0.75690382590504512</v>
      </c>
      <c r="F558" s="304">
        <f t="shared" ca="1" si="242"/>
        <v>0.86354131339531903</v>
      </c>
      <c r="G558" s="306">
        <f t="shared" ca="1" si="243"/>
        <v>5.5133380568186725</v>
      </c>
      <c r="H558" s="307">
        <f t="shared" ca="1" si="244"/>
        <v>-121.05241768881865</v>
      </c>
      <c r="I558" s="304">
        <f t="shared" ca="1" si="245"/>
        <v>121.17790526674811</v>
      </c>
      <c r="J558" s="306">
        <f t="shared" ca="1" si="246"/>
        <v>658.65888665986165</v>
      </c>
      <c r="K558" s="307">
        <f t="shared" ca="1" si="247"/>
        <v>478.39467050252534</v>
      </c>
      <c r="L558" s="304">
        <f t="shared" ca="1" si="232"/>
        <v>814.05957382812483</v>
      </c>
      <c r="M558" s="306">
        <f t="shared" ca="1" si="248"/>
        <v>-1.5252827327693481</v>
      </c>
      <c r="N558" s="304">
        <f t="shared" ca="1" si="249"/>
        <v>-87.392263151864242</v>
      </c>
      <c r="P558" s="310">
        <f t="shared" ca="1" si="250"/>
        <v>23</v>
      </c>
      <c r="Q558" s="304">
        <f t="shared" ca="1" si="251"/>
        <v>0</v>
      </c>
      <c r="R558" s="306">
        <f t="shared" ca="1" si="252"/>
        <v>0</v>
      </c>
      <c r="S558" s="307">
        <f t="shared" ca="1" si="253"/>
        <v>2.0842999999999985</v>
      </c>
      <c r="T558" s="304">
        <f t="shared" ca="1" si="233"/>
        <v>20.446982999999985</v>
      </c>
      <c r="U558" s="311">
        <f t="shared" ca="1" si="234"/>
        <v>0</v>
      </c>
      <c r="V558" s="306">
        <f t="shared" ca="1" si="235"/>
        <v>1.1677656824868476</v>
      </c>
      <c r="W558" s="304">
        <f t="shared" ca="1" si="236"/>
        <v>18.935165307732198</v>
      </c>
      <c r="Y558" s="314" t="str">
        <f t="shared" ca="1" si="254"/>
        <v/>
      </c>
      <c r="Z558" s="315" t="str">
        <f t="shared" ca="1" si="255"/>
        <v/>
      </c>
      <c r="AA558" s="316" t="str">
        <f t="shared" ca="1" si="256"/>
        <v/>
      </c>
      <c r="AC558" s="310" t="e">
        <f t="shared" ca="1" si="257"/>
        <v>#N/A</v>
      </c>
      <c r="AD558" s="323" t="e">
        <f t="shared" ca="1" si="258"/>
        <v>#N/A</v>
      </c>
      <c r="AE558" s="324" t="e">
        <f t="shared" ca="1" si="237"/>
        <v>#N/A</v>
      </c>
      <c r="AG558" s="306">
        <f t="shared" ca="1" si="259"/>
        <v>0.73703983865842204</v>
      </c>
      <c r="AH558" s="304">
        <f t="shared" ca="1" si="260"/>
        <v>-9.0626348561377856</v>
      </c>
    </row>
    <row r="559" spans="1:34" x14ac:dyDescent="0.25">
      <c r="A559" s="347">
        <f t="shared" ca="1" si="238"/>
        <v>0.1</v>
      </c>
      <c r="B559" s="304">
        <f t="shared" ca="1" si="239"/>
        <v>43.200000000000315</v>
      </c>
      <c r="D559" s="306">
        <f t="shared" ca="1" si="240"/>
        <v>-0.41333297522288176</v>
      </c>
      <c r="E559" s="307">
        <f t="shared" ca="1" si="241"/>
        <v>-0.7347436950902857</v>
      </c>
      <c r="F559" s="304">
        <f t="shared" ca="1" si="242"/>
        <v>0.84302576821917252</v>
      </c>
      <c r="G559" s="306">
        <f t="shared" ca="1" si="243"/>
        <v>5.4720047592963841</v>
      </c>
      <c r="H559" s="307">
        <f t="shared" ca="1" si="244"/>
        <v>-121.12589205832768</v>
      </c>
      <c r="I559" s="304">
        <f t="shared" ca="1" si="245"/>
        <v>121.2494311863417</v>
      </c>
      <c r="J559" s="306">
        <f t="shared" ca="1" si="246"/>
        <v>659.20815380066745</v>
      </c>
      <c r="K559" s="307">
        <f t="shared" ca="1" si="247"/>
        <v>466.28575501516804</v>
      </c>
      <c r="L559" s="304">
        <f t="shared" ca="1" si="232"/>
        <v>807.45141981877134</v>
      </c>
      <c r="M559" s="306">
        <f t="shared" ca="1" si="248"/>
        <v>-1.5256508452049389</v>
      </c>
      <c r="N559" s="304">
        <f t="shared" ca="1" si="249"/>
        <v>-87.413354440809869</v>
      </c>
      <c r="P559" s="310">
        <f t="shared" ca="1" si="250"/>
        <v>23</v>
      </c>
      <c r="Q559" s="304">
        <f t="shared" ca="1" si="251"/>
        <v>0</v>
      </c>
      <c r="R559" s="306">
        <f t="shared" ca="1" si="252"/>
        <v>0</v>
      </c>
      <c r="S559" s="307">
        <f t="shared" ca="1" si="253"/>
        <v>2.0842999999999985</v>
      </c>
      <c r="T559" s="304">
        <f t="shared" ca="1" si="233"/>
        <v>20.446982999999985</v>
      </c>
      <c r="U559" s="311">
        <f t="shared" ca="1" si="234"/>
        <v>0</v>
      </c>
      <c r="V559" s="306">
        <f t="shared" ca="1" si="235"/>
        <v>1.1691813666894972</v>
      </c>
      <c r="W559" s="304">
        <f t="shared" ca="1" si="236"/>
        <v>18.980507311931948</v>
      </c>
      <c r="Y559" s="314" t="str">
        <f t="shared" ca="1" si="254"/>
        <v/>
      </c>
      <c r="Z559" s="315" t="str">
        <f t="shared" ca="1" si="255"/>
        <v/>
      </c>
      <c r="AA559" s="316" t="str">
        <f t="shared" ca="1" si="256"/>
        <v/>
      </c>
      <c r="AC559" s="310" t="e">
        <f t="shared" ca="1" si="257"/>
        <v>#N/A</v>
      </c>
      <c r="AD559" s="323" t="e">
        <f t="shared" ca="1" si="258"/>
        <v>#N/A</v>
      </c>
      <c r="AE559" s="324" t="e">
        <f t="shared" ca="1" si="237"/>
        <v>#N/A</v>
      </c>
      <c r="AG559" s="306">
        <f t="shared" ca="1" si="259"/>
        <v>0.71517704534575444</v>
      </c>
      <c r="AH559" s="304">
        <f t="shared" ca="1" si="260"/>
        <v>-9.0846640635859579</v>
      </c>
    </row>
    <row r="560" spans="1:34" x14ac:dyDescent="0.25">
      <c r="A560" s="347">
        <f t="shared" ca="1" si="238"/>
        <v>0.1</v>
      </c>
      <c r="B560" s="304">
        <f t="shared" ca="1" si="239"/>
        <v>43.300000000000317</v>
      </c>
      <c r="D560" s="306">
        <f t="shared" ca="1" si="240"/>
        <v>-0.41097399690314135</v>
      </c>
      <c r="E560" s="307">
        <f t="shared" ca="1" si="241"/>
        <v>-0.71286025371253992</v>
      </c>
      <c r="F560" s="304">
        <f t="shared" ca="1" si="242"/>
        <v>0.82284224943402728</v>
      </c>
      <c r="G560" s="306">
        <f t="shared" ca="1" si="243"/>
        <v>5.4309073596060697</v>
      </c>
      <c r="H560" s="307">
        <f t="shared" ca="1" si="244"/>
        <v>-121.19717808369893</v>
      </c>
      <c r="I560" s="304">
        <f t="shared" ca="1" si="245"/>
        <v>121.31879792596222</v>
      </c>
      <c r="J560" s="306">
        <f t="shared" ca="1" si="246"/>
        <v>659.75329940661254</v>
      </c>
      <c r="K560" s="307">
        <f t="shared" ca="1" si="247"/>
        <v>454.16960150806671</v>
      </c>
      <c r="L560" s="304">
        <f t="shared" ca="1" si="232"/>
        <v>800.96469523438259</v>
      </c>
      <c r="M560" s="306">
        <f t="shared" ca="1" si="248"/>
        <v>-1.5260157736150921</v>
      </c>
      <c r="N560" s="304">
        <f t="shared" ca="1" si="249"/>
        <v>-87.434263298536067</v>
      </c>
      <c r="P560" s="310">
        <f t="shared" ca="1" si="250"/>
        <v>23</v>
      </c>
      <c r="Q560" s="304">
        <f t="shared" ca="1" si="251"/>
        <v>0</v>
      </c>
      <c r="R560" s="306">
        <f t="shared" ca="1" si="252"/>
        <v>0</v>
      </c>
      <c r="S560" s="307">
        <f t="shared" ca="1" si="253"/>
        <v>2.0842999999999985</v>
      </c>
      <c r="T560" s="304">
        <f t="shared" ca="1" si="233"/>
        <v>20.446982999999985</v>
      </c>
      <c r="U560" s="311">
        <f t="shared" ca="1" si="234"/>
        <v>0</v>
      </c>
      <c r="V560" s="306">
        <f t="shared" ca="1" si="235"/>
        <v>1.1705995747872981</v>
      </c>
      <c r="W560" s="304">
        <f t="shared" ca="1" si="236"/>
        <v>19.025280563461941</v>
      </c>
      <c r="Y560" s="314" t="str">
        <f t="shared" ca="1" si="254"/>
        <v/>
      </c>
      <c r="Z560" s="315" t="str">
        <f t="shared" ca="1" si="255"/>
        <v/>
      </c>
      <c r="AA560" s="316" t="str">
        <f t="shared" ca="1" si="256"/>
        <v/>
      </c>
      <c r="AC560" s="310" t="e">
        <f t="shared" ca="1" si="257"/>
        <v>#N/A</v>
      </c>
      <c r="AD560" s="323" t="e">
        <f t="shared" ca="1" si="258"/>
        <v>#N/A</v>
      </c>
      <c r="AE560" s="324" t="e">
        <f t="shared" ca="1" si="237"/>
        <v>#N/A</v>
      </c>
      <c r="AG560" s="306">
        <f t="shared" ca="1" si="259"/>
        <v>0.69358661441975578</v>
      </c>
      <c r="AH560" s="304">
        <f t="shared" ca="1" si="260"/>
        <v>-9.1064181317142268</v>
      </c>
    </row>
    <row r="561" spans="1:34" x14ac:dyDescent="0.25">
      <c r="A561" s="347">
        <f t="shared" ca="1" si="238"/>
        <v>0.1</v>
      </c>
      <c r="B561" s="304">
        <f t="shared" ca="1" si="239"/>
        <v>43.400000000000318</v>
      </c>
      <c r="D561" s="306">
        <f t="shared" ca="1" si="240"/>
        <v>-0.40861578312940783</v>
      </c>
      <c r="E561" s="307">
        <f t="shared" ca="1" si="241"/>
        <v>-0.69125122441104025</v>
      </c>
      <c r="F561" s="304">
        <f t="shared" ca="1" si="242"/>
        <v>0.80299135329854054</v>
      </c>
      <c r="G561" s="306">
        <f t="shared" ca="1" si="243"/>
        <v>5.3900457812931286</v>
      </c>
      <c r="H561" s="307">
        <f t="shared" ca="1" si="244"/>
        <v>-121.26630320614004</v>
      </c>
      <c r="I561" s="304">
        <f t="shared" ca="1" si="245"/>
        <v>121.38603250295284</v>
      </c>
      <c r="J561" s="306">
        <f t="shared" ca="1" si="246"/>
        <v>660.29434706365748</v>
      </c>
      <c r="K561" s="307">
        <f t="shared" ca="1" si="247"/>
        <v>442.04642744357477</v>
      </c>
      <c r="L561" s="304">
        <f t="shared" ca="1" si="232"/>
        <v>794.60283713302294</v>
      </c>
      <c r="M561" s="306">
        <f t="shared" ca="1" si="248"/>
        <v>-1.52637755364994</v>
      </c>
      <c r="N561" s="304">
        <f t="shared" ca="1" si="249"/>
        <v>-87.454991767644941</v>
      </c>
      <c r="P561" s="310">
        <f t="shared" ca="1" si="250"/>
        <v>23</v>
      </c>
      <c r="Q561" s="304">
        <f t="shared" ca="1" si="251"/>
        <v>0</v>
      </c>
      <c r="R561" s="306">
        <f t="shared" ca="1" si="252"/>
        <v>0</v>
      </c>
      <c r="S561" s="307">
        <f t="shared" ca="1" si="253"/>
        <v>2.0842999999999985</v>
      </c>
      <c r="T561" s="304">
        <f t="shared" ca="1" si="233"/>
        <v>20.446982999999985</v>
      </c>
      <c r="U561" s="311">
        <f t="shared" ca="1" si="234"/>
        <v>0</v>
      </c>
      <c r="V561" s="306">
        <f t="shared" ca="1" si="235"/>
        <v>1.1720202872750154</v>
      </c>
      <c r="W561" s="304">
        <f t="shared" ca="1" si="236"/>
        <v>19.069489798034695</v>
      </c>
      <c r="Y561" s="314" t="str">
        <f t="shared" ca="1" si="254"/>
        <v/>
      </c>
      <c r="Z561" s="315" t="str">
        <f t="shared" ca="1" si="255"/>
        <v/>
      </c>
      <c r="AA561" s="316" t="str">
        <f t="shared" ca="1" si="256"/>
        <v/>
      </c>
      <c r="AC561" s="310" t="e">
        <f t="shared" ca="1" si="257"/>
        <v>#N/A</v>
      </c>
      <c r="AD561" s="323" t="e">
        <f t="shared" ca="1" si="258"/>
        <v>#N/A</v>
      </c>
      <c r="AE561" s="324" t="e">
        <f t="shared" ca="1" si="237"/>
        <v>#N/A</v>
      </c>
      <c r="AG561" s="306">
        <f t="shared" ca="1" si="259"/>
        <v>0.67226633197803665</v>
      </c>
      <c r="AH561" s="304">
        <f t="shared" ca="1" si="260"/>
        <v>-9.127899325174857</v>
      </c>
    </row>
    <row r="562" spans="1:34" x14ac:dyDescent="0.25">
      <c r="A562" s="347">
        <f t="shared" ca="1" si="238"/>
        <v>0.1</v>
      </c>
      <c r="B562" s="304">
        <f t="shared" ca="1" si="239"/>
        <v>43.50000000000032</v>
      </c>
      <c r="D562" s="306">
        <f t="shared" ca="1" si="240"/>
        <v>-0.40625861385182888</v>
      </c>
      <c r="E562" s="307">
        <f t="shared" ca="1" si="241"/>
        <v>-0.66991432235242598</v>
      </c>
      <c r="F562" s="304">
        <f t="shared" ca="1" si="242"/>
        <v>0.78347384169589196</v>
      </c>
      <c r="G562" s="306">
        <f t="shared" ca="1" si="243"/>
        <v>5.3494199199079455</v>
      </c>
      <c r="H562" s="307">
        <f t="shared" ca="1" si="244"/>
        <v>-121.33329463837528</v>
      </c>
      <c r="I562" s="304">
        <f t="shared" ca="1" si="245"/>
        <v>121.45116171236197</v>
      </c>
      <c r="J562" s="306">
        <f t="shared" ca="1" si="246"/>
        <v>660.83132034871755</v>
      </c>
      <c r="K562" s="307">
        <f t="shared" ca="1" si="247"/>
        <v>429.91644755134899</v>
      </c>
      <c r="L562" s="304">
        <f t="shared" ca="1" si="232"/>
        <v>788.3693207050876</v>
      </c>
      <c r="M562" s="306">
        <f t="shared" ca="1" si="248"/>
        <v>-1.5267362203694452</v>
      </c>
      <c r="N562" s="304">
        <f t="shared" ca="1" si="249"/>
        <v>-87.475541856924394</v>
      </c>
      <c r="P562" s="310">
        <f t="shared" ca="1" si="250"/>
        <v>23</v>
      </c>
      <c r="Q562" s="304">
        <f t="shared" ca="1" si="251"/>
        <v>0</v>
      </c>
      <c r="R562" s="306">
        <f t="shared" ca="1" si="252"/>
        <v>0</v>
      </c>
      <c r="S562" s="307">
        <f t="shared" ca="1" si="253"/>
        <v>2.0842999999999985</v>
      </c>
      <c r="T562" s="304">
        <f t="shared" ca="1" si="233"/>
        <v>20.446982999999985</v>
      </c>
      <c r="U562" s="311">
        <f t="shared" ca="1" si="234"/>
        <v>0</v>
      </c>
      <c r="V562" s="306">
        <f t="shared" ca="1" si="235"/>
        <v>1.1734434848666722</v>
      </c>
      <c r="W562" s="304">
        <f t="shared" ca="1" si="236"/>
        <v>19.113139765074589</v>
      </c>
      <c r="Y562" s="314" t="str">
        <f t="shared" ca="1" si="254"/>
        <v/>
      </c>
      <c r="Z562" s="315" t="str">
        <f t="shared" ca="1" si="255"/>
        <v/>
      </c>
      <c r="AA562" s="316" t="str">
        <f t="shared" ca="1" si="256"/>
        <v/>
      </c>
      <c r="AC562" s="310" t="e">
        <f t="shared" ca="1" si="257"/>
        <v>#N/A</v>
      </c>
      <c r="AD562" s="323" t="e">
        <f t="shared" ca="1" si="258"/>
        <v>#N/A</v>
      </c>
      <c r="AE562" s="324" t="e">
        <f t="shared" ca="1" si="237"/>
        <v>#N/A</v>
      </c>
      <c r="AG562" s="306">
        <f t="shared" ca="1" si="259"/>
        <v>0.65121397560214689</v>
      </c>
      <c r="AH562" s="304">
        <f t="shared" ca="1" si="260"/>
        <v>-9.1491099160556111</v>
      </c>
    </row>
    <row r="563" spans="1:34" x14ac:dyDescent="0.25">
      <c r="A563" s="347">
        <f t="shared" ca="1" si="238"/>
        <v>0.1</v>
      </c>
      <c r="B563" s="304">
        <f t="shared" ca="1" si="239"/>
        <v>43.600000000000321</v>
      </c>
      <c r="D563" s="306">
        <f t="shared" ca="1" si="240"/>
        <v>-0.40390276324104479</v>
      </c>
      <c r="E563" s="307">
        <f t="shared" ca="1" si="241"/>
        <v>-0.64884725609222116</v>
      </c>
      <c r="F563" s="304">
        <f t="shared" ca="1" si="242"/>
        <v>0.76429065406568719</v>
      </c>
      <c r="G563" s="306">
        <f t="shared" ca="1" si="243"/>
        <v>5.3090296435838411</v>
      </c>
      <c r="H563" s="307">
        <f t="shared" ca="1" si="244"/>
        <v>-121.3981793639845</v>
      </c>
      <c r="I563" s="304">
        <f t="shared" ca="1" si="245"/>
        <v>121.51421212618136</v>
      </c>
      <c r="J563" s="306">
        <f t="shared" ca="1" si="246"/>
        <v>661.36424282689211</v>
      </c>
      <c r="K563" s="307">
        <f t="shared" ca="1" si="247"/>
        <v>417.779873851231</v>
      </c>
      <c r="L563" s="304">
        <f t="shared" ca="1" si="232"/>
        <v>782.26765540008034</v>
      </c>
      <c r="M563" s="306">
        <f t="shared" ca="1" si="248"/>
        <v>-1.5270918082564562</v>
      </c>
      <c r="N563" s="304">
        <f t="shared" ca="1" si="249"/>
        <v>-87.4959155420961</v>
      </c>
      <c r="P563" s="310">
        <f t="shared" ca="1" si="250"/>
        <v>23</v>
      </c>
      <c r="Q563" s="304">
        <f t="shared" ca="1" si="251"/>
        <v>0</v>
      </c>
      <c r="R563" s="306">
        <f t="shared" ca="1" si="252"/>
        <v>0</v>
      </c>
      <c r="S563" s="307">
        <f t="shared" ca="1" si="253"/>
        <v>2.0842999999999985</v>
      </c>
      <c r="T563" s="304">
        <f t="shared" ca="1" si="233"/>
        <v>20.446982999999985</v>
      </c>
      <c r="U563" s="311">
        <f t="shared" ca="1" si="234"/>
        <v>0</v>
      </c>
      <c r="V563" s="306">
        <f t="shared" ca="1" si="235"/>
        <v>1.1748691484941329</v>
      </c>
      <c r="W563" s="304">
        <f t="shared" ca="1" si="236"/>
        <v>19.156235225976669</v>
      </c>
      <c r="Y563" s="314" t="str">
        <f t="shared" ca="1" si="254"/>
        <v/>
      </c>
      <c r="Z563" s="315" t="str">
        <f t="shared" ca="1" si="255"/>
        <v/>
      </c>
      <c r="AA563" s="316" t="str">
        <f t="shared" ca="1" si="256"/>
        <v/>
      </c>
      <c r="AC563" s="310" t="e">
        <f t="shared" ca="1" si="257"/>
        <v>#N/A</v>
      </c>
      <c r="AD563" s="323" t="e">
        <f t="shared" ca="1" si="258"/>
        <v>#N/A</v>
      </c>
      <c r="AE563" s="324" t="e">
        <f t="shared" ca="1" si="237"/>
        <v>#N/A</v>
      </c>
      <c r="AG563" s="306">
        <f t="shared" ca="1" si="259"/>
        <v>0.63042731524203965</v>
      </c>
      <c r="AH563" s="304">
        <f t="shared" ca="1" si="260"/>
        <v>-9.1700521830228858</v>
      </c>
    </row>
    <row r="564" spans="1:34" x14ac:dyDescent="0.25">
      <c r="A564" s="347">
        <f t="shared" ca="1" si="238"/>
        <v>0.1</v>
      </c>
      <c r="B564" s="304">
        <f t="shared" ca="1" si="239"/>
        <v>43.700000000000323</v>
      </c>
      <c r="D564" s="306">
        <f t="shared" ca="1" si="240"/>
        <v>-0.40154849974859169</v>
      </c>
      <c r="E564" s="307">
        <f t="shared" ca="1" si="241"/>
        <v>-0.62804772841469969</v>
      </c>
      <c r="F564" s="304">
        <f t="shared" ca="1" si="242"/>
        <v>0.74544291989206601</v>
      </c>
      <c r="G564" s="306">
        <f t="shared" ca="1" si="243"/>
        <v>5.2688747936089824</v>
      </c>
      <c r="H564" s="307">
        <f t="shared" ca="1" si="244"/>
        <v>-121.46098413682597</v>
      </c>
      <c r="I564" s="304">
        <f t="shared" ca="1" si="245"/>
        <v>121.57521009267069</v>
      </c>
      <c r="J564" s="306">
        <f t="shared" ca="1" si="246"/>
        <v>661.89313804875178</v>
      </c>
      <c r="K564" s="307">
        <f t="shared" ca="1" si="247"/>
        <v>405.63691567619048</v>
      </c>
      <c r="L564" s="304">
        <f t="shared" ca="1" si="232"/>
        <v>776.30138062180254</v>
      </c>
      <c r="M564" s="306">
        <f t="shared" ca="1" si="248"/>
        <v>-1.5274443512294218</v>
      </c>
      <c r="N564" s="304">
        <f t="shared" ca="1" si="249"/>
        <v>-87.516114766544021</v>
      </c>
      <c r="P564" s="310">
        <f t="shared" ca="1" si="250"/>
        <v>23</v>
      </c>
      <c r="Q564" s="304">
        <f t="shared" ca="1" si="251"/>
        <v>0</v>
      </c>
      <c r="R564" s="306">
        <f t="shared" ca="1" si="252"/>
        <v>0</v>
      </c>
      <c r="S564" s="307">
        <f t="shared" ca="1" si="253"/>
        <v>2.0842999999999985</v>
      </c>
      <c r="T564" s="304">
        <f t="shared" ca="1" si="233"/>
        <v>20.446982999999985</v>
      </c>
      <c r="U564" s="311">
        <f t="shared" ca="1" si="234"/>
        <v>0</v>
      </c>
      <c r="V564" s="306">
        <f t="shared" ca="1" si="235"/>
        <v>1.176297259305678</v>
      </c>
      <c r="W564" s="304">
        <f t="shared" ca="1" si="236"/>
        <v>19.198780952409866</v>
      </c>
      <c r="Y564" s="314" t="str">
        <f t="shared" ca="1" si="254"/>
        <v/>
      </c>
      <c r="Z564" s="315" t="str">
        <f t="shared" ca="1" si="255"/>
        <v/>
      </c>
      <c r="AA564" s="316" t="str">
        <f t="shared" ca="1" si="256"/>
        <v/>
      </c>
      <c r="AC564" s="310" t="e">
        <f t="shared" ca="1" si="257"/>
        <v>#N/A</v>
      </c>
      <c r="AD564" s="323" t="e">
        <f t="shared" ca="1" si="258"/>
        <v>#N/A</v>
      </c>
      <c r="AE564" s="324" t="e">
        <f t="shared" ca="1" si="237"/>
        <v>#N/A</v>
      </c>
      <c r="AG564" s="306">
        <f t="shared" ca="1" si="259"/>
        <v>0.60990411407819778</v>
      </c>
      <c r="AH564" s="304">
        <f t="shared" ca="1" si="260"/>
        <v>-9.1907284104863418</v>
      </c>
    </row>
    <row r="565" spans="1:34" x14ac:dyDescent="0.25">
      <c r="A565" s="347">
        <f t="shared" ca="1" si="238"/>
        <v>0.1</v>
      </c>
      <c r="B565" s="304">
        <f t="shared" ca="1" si="239"/>
        <v>43.800000000000324</v>
      </c>
      <c r="D565" s="306">
        <f t="shared" ca="1" si="240"/>
        <v>-0.39919608616786773</v>
      </c>
      <c r="E565" s="307">
        <f t="shared" ca="1" si="241"/>
        <v>-0.60751343715138262</v>
      </c>
      <c r="F565" s="304">
        <f t="shared" ca="1" si="242"/>
        <v>0.72693197173547852</v>
      </c>
      <c r="G565" s="306">
        <f t="shared" ca="1" si="243"/>
        <v>5.2289551849921958</v>
      </c>
      <c r="H565" s="307">
        <f t="shared" ca="1" si="244"/>
        <v>-121.52173548054111</v>
      </c>
      <c r="I565" s="304">
        <f t="shared" ca="1" si="245"/>
        <v>121.63418173576562</v>
      </c>
      <c r="J565" s="306">
        <f t="shared" ca="1" si="246"/>
        <v>662.41802954768184</v>
      </c>
      <c r="K565" s="307">
        <f t="shared" ca="1" si="247"/>
        <v>393.4877796953221</v>
      </c>
      <c r="L565" s="304">
        <f t="shared" ca="1" si="232"/>
        <v>770.47406097764758</v>
      </c>
      <c r="M565" s="306">
        <f t="shared" ca="1" si="248"/>
        <v>-1.527793882654775</v>
      </c>
      <c r="N565" s="304">
        <f t="shared" ca="1" si="249"/>
        <v>-87.536141442023961</v>
      </c>
      <c r="P565" s="310">
        <f t="shared" ca="1" si="250"/>
        <v>23</v>
      </c>
      <c r="Q565" s="304">
        <f t="shared" ca="1" si="251"/>
        <v>0</v>
      </c>
      <c r="R565" s="306">
        <f t="shared" ca="1" si="252"/>
        <v>0</v>
      </c>
      <c r="S565" s="307">
        <f t="shared" ca="1" si="253"/>
        <v>2.0842999999999985</v>
      </c>
      <c r="T565" s="304">
        <f t="shared" ca="1" si="233"/>
        <v>20.446982999999985</v>
      </c>
      <c r="U565" s="311">
        <f t="shared" ca="1" si="234"/>
        <v>0</v>
      </c>
      <c r="V565" s="306">
        <f t="shared" ca="1" si="235"/>
        <v>1.1777277986645627</v>
      </c>
      <c r="W565" s="304">
        <f t="shared" ca="1" si="236"/>
        <v>19.240781724663815</v>
      </c>
      <c r="Y565" s="314" t="str">
        <f t="shared" ca="1" si="254"/>
        <v/>
      </c>
      <c r="Z565" s="315" t="str">
        <f t="shared" ca="1" si="255"/>
        <v/>
      </c>
      <c r="AA565" s="316" t="str">
        <f t="shared" ca="1" si="256"/>
        <v/>
      </c>
      <c r="AC565" s="310" t="e">
        <f t="shared" ca="1" si="257"/>
        <v>#N/A</v>
      </c>
      <c r="AD565" s="323" t="e">
        <f t="shared" ca="1" si="258"/>
        <v>#N/A</v>
      </c>
      <c r="AE565" s="324" t="e">
        <f t="shared" ca="1" si="237"/>
        <v>#N/A</v>
      </c>
      <c r="AG565" s="306">
        <f t="shared" ca="1" si="259"/>
        <v>0.58964212936167471</v>
      </c>
      <c r="AH565" s="304">
        <f t="shared" ca="1" si="260"/>
        <v>-9.2111408877848095</v>
      </c>
    </row>
    <row r="566" spans="1:34" x14ac:dyDescent="0.25">
      <c r="A566" s="347">
        <f t="shared" ca="1" si="238"/>
        <v>0.1</v>
      </c>
      <c r="B566" s="304">
        <f t="shared" ca="1" si="239"/>
        <v>43.900000000000325</v>
      </c>
      <c r="D566" s="306">
        <f t="shared" ca="1" si="240"/>
        <v>-0.39684577969562201</v>
      </c>
      <c r="E566" s="307">
        <f t="shared" ca="1" si="241"/>
        <v>-0.58724207597843758</v>
      </c>
      <c r="F566" s="304">
        <f t="shared" ca="1" si="242"/>
        <v>0.70875935878243701</v>
      </c>
      <c r="G566" s="306">
        <f t="shared" ca="1" si="243"/>
        <v>5.1892706070226335</v>
      </c>
      <c r="H566" s="307">
        <f t="shared" ca="1" si="244"/>
        <v>-121.58045968813896</v>
      </c>
      <c r="I566" s="304">
        <f t="shared" ca="1" si="245"/>
        <v>121.69115295456811</v>
      </c>
      <c r="J566" s="306">
        <f t="shared" ca="1" si="246"/>
        <v>662.93894083728253</v>
      </c>
      <c r="K566" s="307">
        <f t="shared" ca="1" si="247"/>
        <v>381.33266993688812</v>
      </c>
      <c r="L566" s="304">
        <f t="shared" ca="1" si="232"/>
        <v>764.78928107005629</v>
      </c>
      <c r="M566" s="306">
        <f t="shared" ca="1" si="248"/>
        <v>-1.5281404353589978</v>
      </c>
      <c r="N566" s="304">
        <f t="shared" ca="1" si="249"/>
        <v>-87.555997449354763</v>
      </c>
      <c r="P566" s="310">
        <f t="shared" ca="1" si="250"/>
        <v>23</v>
      </c>
      <c r="Q566" s="304">
        <f t="shared" ca="1" si="251"/>
        <v>0</v>
      </c>
      <c r="R566" s="306">
        <f t="shared" ca="1" si="252"/>
        <v>0</v>
      </c>
      <c r="S566" s="307">
        <f t="shared" ca="1" si="253"/>
        <v>2.0842999999999985</v>
      </c>
      <c r="T566" s="304">
        <f t="shared" ca="1" si="233"/>
        <v>20.446982999999985</v>
      </c>
      <c r="U566" s="311">
        <f t="shared" ca="1" si="234"/>
        <v>0</v>
      </c>
      <c r="V566" s="306">
        <f t="shared" ca="1" si="235"/>
        <v>1.179160748147571</v>
      </c>
      <c r="W566" s="304">
        <f t="shared" ca="1" si="236"/>
        <v>19.282242330038997</v>
      </c>
      <c r="Y566" s="314" t="str">
        <f t="shared" ca="1" si="254"/>
        <v/>
      </c>
      <c r="Z566" s="315" t="str">
        <f t="shared" ca="1" si="255"/>
        <v/>
      </c>
      <c r="AA566" s="316" t="str">
        <f t="shared" ca="1" si="256"/>
        <v/>
      </c>
      <c r="AC566" s="310" t="e">
        <f t="shared" ca="1" si="257"/>
        <v>#N/A</v>
      </c>
      <c r="AD566" s="323" t="e">
        <f t="shared" ca="1" si="258"/>
        <v>#N/A</v>
      </c>
      <c r="AE566" s="324" t="e">
        <f t="shared" ca="1" si="237"/>
        <v>#N/A</v>
      </c>
      <c r="AG566" s="306">
        <f t="shared" ca="1" si="259"/>
        <v>0.56963911323243011</v>
      </c>
      <c r="AH566" s="304">
        <f t="shared" ca="1" si="260"/>
        <v>-9.2312919083931444</v>
      </c>
    </row>
    <row r="567" spans="1:34" x14ac:dyDescent="0.25">
      <c r="A567" s="347">
        <f t="shared" ca="1" si="238"/>
        <v>0.1</v>
      </c>
      <c r="B567" s="304">
        <f t="shared" ca="1" si="239"/>
        <v>44.000000000000327</v>
      </c>
      <c r="D567" s="306">
        <f t="shared" ca="1" si="240"/>
        <v>-0.39449783199389082</v>
      </c>
      <c r="E567" s="307">
        <f t="shared" ca="1" si="241"/>
        <v>-0.56723133519325053</v>
      </c>
      <c r="F567" s="304">
        <f t="shared" ca="1" si="242"/>
        <v>0.69092686087095923</v>
      </c>
      <c r="G567" s="306">
        <f t="shared" ca="1" si="243"/>
        <v>5.1498208238232444</v>
      </c>
      <c r="H567" s="307">
        <f t="shared" ca="1" si="244"/>
        <v>-121.63718282165829</v>
      </c>
      <c r="I567" s="304">
        <f t="shared" ca="1" si="245"/>
        <v>121.74614942291606</v>
      </c>
      <c r="J567" s="306">
        <f t="shared" ca="1" si="246"/>
        <v>663.45589540882486</v>
      </c>
      <c r="K567" s="307">
        <f t="shared" ca="1" si="247"/>
        <v>369.17178781139825</v>
      </c>
      <c r="L567" s="304">
        <f t="shared" ca="1" si="232"/>
        <v>759.25063982099448</v>
      </c>
      <c r="M567" s="306">
        <f t="shared" ca="1" si="248"/>
        <v>-1.528484041640372</v>
      </c>
      <c r="N567" s="304">
        <f t="shared" ca="1" si="249"/>
        <v>-87.575684639091691</v>
      </c>
      <c r="P567" s="310">
        <f t="shared" ca="1" si="250"/>
        <v>23</v>
      </c>
      <c r="Q567" s="304">
        <f t="shared" ca="1" si="251"/>
        <v>0</v>
      </c>
      <c r="R567" s="306">
        <f t="shared" ca="1" si="252"/>
        <v>0</v>
      </c>
      <c r="S567" s="307">
        <f t="shared" ca="1" si="253"/>
        <v>2.0842999999999985</v>
      </c>
      <c r="T567" s="304">
        <f t="shared" ca="1" si="233"/>
        <v>20.446982999999985</v>
      </c>
      <c r="U567" s="311">
        <f t="shared" ca="1" si="234"/>
        <v>0</v>
      </c>
      <c r="V567" s="306">
        <f t="shared" ca="1" si="235"/>
        <v>1.1805960895435548</v>
      </c>
      <c r="W567" s="304">
        <f t="shared" ca="1" si="236"/>
        <v>19.323167561279561</v>
      </c>
      <c r="Y567" s="314" t="str">
        <f t="shared" ca="1" si="254"/>
        <v/>
      </c>
      <c r="Z567" s="315" t="str">
        <f t="shared" ca="1" si="255"/>
        <v/>
      </c>
      <c r="AA567" s="316" t="str">
        <f t="shared" ca="1" si="256"/>
        <v/>
      </c>
      <c r="AC567" s="310">
        <f t="shared" ca="1" si="257"/>
        <v>44.000000000000327</v>
      </c>
      <c r="AD567" s="323">
        <f t="shared" ca="1" si="258"/>
        <v>663.45589540882486</v>
      </c>
      <c r="AE567" s="324" t="e">
        <f t="shared" ca="1" si="237"/>
        <v>#N/A</v>
      </c>
      <c r="AG567" s="306">
        <f t="shared" ca="1" si="259"/>
        <v>0.54989281351615382</v>
      </c>
      <c r="AH567" s="304">
        <f t="shared" ca="1" si="260"/>
        <v>-9.25118376914984</v>
      </c>
    </row>
    <row r="568" spans="1:34" x14ac:dyDescent="0.25">
      <c r="A568" s="347">
        <f t="shared" ca="1" si="238"/>
        <v>0.1</v>
      </c>
      <c r="B568" s="304">
        <f t="shared" ca="1" si="239"/>
        <v>44.100000000000328</v>
      </c>
      <c r="D568" s="306">
        <f t="shared" ca="1" si="240"/>
        <v>-0.39215248925238161</v>
      </c>
      <c r="E568" s="307">
        <f t="shared" ca="1" si="241"/>
        <v>-0.54747890247034015</v>
      </c>
      <c r="F568" s="304">
        <f t="shared" ca="1" si="242"/>
        <v>0.67343650292879687</v>
      </c>
      <c r="G568" s="306">
        <f t="shared" ca="1" si="243"/>
        <v>5.1106055748980062</v>
      </c>
      <c r="H568" s="307">
        <f t="shared" ca="1" si="244"/>
        <v>-121.69193071190531</v>
      </c>
      <c r="I568" s="304">
        <f t="shared" ca="1" si="245"/>
        <v>121.79919658903069</v>
      </c>
      <c r="J568" s="306">
        <f t="shared" ca="1" si="246"/>
        <v>663.96891672876097</v>
      </c>
      <c r="K568" s="307">
        <f t="shared" ca="1" si="247"/>
        <v>357.00533213472005</v>
      </c>
      <c r="L568" s="304">
        <f t="shared" ca="1" si="232"/>
        <v>753.861744323577</v>
      </c>
      <c r="M568" s="306">
        <f t="shared" ca="1" si="248"/>
        <v>-1.5288247332804306</v>
      </c>
      <c r="N568" s="304">
        <f t="shared" ca="1" si="249"/>
        <v>-87.595204832182446</v>
      </c>
      <c r="P568" s="310">
        <f t="shared" ca="1" si="250"/>
        <v>23</v>
      </c>
      <c r="Q568" s="304">
        <f t="shared" ca="1" si="251"/>
        <v>0</v>
      </c>
      <c r="R568" s="306">
        <f t="shared" ca="1" si="252"/>
        <v>0</v>
      </c>
      <c r="S568" s="307">
        <f t="shared" ca="1" si="253"/>
        <v>2.0842999999999985</v>
      </c>
      <c r="T568" s="304">
        <f t="shared" ca="1" si="233"/>
        <v>20.446982999999985</v>
      </c>
      <c r="U568" s="311">
        <f t="shared" ca="1" si="234"/>
        <v>0</v>
      </c>
      <c r="V568" s="306">
        <f t="shared" ca="1" si="235"/>
        <v>1.1820338048519665</v>
      </c>
      <c r="W568" s="304">
        <f t="shared" ca="1" si="236"/>
        <v>19.363562215048248</v>
      </c>
      <c r="Y568" s="314" t="str">
        <f t="shared" ca="1" si="254"/>
        <v/>
      </c>
      <c r="Z568" s="315" t="str">
        <f t="shared" ca="1" si="255"/>
        <v/>
      </c>
      <c r="AA568" s="316" t="str">
        <f t="shared" ca="1" si="256"/>
        <v/>
      </c>
      <c r="AC568" s="310" t="e">
        <f t="shared" ca="1" si="257"/>
        <v>#N/A</v>
      </c>
      <c r="AD568" s="323" t="e">
        <f t="shared" ca="1" si="258"/>
        <v>#N/A</v>
      </c>
      <c r="AE568" s="324" t="e">
        <f t="shared" ca="1" si="237"/>
        <v>#N/A</v>
      </c>
      <c r="AG568" s="306">
        <f t="shared" ca="1" si="259"/>
        <v>0.53040097449985346</v>
      </c>
      <c r="AH568" s="304">
        <f t="shared" ca="1" si="260"/>
        <v>-9.2708187695051461</v>
      </c>
    </row>
    <row r="569" spans="1:34" x14ac:dyDescent="0.25">
      <c r="A569" s="347">
        <f t="shared" ca="1" si="238"/>
        <v>0.1</v>
      </c>
      <c r="B569" s="304">
        <f t="shared" ca="1" si="239"/>
        <v>44.20000000000033</v>
      </c>
      <c r="D569" s="306">
        <f t="shared" ca="1" si="240"/>
        <v>-0.38980999225120599</v>
      </c>
      <c r="E569" s="307">
        <f t="shared" ca="1" si="241"/>
        <v>-0.52798246359702539</v>
      </c>
      <c r="F569" s="304">
        <f t="shared" ca="1" si="242"/>
        <v>0.65629056973635502</v>
      </c>
      <c r="G569" s="306">
        <f t="shared" ca="1" si="243"/>
        <v>5.0716245756728853</v>
      </c>
      <c r="H569" s="307">
        <f t="shared" ca="1" si="244"/>
        <v>-121.74472895826501</v>
      </c>
      <c r="I569" s="304">
        <f t="shared" ca="1" si="245"/>
        <v>121.85031967523918</v>
      </c>
      <c r="J569" s="306">
        <f t="shared" ca="1" si="246"/>
        <v>664.47802823628956</v>
      </c>
      <c r="K569" s="307">
        <f t="shared" ca="1" si="247"/>
        <v>344.83349915121153</v>
      </c>
      <c r="L569" s="304">
        <f t="shared" ca="1" si="232"/>
        <v>748.62620321870634</v>
      </c>
      <c r="M569" s="306">
        <f t="shared" ca="1" si="248"/>
        <v>-1.5291625415551144</v>
      </c>
      <c r="N569" s="304">
        <f t="shared" ca="1" si="249"/>
        <v>-87.614559820606416</v>
      </c>
      <c r="P569" s="310">
        <f t="shared" ca="1" si="250"/>
        <v>23</v>
      </c>
      <c r="Q569" s="304">
        <f t="shared" ca="1" si="251"/>
        <v>0</v>
      </c>
      <c r="R569" s="306">
        <f t="shared" ca="1" si="252"/>
        <v>0</v>
      </c>
      <c r="S569" s="307">
        <f t="shared" ca="1" si="253"/>
        <v>2.0842999999999985</v>
      </c>
      <c r="T569" s="304">
        <f t="shared" ca="1" si="233"/>
        <v>20.446982999999985</v>
      </c>
      <c r="U569" s="311">
        <f t="shared" ca="1" si="234"/>
        <v>0</v>
      </c>
      <c r="V569" s="306">
        <f t="shared" ca="1" si="235"/>
        <v>1.1834738762813803</v>
      </c>
      <c r="W569" s="304">
        <f t="shared" ca="1" si="236"/>
        <v>19.403431090442897</v>
      </c>
      <c r="Y569" s="314" t="str">
        <f t="shared" ca="1" si="254"/>
        <v/>
      </c>
      <c r="Z569" s="315" t="str">
        <f t="shared" ca="1" si="255"/>
        <v/>
      </c>
      <c r="AA569" s="316" t="str">
        <f t="shared" ca="1" si="256"/>
        <v/>
      </c>
      <c r="AC569" s="310" t="e">
        <f t="shared" ca="1" si="257"/>
        <v>#N/A</v>
      </c>
      <c r="AD569" s="323" t="e">
        <f t="shared" ca="1" si="258"/>
        <v>#N/A</v>
      </c>
      <c r="AE569" s="324" t="e">
        <f t="shared" ca="1" si="237"/>
        <v>#N/A</v>
      </c>
      <c r="AG569" s="306">
        <f t="shared" ca="1" si="259"/>
        <v>0.51116133768658578</v>
      </c>
      <c r="AH569" s="304">
        <f t="shared" ca="1" si="260"/>
        <v>-9.2901992107893587</v>
      </c>
    </row>
    <row r="570" spans="1:34" x14ac:dyDescent="0.25">
      <c r="A570" s="347">
        <f t="shared" ca="1" si="238"/>
        <v>0.1</v>
      </c>
      <c r="B570" s="304">
        <f t="shared" ca="1" si="239"/>
        <v>44.300000000000331</v>
      </c>
      <c r="D570" s="306">
        <f t="shared" ca="1" si="240"/>
        <v>-0.38747057642395516</v>
      </c>
      <c r="E570" s="307">
        <f t="shared" ca="1" si="241"/>
        <v>-0.50873970318899886</v>
      </c>
      <c r="F570" s="304">
        <f t="shared" ca="1" si="242"/>
        <v>0.63949162089517853</v>
      </c>
      <c r="G570" s="306">
        <f t="shared" ca="1" si="243"/>
        <v>5.0328775180304897</v>
      </c>
      <c r="H570" s="307">
        <f t="shared" ca="1" si="244"/>
        <v>-121.79560292858392</v>
      </c>
      <c r="I570" s="304">
        <f t="shared" ca="1" si="245"/>
        <v>121.89954367777091</v>
      </c>
      <c r="J570" s="306">
        <f t="shared" ca="1" si="246"/>
        <v>664.98325334097478</v>
      </c>
      <c r="K570" s="307">
        <f t="shared" ca="1" si="247"/>
        <v>332.65648255686909</v>
      </c>
      <c r="L570" s="304">
        <f t="shared" ca="1" si="232"/>
        <v>743.54761959880921</v>
      </c>
      <c r="M570" s="306">
        <f t="shared" ca="1" si="248"/>
        <v>-1.5294974972456443</v>
      </c>
      <c r="N570" s="304">
        <f t="shared" ca="1" si="249"/>
        <v>-87.633751367997675</v>
      </c>
      <c r="P570" s="310">
        <f t="shared" ca="1" si="250"/>
        <v>23</v>
      </c>
      <c r="Q570" s="304">
        <f t="shared" ca="1" si="251"/>
        <v>0</v>
      </c>
      <c r="R570" s="306">
        <f t="shared" ca="1" si="252"/>
        <v>0</v>
      </c>
      <c r="S570" s="307">
        <f t="shared" ca="1" si="253"/>
        <v>2.0842999999999985</v>
      </c>
      <c r="T570" s="304">
        <f t="shared" ca="1" si="233"/>
        <v>20.446982999999985</v>
      </c>
      <c r="U570" s="311">
        <f t="shared" ca="1" si="234"/>
        <v>0</v>
      </c>
      <c r="V570" s="306">
        <f t="shared" ca="1" si="235"/>
        <v>1.1849162862480114</v>
      </c>
      <c r="W570" s="304">
        <f t="shared" ca="1" si="236"/>
        <v>19.442778987554068</v>
      </c>
      <c r="Y570" s="314" t="str">
        <f t="shared" ca="1" si="254"/>
        <v/>
      </c>
      <c r="Z570" s="315" t="str">
        <f t="shared" ca="1" si="255"/>
        <v/>
      </c>
      <c r="AA570" s="316" t="str">
        <f t="shared" ca="1" si="256"/>
        <v/>
      </c>
      <c r="AC570" s="310" t="e">
        <f t="shared" ca="1" si="257"/>
        <v>#N/A</v>
      </c>
      <c r="AD570" s="323" t="e">
        <f t="shared" ca="1" si="258"/>
        <v>#N/A</v>
      </c>
      <c r="AE570" s="324" t="e">
        <f t="shared" ca="1" si="237"/>
        <v>#N/A</v>
      </c>
      <c r="AG570" s="306">
        <f t="shared" ca="1" si="259"/>
        <v>0.49217164252953083</v>
      </c>
      <c r="AH570" s="304">
        <f t="shared" ca="1" si="260"/>
        <v>-9.309327395501084</v>
      </c>
    </row>
    <row r="571" spans="1:34" x14ac:dyDescent="0.25">
      <c r="A571" s="347">
        <f t="shared" ca="1" si="238"/>
        <v>0.1</v>
      </c>
      <c r="B571" s="304">
        <f t="shared" ca="1" si="239"/>
        <v>44.400000000000333</v>
      </c>
      <c r="D571" s="306">
        <f t="shared" ca="1" si="240"/>
        <v>-0.38513447192106631</v>
      </c>
      <c r="E571" s="307">
        <f t="shared" ca="1" si="241"/>
        <v>-0.48974830538607605</v>
      </c>
      <c r="F571" s="304">
        <f t="shared" ca="1" si="242"/>
        <v>0.62304250584567</v>
      </c>
      <c r="G571" s="306">
        <f t="shared" ca="1" si="243"/>
        <v>4.9943640708383832</v>
      </c>
      <c r="H571" s="307">
        <f t="shared" ca="1" si="244"/>
        <v>-121.84457775912253</v>
      </c>
      <c r="I571" s="304">
        <f t="shared" ca="1" si="245"/>
        <v>121.94689336662471</v>
      </c>
      <c r="J571" s="306">
        <f t="shared" ca="1" si="246"/>
        <v>665.48461542041821</v>
      </c>
      <c r="K571" s="307">
        <f t="shared" ca="1" si="247"/>
        <v>320.47447352248378</v>
      </c>
      <c r="L571" s="304">
        <f t="shared" ca="1" si="232"/>
        <v>738.62958344543381</v>
      </c>
      <c r="M571" s="306">
        <f t="shared" ca="1" si="248"/>
        <v>-1.5298296306491173</v>
      </c>
      <c r="N571" s="304">
        <f t="shared" ca="1" si="249"/>
        <v>-87.652781210251987</v>
      </c>
      <c r="P571" s="310">
        <f t="shared" ca="1" si="250"/>
        <v>23</v>
      </c>
      <c r="Q571" s="304">
        <f t="shared" ca="1" si="251"/>
        <v>0</v>
      </c>
      <c r="R571" s="306">
        <f t="shared" ca="1" si="252"/>
        <v>0</v>
      </c>
      <c r="S571" s="307">
        <f t="shared" ca="1" si="253"/>
        <v>2.0842999999999985</v>
      </c>
      <c r="T571" s="304">
        <f t="shared" ca="1" si="233"/>
        <v>20.446982999999985</v>
      </c>
      <c r="U571" s="311">
        <f t="shared" ca="1" si="234"/>
        <v>0</v>
      </c>
      <c r="V571" s="306">
        <f t="shared" ca="1" si="235"/>
        <v>1.1863610173742178</v>
      </c>
      <c r="W571" s="304">
        <f t="shared" ca="1" si="236"/>
        <v>19.481610706062895</v>
      </c>
      <c r="Y571" s="314" t="str">
        <f t="shared" ca="1" si="254"/>
        <v/>
      </c>
      <c r="Z571" s="315" t="str">
        <f t="shared" ca="1" si="255"/>
        <v/>
      </c>
      <c r="AA571" s="316" t="str">
        <f t="shared" ca="1" si="256"/>
        <v/>
      </c>
      <c r="AC571" s="310" t="e">
        <f t="shared" ca="1" si="257"/>
        <v>#N/A</v>
      </c>
      <c r="AD571" s="323" t="e">
        <f t="shared" ca="1" si="258"/>
        <v>#N/A</v>
      </c>
      <c r="AE571" s="324" t="e">
        <f t="shared" ca="1" si="237"/>
        <v>#N/A</v>
      </c>
      <c r="AG571" s="306">
        <f t="shared" ca="1" si="259"/>
        <v>0.47342962714570902</v>
      </c>
      <c r="AH571" s="304">
        <f t="shared" ca="1" si="260"/>
        <v>-9.32820562661521</v>
      </c>
    </row>
    <row r="572" spans="1:34" x14ac:dyDescent="0.25">
      <c r="A572" s="347">
        <f t="shared" ca="1" si="238"/>
        <v>0.1</v>
      </c>
      <c r="B572" s="304">
        <f t="shared" ca="1" si="239"/>
        <v>44.500000000000334</v>
      </c>
      <c r="D572" s="306">
        <f t="shared" ca="1" si="240"/>
        <v>-0.38280190367341976</v>
      </c>
      <c r="E572" s="307">
        <f t="shared" ca="1" si="241"/>
        <v>-0.47100595452854677</v>
      </c>
      <c r="F572" s="304">
        <f t="shared" ca="1" si="242"/>
        <v>0.60694637873319712</v>
      </c>
      <c r="G572" s="306">
        <f t="shared" ca="1" si="243"/>
        <v>4.9560838804710414</v>
      </c>
      <c r="H572" s="307">
        <f t="shared" ca="1" si="244"/>
        <v>-121.89167835457539</v>
      </c>
      <c r="I572" s="304">
        <f t="shared" ca="1" si="245"/>
        <v>121.99239328550583</v>
      </c>
      <c r="J572" s="306">
        <f t="shared" ca="1" si="246"/>
        <v>665.9821378179837</v>
      </c>
      <c r="K572" s="307">
        <f t="shared" ca="1" si="247"/>
        <v>308.28766071679888</v>
      </c>
      <c r="L572" s="304">
        <f t="shared" ca="1" si="232"/>
        <v>733.8756636126094</v>
      </c>
      <c r="M572" s="306">
        <f t="shared" ca="1" si="248"/>
        <v>-1.5301589715888329</v>
      </c>
      <c r="N572" s="304">
        <f t="shared" ca="1" si="249"/>
        <v>-87.671651056118563</v>
      </c>
      <c r="P572" s="310">
        <f t="shared" ca="1" si="250"/>
        <v>23</v>
      </c>
      <c r="Q572" s="304">
        <f t="shared" ca="1" si="251"/>
        <v>0</v>
      </c>
      <c r="R572" s="306">
        <f t="shared" ca="1" si="252"/>
        <v>0</v>
      </c>
      <c r="S572" s="307">
        <f t="shared" ca="1" si="253"/>
        <v>2.0842999999999985</v>
      </c>
      <c r="T572" s="304">
        <f t="shared" ca="1" si="233"/>
        <v>20.446982999999985</v>
      </c>
      <c r="U572" s="311">
        <f t="shared" ca="1" si="234"/>
        <v>0</v>
      </c>
      <c r="V572" s="306">
        <f t="shared" ca="1" si="235"/>
        <v>1.1878080524870063</v>
      </c>
      <c r="W572" s="304">
        <f t="shared" ca="1" si="236"/>
        <v>19.519931043879055</v>
      </c>
      <c r="Y572" s="314" t="str">
        <f t="shared" ca="1" si="254"/>
        <v/>
      </c>
      <c r="Z572" s="315" t="str">
        <f t="shared" ca="1" si="255"/>
        <v/>
      </c>
      <c r="AA572" s="316" t="str">
        <f t="shared" ca="1" si="256"/>
        <v/>
      </c>
      <c r="AC572" s="310" t="e">
        <f t="shared" ca="1" si="257"/>
        <v>#N/A</v>
      </c>
      <c r="AD572" s="323" t="e">
        <f t="shared" ca="1" si="258"/>
        <v>#N/A</v>
      </c>
      <c r="AE572" s="324" t="e">
        <f t="shared" ca="1" si="237"/>
        <v>#N/A</v>
      </c>
      <c r="AG572" s="306">
        <f t="shared" ca="1" si="259"/>
        <v>0.45493302900975507</v>
      </c>
      <c r="AH572" s="304">
        <f t="shared" ca="1" si="260"/>
        <v>-9.34683620691019</v>
      </c>
    </row>
    <row r="573" spans="1:34" x14ac:dyDescent="0.25">
      <c r="A573" s="347">
        <f t="shared" ca="1" si="238"/>
        <v>0.1</v>
      </c>
      <c r="B573" s="304">
        <f t="shared" ca="1" si="239"/>
        <v>44.600000000000335</v>
      </c>
      <c r="D573" s="306">
        <f t="shared" ca="1" si="240"/>
        <v>-0.38047309145616415</v>
      </c>
      <c r="E573" s="307">
        <f t="shared" ca="1" si="241"/>
        <v>-0.452510335814166</v>
      </c>
      <c r="F573" s="304">
        <f t="shared" ca="1" si="242"/>
        <v>0.59120671286857018</v>
      </c>
      <c r="G573" s="306">
        <f t="shared" ca="1" si="243"/>
        <v>4.918036571325425</v>
      </c>
      <c r="H573" s="307">
        <f t="shared" ca="1" si="244"/>
        <v>-121.93692938815681</v>
      </c>
      <c r="I573" s="304">
        <f t="shared" ca="1" si="245"/>
        <v>122.03606775182998</v>
      </c>
      <c r="J573" s="306">
        <f t="shared" ca="1" si="246"/>
        <v>666.47584384057348</v>
      </c>
      <c r="K573" s="307">
        <f t="shared" ca="1" si="247"/>
        <v>296.09623032966226</v>
      </c>
      <c r="L573" s="304">
        <f t="shared" ca="1" si="232"/>
        <v>729.28939937341806</v>
      </c>
      <c r="M573" s="306">
        <f t="shared" ca="1" si="248"/>
        <v>-1.5304855494243608</v>
      </c>
      <c r="N573" s="304">
        <f t="shared" ca="1" si="249"/>
        <v>-87.690362587776832</v>
      </c>
      <c r="P573" s="310">
        <f t="shared" ca="1" si="250"/>
        <v>23</v>
      </c>
      <c r="Q573" s="304">
        <f t="shared" ca="1" si="251"/>
        <v>0</v>
      </c>
      <c r="R573" s="306">
        <f t="shared" ca="1" si="252"/>
        <v>0</v>
      </c>
      <c r="S573" s="307">
        <f t="shared" ca="1" si="253"/>
        <v>2.0842999999999985</v>
      </c>
      <c r="T573" s="304">
        <f t="shared" ca="1" si="233"/>
        <v>20.446982999999985</v>
      </c>
      <c r="U573" s="311">
        <f t="shared" ca="1" si="234"/>
        <v>0</v>
      </c>
      <c r="V573" s="306">
        <f t="shared" ca="1" si="235"/>
        <v>1.1892573746165231</v>
      </c>
      <c r="W573" s="304">
        <f t="shared" ca="1" si="236"/>
        <v>19.55774479581784</v>
      </c>
      <c r="Y573" s="314" t="str">
        <f t="shared" ca="1" si="254"/>
        <v/>
      </c>
      <c r="Z573" s="315" t="str">
        <f t="shared" ca="1" si="255"/>
        <v/>
      </c>
      <c r="AA573" s="316" t="str">
        <f t="shared" ca="1" si="256"/>
        <v/>
      </c>
      <c r="AC573" s="310" t="e">
        <f t="shared" ca="1" si="257"/>
        <v>#N/A</v>
      </c>
      <c r="AD573" s="323" t="e">
        <f t="shared" ca="1" si="258"/>
        <v>#N/A</v>
      </c>
      <c r="AE573" s="324" t="e">
        <f t="shared" ca="1" si="237"/>
        <v>#N/A</v>
      </c>
      <c r="AG573" s="306">
        <f t="shared" ca="1" si="259"/>
        <v>0.43667958562783227</v>
      </c>
      <c r="AH573" s="304">
        <f t="shared" ca="1" si="260"/>
        <v>-9.3652214383145758</v>
      </c>
    </row>
    <row r="574" spans="1:34" x14ac:dyDescent="0.25">
      <c r="A574" s="347">
        <f t="shared" ca="1" si="238"/>
        <v>0.1</v>
      </c>
      <c r="B574" s="304">
        <f t="shared" ca="1" si="239"/>
        <v>44.700000000000337</v>
      </c>
      <c r="D574" s="306">
        <f t="shared" ca="1" si="240"/>
        <v>-0.3781482499526852</v>
      </c>
      <c r="E574" s="307">
        <f t="shared" ca="1" si="241"/>
        <v>-0.4342591359362924</v>
      </c>
      <c r="F574" s="304">
        <f t="shared" ca="1" si="242"/>
        <v>0.57582731446711855</v>
      </c>
      <c r="G574" s="306">
        <f t="shared" ca="1" si="243"/>
        <v>4.8802217463301565</v>
      </c>
      <c r="H574" s="307">
        <f t="shared" ca="1" si="244"/>
        <v>-121.98035530175044</v>
      </c>
      <c r="I574" s="304">
        <f t="shared" ca="1" si="245"/>
        <v>122.07794085679292</v>
      </c>
      <c r="J574" s="306">
        <f t="shared" ca="1" si="246"/>
        <v>666.96575675645624</v>
      </c>
      <c r="K574" s="307">
        <f t="shared" ca="1" si="247"/>
        <v>283.90036609516687</v>
      </c>
      <c r="L574" s="304">
        <f t="shared" ca="1" si="232"/>
        <v>724.87429155315067</v>
      </c>
      <c r="M574" s="306">
        <f t="shared" ca="1" si="248"/>
        <v>-1.530809393061354</v>
      </c>
      <c r="N574" s="304">
        <f t="shared" ca="1" si="249"/>
        <v>-87.708917461398713</v>
      </c>
      <c r="P574" s="310">
        <f t="shared" ca="1" si="250"/>
        <v>23</v>
      </c>
      <c r="Q574" s="304">
        <f t="shared" ca="1" si="251"/>
        <v>0</v>
      </c>
      <c r="R574" s="306">
        <f t="shared" ca="1" si="252"/>
        <v>0</v>
      </c>
      <c r="S574" s="307">
        <f t="shared" ca="1" si="253"/>
        <v>2.0842999999999985</v>
      </c>
      <c r="T574" s="304">
        <f t="shared" ca="1" si="233"/>
        <v>20.446982999999985</v>
      </c>
      <c r="U574" s="311">
        <f t="shared" ca="1" si="234"/>
        <v>0</v>
      </c>
      <c r="V574" s="306">
        <f t="shared" ca="1" si="235"/>
        <v>1.1907089669945436</v>
      </c>
      <c r="W574" s="304">
        <f t="shared" ca="1" si="236"/>
        <v>19.595056752315994</v>
      </c>
      <c r="Y574" s="314" t="str">
        <f t="shared" ca="1" si="254"/>
        <v/>
      </c>
      <c r="Z574" s="315" t="str">
        <f t="shared" ca="1" si="255"/>
        <v/>
      </c>
      <c r="AA574" s="316" t="str">
        <f t="shared" ca="1" si="256"/>
        <v/>
      </c>
      <c r="AC574" s="310" t="e">
        <f t="shared" ca="1" si="257"/>
        <v>#N/A</v>
      </c>
      <c r="AD574" s="323" t="e">
        <f t="shared" ca="1" si="258"/>
        <v>#N/A</v>
      </c>
      <c r="AE574" s="324" t="e">
        <f t="shared" ca="1" si="237"/>
        <v>#N/A</v>
      </c>
      <c r="AG574" s="306">
        <f t="shared" ca="1" si="259"/>
        <v>0.41866703519221993</v>
      </c>
      <c r="AH574" s="304">
        <f t="shared" ca="1" si="260"/>
        <v>-9.3833636212722986</v>
      </c>
    </row>
    <row r="575" spans="1:34" x14ac:dyDescent="0.25">
      <c r="A575" s="347">
        <f t="shared" ca="1" si="238"/>
        <v>0.1</v>
      </c>
      <c r="B575" s="304">
        <f t="shared" ca="1" si="239"/>
        <v>44.800000000000338</v>
      </c>
      <c r="D575" s="306">
        <f t="shared" ca="1" si="240"/>
        <v>-0.3758275888187152</v>
      </c>
      <c r="E575" s="307">
        <f t="shared" ca="1" si="241"/>
        <v>-0.41625004370330565</v>
      </c>
      <c r="F575" s="304">
        <f t="shared" ca="1" si="242"/>
        <v>0.56081233527829355</v>
      </c>
      <c r="G575" s="306">
        <f t="shared" ca="1" si="243"/>
        <v>4.8426389874482849</v>
      </c>
      <c r="H575" s="307">
        <f t="shared" ca="1" si="244"/>
        <v>-122.02198030612077</v>
      </c>
      <c r="I575" s="304">
        <f t="shared" ca="1" si="245"/>
        <v>122.11803646550365</v>
      </c>
      <c r="J575" s="306">
        <f t="shared" ca="1" si="246"/>
        <v>667.45189979314512</v>
      </c>
      <c r="K575" s="307">
        <f t="shared" ca="1" si="247"/>
        <v>271.70024931477332</v>
      </c>
      <c r="L575" s="304">
        <f t="shared" ca="1" si="232"/>
        <v>720.63379327865869</v>
      </c>
      <c r="M575" s="306">
        <f t="shared" ca="1" si="248"/>
        <v>-1.5311305309611147</v>
      </c>
      <c r="N575" s="304">
        <f t="shared" ca="1" si="249"/>
        <v>-87.727317307696694</v>
      </c>
      <c r="P575" s="310">
        <f t="shared" ca="1" si="250"/>
        <v>23</v>
      </c>
      <c r="Q575" s="304">
        <f t="shared" ca="1" si="251"/>
        <v>0</v>
      </c>
      <c r="R575" s="306">
        <f t="shared" ca="1" si="252"/>
        <v>0</v>
      </c>
      <c r="S575" s="307">
        <f t="shared" ca="1" si="253"/>
        <v>2.0842999999999985</v>
      </c>
      <c r="T575" s="304">
        <f t="shared" ca="1" si="233"/>
        <v>20.446982999999985</v>
      </c>
      <c r="U575" s="311">
        <f t="shared" ca="1" si="234"/>
        <v>0</v>
      </c>
      <c r="V575" s="306">
        <f t="shared" ca="1" si="235"/>
        <v>1.1921628130529558</v>
      </c>
      <c r="W575" s="304">
        <f t="shared" ca="1" si="236"/>
        <v>19.631871698185712</v>
      </c>
      <c r="Y575" s="314" t="str">
        <f t="shared" ca="1" si="254"/>
        <v/>
      </c>
      <c r="Z575" s="315" t="str">
        <f t="shared" ca="1" si="255"/>
        <v/>
      </c>
      <c r="AA575" s="316" t="str">
        <f t="shared" ca="1" si="256"/>
        <v/>
      </c>
      <c r="AC575" s="310" t="e">
        <f t="shared" ca="1" si="257"/>
        <v>#N/A</v>
      </c>
      <c r="AD575" s="323" t="e">
        <f t="shared" ca="1" si="258"/>
        <v>#N/A</v>
      </c>
      <c r="AE575" s="324" t="e">
        <f t="shared" ca="1" si="237"/>
        <v>#N/A</v>
      </c>
      <c r="AG575" s="306">
        <f t="shared" ca="1" si="259"/>
        <v>0.40089311721668963</v>
      </c>
      <c r="AH575" s="304">
        <f t="shared" ca="1" si="260"/>
        <v>-9.4012650541265685</v>
      </c>
    </row>
    <row r="576" spans="1:34" x14ac:dyDescent="0.25">
      <c r="A576" s="347">
        <f t="shared" ca="1" si="238"/>
        <v>0.1</v>
      </c>
      <c r="B576" s="304">
        <f t="shared" ca="1" si="239"/>
        <v>44.90000000000034</v>
      </c>
      <c r="D576" s="306">
        <f t="shared" ca="1" si="240"/>
        <v>-0.37351131274654725</v>
      </c>
      <c r="E576" s="307">
        <f t="shared" ca="1" si="241"/>
        <v>-0.39848075063965993</v>
      </c>
      <c r="F576" s="304">
        <f t="shared" ca="1" si="242"/>
        <v>0.54616628363530084</v>
      </c>
      <c r="G576" s="306">
        <f t="shared" ca="1" si="243"/>
        <v>4.8052878561736305</v>
      </c>
      <c r="H576" s="307">
        <f t="shared" ca="1" si="244"/>
        <v>-122.06182838118474</v>
      </c>
      <c r="I576" s="304">
        <f t="shared" ca="1" si="245"/>
        <v>122.15637821717901</v>
      </c>
      <c r="J576" s="306">
        <f t="shared" ca="1" si="246"/>
        <v>667.93429613532624</v>
      </c>
      <c r="K576" s="307">
        <f t="shared" ca="1" si="247"/>
        <v>259.49605888040804</v>
      </c>
      <c r="L576" s="304">
        <f t="shared" ca="1" si="232"/>
        <v>716.57130037998161</v>
      </c>
      <c r="M576" s="306">
        <f t="shared" ca="1" si="248"/>
        <v>-1.5314489911499243</v>
      </c>
      <c r="N576" s="304">
        <f t="shared" ca="1" si="249"/>
        <v>-87.745563732458422</v>
      </c>
      <c r="P576" s="310">
        <f t="shared" ca="1" si="250"/>
        <v>23</v>
      </c>
      <c r="Q576" s="304">
        <f t="shared" ca="1" si="251"/>
        <v>0</v>
      </c>
      <c r="R576" s="306">
        <f t="shared" ca="1" si="252"/>
        <v>0</v>
      </c>
      <c r="S576" s="307">
        <f t="shared" ca="1" si="253"/>
        <v>2.0842999999999985</v>
      </c>
      <c r="T576" s="304">
        <f t="shared" ca="1" si="233"/>
        <v>20.446982999999985</v>
      </c>
      <c r="U576" s="311">
        <f t="shared" ca="1" si="234"/>
        <v>0</v>
      </c>
      <c r="V576" s="306">
        <f t="shared" ca="1" si="235"/>
        <v>1.1936188964222372</v>
      </c>
      <c r="W576" s="304">
        <f t="shared" ca="1" si="236"/>
        <v>19.668194411406038</v>
      </c>
      <c r="Y576" s="314" t="str">
        <f t="shared" ca="1" si="254"/>
        <v/>
      </c>
      <c r="Z576" s="315" t="str">
        <f t="shared" ca="1" si="255"/>
        <v/>
      </c>
      <c r="AA576" s="316" t="str">
        <f t="shared" ca="1" si="256"/>
        <v/>
      </c>
      <c r="AC576" s="310" t="e">
        <f t="shared" ca="1" si="257"/>
        <v>#N/A</v>
      </c>
      <c r="AD576" s="323" t="e">
        <f t="shared" ca="1" si="258"/>
        <v>#N/A</v>
      </c>
      <c r="AE576" s="324" t="e">
        <f t="shared" ca="1" si="237"/>
        <v>#N/A</v>
      </c>
      <c r="AG576" s="306">
        <f t="shared" ca="1" si="259"/>
        <v>0.38335557315307689</v>
      </c>
      <c r="AH576" s="304">
        <f t="shared" ca="1" si="260"/>
        <v>-9.418928032522059</v>
      </c>
    </row>
    <row r="577" spans="1:34" x14ac:dyDescent="0.25">
      <c r="A577" s="347">
        <f t="shared" ca="1" si="238"/>
        <v>0.1</v>
      </c>
      <c r="B577" s="304">
        <f t="shared" ca="1" si="239"/>
        <v>45.000000000000341</v>
      </c>
      <c r="D577" s="306">
        <f t="shared" ca="1" si="240"/>
        <v>-0.37119962152927749</v>
      </c>
      <c r="E577" s="307">
        <f t="shared" ca="1" si="241"/>
        <v>-0.38094895156885045</v>
      </c>
      <c r="F577" s="304">
        <f t="shared" ca="1" si="242"/>
        <v>0.5318940333608615</v>
      </c>
      <c r="G577" s="306">
        <f t="shared" ca="1" si="243"/>
        <v>4.7681678940207028</v>
      </c>
      <c r="H577" s="307">
        <f t="shared" ca="1" si="244"/>
        <v>-122.09992327634163</v>
      </c>
      <c r="I577" s="304">
        <f t="shared" ca="1" si="245"/>
        <v>122.19298952539823</v>
      </c>
      <c r="J577" s="306">
        <f t="shared" ca="1" si="246"/>
        <v>668.41296892283594</v>
      </c>
      <c r="K577" s="307">
        <f t="shared" ca="1" si="247"/>
        <v>247.28797129753173</v>
      </c>
      <c r="L577" s="304">
        <f t="shared" ca="1" si="232"/>
        <v>712.6901414869501</v>
      </c>
      <c r="M577" s="306">
        <f t="shared" ca="1" si="248"/>
        <v>-1.5317648012281371</v>
      </c>
      <c r="N577" s="304">
        <f t="shared" ca="1" si="249"/>
        <v>-87.763658317067708</v>
      </c>
      <c r="P577" s="310">
        <f t="shared" ca="1" si="250"/>
        <v>23</v>
      </c>
      <c r="Q577" s="304">
        <f t="shared" ca="1" si="251"/>
        <v>0</v>
      </c>
      <c r="R577" s="306">
        <f t="shared" ca="1" si="252"/>
        <v>0</v>
      </c>
      <c r="S577" s="307">
        <f t="shared" ca="1" si="253"/>
        <v>2.0842999999999985</v>
      </c>
      <c r="T577" s="304">
        <f t="shared" ca="1" si="233"/>
        <v>20.446982999999985</v>
      </c>
      <c r="U577" s="311">
        <f t="shared" ca="1" si="234"/>
        <v>0</v>
      </c>
      <c r="V577" s="306">
        <f t="shared" ca="1" si="235"/>
        <v>1.1950772009299317</v>
      </c>
      <c r="W577" s="304">
        <f t="shared" ca="1" si="236"/>
        <v>19.704029661951306</v>
      </c>
      <c r="Y577" s="314" t="str">
        <f t="shared" ca="1" si="254"/>
        <v/>
      </c>
      <c r="Z577" s="315" t="str">
        <f t="shared" ca="1" si="255"/>
        <v/>
      </c>
      <c r="AA577" s="316" t="str">
        <f t="shared" ca="1" si="256"/>
        <v/>
      </c>
      <c r="AC577" s="310">
        <f t="shared" ca="1" si="257"/>
        <v>45.000000000000341</v>
      </c>
      <c r="AD577" s="323">
        <f t="shared" ca="1" si="258"/>
        <v>668.41296892283594</v>
      </c>
      <c r="AE577" s="324" t="e">
        <f t="shared" ca="1" si="237"/>
        <v>#N/A</v>
      </c>
      <c r="AG577" s="306">
        <f t="shared" ca="1" si="259"/>
        <v>0.36605214698932542</v>
      </c>
      <c r="AH577" s="304">
        <f t="shared" ca="1" si="260"/>
        <v>-9.4363548488250508</v>
      </c>
    </row>
    <row r="578" spans="1:34" x14ac:dyDescent="0.25">
      <c r="A578" s="347">
        <f t="shared" ca="1" si="238"/>
        <v>0.1</v>
      </c>
      <c r="B578" s="304">
        <f t="shared" ca="1" si="239"/>
        <v>45.100000000000342</v>
      </c>
      <c r="D578" s="306">
        <f t="shared" ca="1" si="240"/>
        <v>-0.36889271012510788</v>
      </c>
      <c r="E578" s="307">
        <f t="shared" ca="1" si="241"/>
        <v>-0.36365234517853295</v>
      </c>
      <c r="F578" s="304">
        <f t="shared" ca="1" si="242"/>
        <v>0.51800082986158791</v>
      </c>
      <c r="G578" s="306">
        <f t="shared" ca="1" si="243"/>
        <v>4.7312786230081922</v>
      </c>
      <c r="H578" s="307">
        <f t="shared" ca="1" si="244"/>
        <v>-122.13628851085949</v>
      </c>
      <c r="I578" s="304">
        <f t="shared" ca="1" si="245"/>
        <v>122.2278935784154</v>
      </c>
      <c r="J578" s="306">
        <f t="shared" ca="1" si="246"/>
        <v>668.88794124868741</v>
      </c>
      <c r="K578" s="307">
        <f t="shared" ca="1" si="247"/>
        <v>235.07616070817167</v>
      </c>
      <c r="L578" s="304">
        <f t="shared" ca="1" si="232"/>
        <v>708.99356787011936</v>
      </c>
      <c r="M578" s="306">
        <f t="shared" ca="1" si="248"/>
        <v>-1.5320779883790518</v>
      </c>
      <c r="N578" s="304">
        <f t="shared" ca="1" si="249"/>
        <v>-87.781602619012858</v>
      </c>
      <c r="P578" s="310">
        <f t="shared" ca="1" si="250"/>
        <v>23</v>
      </c>
      <c r="Q578" s="304">
        <f t="shared" ca="1" si="251"/>
        <v>0</v>
      </c>
      <c r="R578" s="306">
        <f t="shared" ca="1" si="252"/>
        <v>0</v>
      </c>
      <c r="S578" s="307">
        <f t="shared" ca="1" si="253"/>
        <v>2.0842999999999985</v>
      </c>
      <c r="T578" s="304">
        <f t="shared" ca="1" si="233"/>
        <v>20.446982999999985</v>
      </c>
      <c r="U578" s="311">
        <f t="shared" ca="1" si="234"/>
        <v>0</v>
      </c>
      <c r="V578" s="306">
        <f t="shared" ca="1" si="235"/>
        <v>1.1965377105991151</v>
      </c>
      <c r="W578" s="304">
        <f t="shared" ca="1" si="236"/>
        <v>19.739382210655751</v>
      </c>
      <c r="Y578" s="314" t="str">
        <f t="shared" ca="1" si="254"/>
        <v/>
      </c>
      <c r="Z578" s="315" t="str">
        <f t="shared" ca="1" si="255"/>
        <v/>
      </c>
      <c r="AA578" s="316" t="str">
        <f t="shared" ca="1" si="256"/>
        <v/>
      </c>
      <c r="AC578" s="310" t="e">
        <f t="shared" ca="1" si="257"/>
        <v>#N/A</v>
      </c>
      <c r="AD578" s="323" t="e">
        <f t="shared" ca="1" si="258"/>
        <v>#N/A</v>
      </c>
      <c r="AE578" s="324" t="e">
        <f t="shared" ca="1" si="237"/>
        <v>#N/A</v>
      </c>
      <c r="AG578" s="306">
        <f t="shared" ca="1" si="259"/>
        <v>0.34898058582927405</v>
      </c>
      <c r="AH578" s="304">
        <f t="shared" ca="1" si="260"/>
        <v>-9.4535477915613502</v>
      </c>
    </row>
    <row r="579" spans="1:34" x14ac:dyDescent="0.25">
      <c r="A579" s="347">
        <f t="shared" ca="1" si="238"/>
        <v>0.1</v>
      </c>
      <c r="B579" s="304">
        <f t="shared" ca="1" si="239"/>
        <v>45.200000000000344</v>
      </c>
      <c r="D579" s="306">
        <f t="shared" ca="1" si="240"/>
        <v>-0.36659076872160912</v>
      </c>
      <c r="E579" s="307">
        <f t="shared" ca="1" si="241"/>
        <v>-0.34658863456820299</v>
      </c>
      <c r="F579" s="304">
        <f t="shared" ca="1" si="242"/>
        <v>0.50449229263067208</v>
      </c>
      <c r="G579" s="306">
        <f t="shared" ca="1" si="243"/>
        <v>4.6946195461360309</v>
      </c>
      <c r="H579" s="307">
        <f t="shared" ca="1" si="244"/>
        <v>-122.17094737431631</v>
      </c>
      <c r="I579" s="304">
        <f t="shared" ca="1" si="245"/>
        <v>122.26111333952807</v>
      </c>
      <c r="J579" s="306">
        <f t="shared" ca="1" si="246"/>
        <v>669.35923615714466</v>
      </c>
      <c r="K579" s="307">
        <f t="shared" ca="1" si="247"/>
        <v>222.86079891391287</v>
      </c>
      <c r="L579" s="304">
        <f t="shared" ca="1" si="232"/>
        <v>705.48474308196319</v>
      </c>
      <c r="M579" s="306">
        <f t="shared" ca="1" si="248"/>
        <v>-1.532388579377562</v>
      </c>
      <c r="N579" s="304">
        <f t="shared" ca="1" si="249"/>
        <v>-87.79939817238224</v>
      </c>
      <c r="P579" s="310">
        <f t="shared" ca="1" si="250"/>
        <v>23</v>
      </c>
      <c r="Q579" s="304">
        <f t="shared" ca="1" si="251"/>
        <v>0</v>
      </c>
      <c r="R579" s="306">
        <f t="shared" ca="1" si="252"/>
        <v>0</v>
      </c>
      <c r="S579" s="307">
        <f t="shared" ca="1" si="253"/>
        <v>2.0842999999999985</v>
      </c>
      <c r="T579" s="304">
        <f t="shared" ca="1" si="233"/>
        <v>20.446982999999985</v>
      </c>
      <c r="U579" s="311">
        <f t="shared" ca="1" si="234"/>
        <v>0</v>
      </c>
      <c r="V579" s="306">
        <f t="shared" ca="1" si="235"/>
        <v>1.1980004096468682</v>
      </c>
      <c r="W579" s="304">
        <f t="shared" ca="1" si="236"/>
        <v>19.774256808114057</v>
      </c>
      <c r="Y579" s="314" t="str">
        <f t="shared" ca="1" si="254"/>
        <v/>
      </c>
      <c r="Z579" s="315" t="str">
        <f t="shared" ca="1" si="255"/>
        <v/>
      </c>
      <c r="AA579" s="316" t="str">
        <f t="shared" ca="1" si="256"/>
        <v/>
      </c>
      <c r="AC579" s="310" t="e">
        <f t="shared" ca="1" si="257"/>
        <v>#N/A</v>
      </c>
      <c r="AD579" s="323" t="e">
        <f t="shared" ca="1" si="258"/>
        <v>#N/A</v>
      </c>
      <c r="AE579" s="324" t="e">
        <f t="shared" ca="1" si="237"/>
        <v>#N/A</v>
      </c>
      <c r="AG579" s="306">
        <f t="shared" ca="1" si="259"/>
        <v>0.3321386404545823</v>
      </c>
      <c r="AH579" s="304">
        <f t="shared" ca="1" si="260"/>
        <v>-9.4705091448715475</v>
      </c>
    </row>
    <row r="580" spans="1:34" x14ac:dyDescent="0.25">
      <c r="A580" s="347">
        <f t="shared" ca="1" si="238"/>
        <v>0.1</v>
      </c>
      <c r="B580" s="304">
        <f t="shared" ca="1" si="239"/>
        <v>45.300000000000345</v>
      </c>
      <c r="D580" s="306">
        <f t="shared" ca="1" si="240"/>
        <v>-0.36429398279996228</v>
      </c>
      <c r="E580" s="307">
        <f t="shared" ca="1" si="241"/>
        <v>-0.32975552777952366</v>
      </c>
      <c r="F580" s="304">
        <f t="shared" ca="1" si="242"/>
        <v>0.49137441325878112</v>
      </c>
      <c r="G580" s="306">
        <f t="shared" ca="1" si="243"/>
        <v>4.6581901478560344</v>
      </c>
      <c r="H580" s="307">
        <f t="shared" ca="1" si="244"/>
        <v>-122.20392292709427</v>
      </c>
      <c r="I580" s="304">
        <f t="shared" ca="1" si="245"/>
        <v>122.29267154750026</v>
      </c>
      <c r="J580" s="306">
        <f t="shared" ca="1" si="246"/>
        <v>669.82687664184425</v>
      </c>
      <c r="K580" s="307">
        <f t="shared" ca="1" si="247"/>
        <v>210.64205539884233</v>
      </c>
      <c r="L580" s="304">
        <f t="shared" ref="L580:L643" ca="1" si="261">SQRT(pos_x^2+pos_z^2)</f>
        <v>702.16673246061532</v>
      </c>
      <c r="M580" s="306">
        <f t="shared" ca="1" si="248"/>
        <v>-1.5326966005985927</v>
      </c>
      <c r="N580" s="304">
        <f t="shared" ca="1" si="249"/>
        <v>-87.817046488347771</v>
      </c>
      <c r="P580" s="310">
        <f t="shared" ca="1" si="250"/>
        <v>23</v>
      </c>
      <c r="Q580" s="304">
        <f t="shared" ca="1" si="251"/>
        <v>0</v>
      </c>
      <c r="R580" s="306">
        <f t="shared" ca="1" si="252"/>
        <v>0</v>
      </c>
      <c r="S580" s="307">
        <f t="shared" ca="1" si="253"/>
        <v>2.0842999999999985</v>
      </c>
      <c r="T580" s="304">
        <f t="shared" ref="T580:T643" ca="1" si="262">m*g</f>
        <v>20.446982999999985</v>
      </c>
      <c r="U580" s="311">
        <f t="shared" ref="U580:U643" ca="1" si="263">IF(pos_xz&lt;L_rampe,Poids*COS(Beta),0)</f>
        <v>0</v>
      </c>
      <c r="V580" s="306">
        <f t="shared" ref="V580:V643" ca="1" si="264">Rho_moyen*(20000-Alt_rampe-pos_z)/(20000+Alt_rampe+pos_z)</f>
        <v>1.1994652824827352</v>
      </c>
      <c r="W580" s="304">
        <f t="shared" ref="W580:W643" ca="1" si="265">1/2*Rho*Sref*Cx*vit_xz^2</f>
        <v>19.808658193616804</v>
      </c>
      <c r="Y580" s="314" t="str">
        <f t="shared" ca="1" si="254"/>
        <v/>
      </c>
      <c r="Z580" s="315" t="str">
        <f t="shared" ca="1" si="255"/>
        <v/>
      </c>
      <c r="AA580" s="316" t="str">
        <f t="shared" ca="1" si="256"/>
        <v/>
      </c>
      <c r="AC580" s="310" t="e">
        <f t="shared" ca="1" si="257"/>
        <v>#N/A</v>
      </c>
      <c r="AD580" s="323" t="e">
        <f t="shared" ca="1" si="258"/>
        <v>#N/A</v>
      </c>
      <c r="AE580" s="324" t="e">
        <f t="shared" ref="AE580:AE643" ca="1" si="266">IF(t&lt;T_para, pos_z, NA())</f>
        <v>#N/A</v>
      </c>
      <c r="AG580" s="306">
        <f t="shared" ca="1" si="259"/>
        <v>0.31552406586892801</v>
      </c>
      <c r="AH580" s="304">
        <f t="shared" ca="1" si="260"/>
        <v>-9.4872411879835301</v>
      </c>
    </row>
    <row r="581" spans="1:34" x14ac:dyDescent="0.25">
      <c r="A581" s="347">
        <f t="shared" ref="A581:A644" ca="1" si="267">IF(B580+0.01&lt;=T_ini+ROUNDUP(Temps_fin_propu,0), 0.01, IF(K580&gt;0, 0.1, 0.0001))</f>
        <v>0.1</v>
      </c>
      <c r="B581" s="304">
        <f t="shared" ref="B581:B644" ca="1" si="268">B580+pas</f>
        <v>45.400000000000347</v>
      </c>
      <c r="D581" s="306">
        <f t="shared" ref="D581:D644" ca="1" si="269">IF(AND(L580&lt;L_rampe,Poussee&lt;Poids*SIN(M580)),0,(-W580+Poussee)/m*COS(M580)-U580/m*SIN(M580))</f>
        <v>-0.36200253319912656</v>
      </c>
      <c r="E581" s="307">
        <f t="shared" ref="E581:E644" ca="1" si="270">IF(AND(L580&lt;L_rampe,Poussee&lt;Poids*SIN(M580)),0,(-W580+Poussee)/m*SIN(M580)+U580/m*COS(M580)-Poids/m)</f>
        <v>-0.31315073830983486</v>
      </c>
      <c r="F581" s="304">
        <f t="shared" ref="F581:F644" ca="1" si="271">SQRT(acc_x^2+acc_z^2)</f>
        <v>0.47865354793062947</v>
      </c>
      <c r="G581" s="306">
        <f t="shared" ref="G581:G644" ca="1" si="272">G580+acc_x*pas</f>
        <v>4.6219898945361217</v>
      </c>
      <c r="H581" s="307">
        <f t="shared" ref="H581:H644" ca="1" si="273">H580+acc_z*pas</f>
        <v>-122.23523800092525</v>
      </c>
      <c r="I581" s="304">
        <f t="shared" ref="I581:I644" ca="1" si="274">SQRT(vit_x^2+vit_z^2)</f>
        <v>122.32259071703817</v>
      </c>
      <c r="J581" s="306">
        <f t="shared" ref="J581:J644" ca="1" si="275">J580+0.5*(vit_x+G580)*pas*(K580&gt;=0)</f>
        <v>670.29088564396386</v>
      </c>
      <c r="K581" s="307">
        <f t="shared" ref="K581:K644" ca="1" si="276">K580+0.5*(vit_z+H580)*pas</f>
        <v>198.42009735244136</v>
      </c>
      <c r="L581" s="304">
        <f t="shared" ca="1" si="261"/>
        <v>699.04249256445189</v>
      </c>
      <c r="M581" s="306">
        <f t="shared" ref="M581:M644" ca="1" si="277">IF(AND(L580&gt;L_rampe,G581&gt;0),ATAN2(G581,H581),$M$4)</f>
        <v>-1.5330020780253308</v>
      </c>
      <c r="N581" s="304">
        <f t="shared" ref="N581:N644" ca="1" si="278">DEGREES(Beta)</f>
        <v>-87.834549055636373</v>
      </c>
      <c r="P581" s="310">
        <f t="shared" ref="P581:P644" ca="1" si="279">MATCH(t-pas/2-T_ini,CdP_t)</f>
        <v>23</v>
      </c>
      <c r="Q581" s="304">
        <f t="shared" ref="Q581:Q644" ca="1" si="280">(INDEX(CdP,2,i_P+1)-INDEX(CdP,2,i_P+0))/(INDEX(CdP,1,i_P+1)-INDEX(CdP,1,i_P+0))*(t-pas/2-T_ini-INDEX(CdP,1,i_P+0))+INDEX(CdP,2,i_P+0)</f>
        <v>0</v>
      </c>
      <c r="R581" s="306">
        <f t="shared" ref="R581:R644" ca="1" si="281">Poussee/(g*ISP)</f>
        <v>0</v>
      </c>
      <c r="S581" s="307">
        <f t="shared" ref="S581:S644" ca="1" si="282">S580-Débit*pas</f>
        <v>2.0842999999999985</v>
      </c>
      <c r="T581" s="304">
        <f t="shared" ca="1" si="262"/>
        <v>20.446982999999985</v>
      </c>
      <c r="U581" s="311">
        <f t="shared" ca="1" si="263"/>
        <v>0</v>
      </c>
      <c r="V581" s="306">
        <f t="shared" ca="1" si="264"/>
        <v>1.2009323137071892</v>
      </c>
      <c r="W581" s="304">
        <f t="shared" ca="1" si="265"/>
        <v>19.842591094120557</v>
      </c>
      <c r="Y581" s="314" t="str">
        <f t="shared" ref="Y581:Y644" ca="1" si="283">IF(AND(pos_z&lt;=0,K580&gt;0),"Impact balistique","") &amp; IF(AND(H582&lt;0,vit_z&gt;=0),"Apogée","") &amp; IF(AND(Poussee=0,Q580&gt;0),"Fin de propulsion","") &amp; IF(AND(L582&gt;L_rampe,pos_xz&lt;=L_rampe),"Sortie de rampe","")</f>
        <v/>
      </c>
      <c r="Z581" s="315" t="str">
        <f t="shared" ref="Z581:Z644" ca="1" si="284">IF(ABS(t-T_para)&lt;pas/2,"Para","")</f>
        <v/>
      </c>
      <c r="AA581" s="316" t="str">
        <f t="shared" ref="AA581:AA644" ca="1" si="285">IF(ABS(t-T_satellite)&lt;pas/2,"Satellite","")</f>
        <v/>
      </c>
      <c r="AC581" s="310" t="e">
        <f t="shared" ref="AC581:AC644" ca="1" si="286">IF(ABS(t-ROUND(t,0))&lt;0.001,t,NA())</f>
        <v>#N/A</v>
      </c>
      <c r="AD581" s="323" t="e">
        <f t="shared" ref="AD581:AD644" ca="1" si="287">IF(ABS(t-ROUND(t,0))&lt;0.001,pos_x,NA())</f>
        <v>#N/A</v>
      </c>
      <c r="AE581" s="324" t="e">
        <f t="shared" ca="1" si="266"/>
        <v>#N/A</v>
      </c>
      <c r="AG581" s="306">
        <f t="shared" ref="AG581:AG644" ca="1" si="288">IF(AND(L580&lt;L_rampe,Poussee&lt;Poids*SIN(M580)),0,(-W580+Poussee)/m-Poids*SIN(M580)/m)</f>
        <v>0.29913462182500083</v>
      </c>
      <c r="AH581" s="304">
        <f t="shared" ref="AH581:AH644" ca="1" si="289">IF(AND(L580&lt;L_rampe,Poussee&lt;Poids*SIN(M580)), g*SIN(M580), (-W580+Poussee)/m)</f>
        <v>-9.5037461947017317</v>
      </c>
    </row>
    <row r="582" spans="1:34" x14ac:dyDescent="0.25">
      <c r="A582" s="347">
        <f t="shared" ca="1" si="267"/>
        <v>0.1</v>
      </c>
      <c r="B582" s="304">
        <f t="shared" ca="1" si="268"/>
        <v>45.500000000000348</v>
      </c>
      <c r="D582" s="306">
        <f t="shared" ca="1" si="269"/>
        <v>-0.35971659617990603</v>
      </c>
      <c r="E582" s="307">
        <f t="shared" ca="1" si="270"/>
        <v>-0.29677198560893281</v>
      </c>
      <c r="F582" s="304">
        <f t="shared" ca="1" si="271"/>
        <v>0.46633640326434544</v>
      </c>
      <c r="G582" s="306">
        <f t="shared" ca="1" si="272"/>
        <v>4.5860182349181313</v>
      </c>
      <c r="H582" s="307">
        <f t="shared" ca="1" si="273"/>
        <v>-122.26491519948614</v>
      </c>
      <c r="I582" s="304">
        <f t="shared" ca="1" si="274"/>
        <v>122.35089313931688</v>
      </c>
      <c r="J582" s="306">
        <f t="shared" ca="1" si="275"/>
        <v>670.75128605043653</v>
      </c>
      <c r="K582" s="307">
        <f t="shared" ca="1" si="276"/>
        <v>186.19508969242079</v>
      </c>
      <c r="L582" s="304">
        <f t="shared" ca="1" si="261"/>
        <v>696.1148606112954</v>
      </c>
      <c r="M582" s="306">
        <f t="shared" ca="1" si="277"/>
        <v>-1.5333050372572543</v>
      </c>
      <c r="N582" s="304">
        <f t="shared" ca="1" si="278"/>
        <v>-87.851907340990124</v>
      </c>
      <c r="P582" s="310">
        <f t="shared" ca="1" si="279"/>
        <v>23</v>
      </c>
      <c r="Q582" s="304">
        <f t="shared" ca="1" si="280"/>
        <v>0</v>
      </c>
      <c r="R582" s="306">
        <f t="shared" ca="1" si="281"/>
        <v>0</v>
      </c>
      <c r="S582" s="307">
        <f t="shared" ca="1" si="282"/>
        <v>2.0842999999999985</v>
      </c>
      <c r="T582" s="304">
        <f t="shared" ca="1" si="262"/>
        <v>20.446982999999985</v>
      </c>
      <c r="U582" s="311">
        <f t="shared" ca="1" si="263"/>
        <v>0</v>
      </c>
      <c r="V582" s="306">
        <f t="shared" ca="1" si="264"/>
        <v>1.2024014881100913</v>
      </c>
      <c r="W582" s="304">
        <f t="shared" ca="1" si="265"/>
        <v>19.876060223251915</v>
      </c>
      <c r="Y582" s="314" t="str">
        <f t="shared" ca="1" si="283"/>
        <v/>
      </c>
      <c r="Z582" s="315" t="str">
        <f t="shared" ca="1" si="284"/>
        <v/>
      </c>
      <c r="AA582" s="316" t="str">
        <f t="shared" ca="1" si="285"/>
        <v/>
      </c>
      <c r="AC582" s="310" t="e">
        <f t="shared" ca="1" si="286"/>
        <v>#N/A</v>
      </c>
      <c r="AD582" s="323" t="e">
        <f t="shared" ca="1" si="287"/>
        <v>#N/A</v>
      </c>
      <c r="AE582" s="324" t="e">
        <f t="shared" ca="1" si="266"/>
        <v>#N/A</v>
      </c>
      <c r="AG582" s="306">
        <f t="shared" ca="1" si="288"/>
        <v>0.2829680733344162</v>
      </c>
      <c r="AH582" s="304">
        <f t="shared" ca="1" si="289"/>
        <v>-9.5200264329130029</v>
      </c>
    </row>
    <row r="583" spans="1:34" x14ac:dyDescent="0.25">
      <c r="A583" s="347">
        <f t="shared" ca="1" si="267"/>
        <v>0.1</v>
      </c>
      <c r="B583" s="304">
        <f t="shared" ca="1" si="268"/>
        <v>45.60000000000035</v>
      </c>
      <c r="D583" s="306">
        <f t="shared" ca="1" si="269"/>
        <v>-0.35743634348888537</v>
      </c>
      <c r="E583" s="307">
        <f t="shared" ca="1" si="270"/>
        <v>-0.2806169955594946</v>
      </c>
      <c r="F583" s="304">
        <f t="shared" ca="1" si="271"/>
        <v>0.45443001424151319</v>
      </c>
      <c r="G583" s="306">
        <f t="shared" ca="1" si="272"/>
        <v>4.5502746005692432</v>
      </c>
      <c r="H583" s="307">
        <f t="shared" ca="1" si="273"/>
        <v>-122.29297689904209</v>
      </c>
      <c r="I583" s="304">
        <f t="shared" ca="1" si="274"/>
        <v>122.37760088255624</v>
      </c>
      <c r="J583" s="306">
        <f t="shared" ca="1" si="275"/>
        <v>671.20810069221091</v>
      </c>
      <c r="K583" s="307">
        <f t="shared" ca="1" si="276"/>
        <v>173.96719508749439</v>
      </c>
      <c r="L583" s="304">
        <f t="shared" ca="1" si="261"/>
        <v>693.3865440008592</v>
      </c>
      <c r="M583" s="306">
        <f t="shared" ca="1" si="277"/>
        <v>-1.533605503517963</v>
      </c>
      <c r="N583" s="304">
        <f t="shared" ca="1" si="278"/>
        <v>-87.869122789614806</v>
      </c>
      <c r="P583" s="310">
        <f t="shared" ca="1" si="279"/>
        <v>23</v>
      </c>
      <c r="Q583" s="304">
        <f t="shared" ca="1" si="280"/>
        <v>0</v>
      </c>
      <c r="R583" s="306">
        <f t="shared" ca="1" si="281"/>
        <v>0</v>
      </c>
      <c r="S583" s="307">
        <f t="shared" ca="1" si="282"/>
        <v>2.0842999999999985</v>
      </c>
      <c r="T583" s="304">
        <f t="shared" ca="1" si="262"/>
        <v>20.446982999999985</v>
      </c>
      <c r="U583" s="311">
        <f t="shared" ca="1" si="263"/>
        <v>0</v>
      </c>
      <c r="V583" s="306">
        <f t="shared" ca="1" si="264"/>
        <v>1.2038727906691478</v>
      </c>
      <c r="W583" s="304">
        <f t="shared" ca="1" si="265"/>
        <v>19.909070280344714</v>
      </c>
      <c r="Y583" s="314" t="str">
        <f t="shared" ca="1" si="283"/>
        <v/>
      </c>
      <c r="Z583" s="315" t="str">
        <f t="shared" ca="1" si="284"/>
        <v/>
      </c>
      <c r="AA583" s="316" t="str">
        <f t="shared" ca="1" si="285"/>
        <v/>
      </c>
      <c r="AC583" s="310" t="e">
        <f t="shared" ca="1" si="286"/>
        <v>#N/A</v>
      </c>
      <c r="AD583" s="323" t="e">
        <f t="shared" ca="1" si="287"/>
        <v>#N/A</v>
      </c>
      <c r="AE583" s="324" t="e">
        <f t="shared" ca="1" si="266"/>
        <v>#N/A</v>
      </c>
      <c r="AG583" s="306">
        <f t="shared" ca="1" si="288"/>
        <v>0.2670221911609012</v>
      </c>
      <c r="AH583" s="304">
        <f t="shared" ca="1" si="289"/>
        <v>-9.5360841641087806</v>
      </c>
    </row>
    <row r="584" spans="1:34" x14ac:dyDescent="0.25">
      <c r="A584" s="347">
        <f t="shared" ca="1" si="267"/>
        <v>0.1</v>
      </c>
      <c r="B584" s="304">
        <f t="shared" ca="1" si="268"/>
        <v>45.700000000000351</v>
      </c>
      <c r="D584" s="306">
        <f t="shared" ca="1" si="269"/>
        <v>-0.35516194242222737</v>
      </c>
      <c r="E584" s="307">
        <f t="shared" ca="1" si="270"/>
        <v>-0.26468350094149073</v>
      </c>
      <c r="F584" s="304">
        <f t="shared" ca="1" si="271"/>
        <v>0.44294171288756906</v>
      </c>
      <c r="G584" s="306">
        <f t="shared" ca="1" si="272"/>
        <v>4.5147584063270205</v>
      </c>
      <c r="H584" s="307">
        <f t="shared" ca="1" si="273"/>
        <v>-122.31944524913624</v>
      </c>
      <c r="I584" s="304">
        <f t="shared" ca="1" si="274"/>
        <v>122.40273579264451</v>
      </c>
      <c r="J584" s="306">
        <f t="shared" ca="1" si="275"/>
        <v>671.66135234255569</v>
      </c>
      <c r="K584" s="307">
        <f t="shared" ca="1" si="276"/>
        <v>161.73657398008547</v>
      </c>
      <c r="L584" s="304">
        <f t="shared" ca="1" si="261"/>
        <v>690.86011000306451</v>
      </c>
      <c r="M584" s="306">
        <f t="shared" ca="1" si="277"/>
        <v>-1.5339035016628222</v>
      </c>
      <c r="N584" s="304">
        <f t="shared" ca="1" si="278"/>
        <v>-87.886196825617958</v>
      </c>
      <c r="P584" s="310">
        <f t="shared" ca="1" si="279"/>
        <v>23</v>
      </c>
      <c r="Q584" s="304">
        <f t="shared" ca="1" si="280"/>
        <v>0</v>
      </c>
      <c r="R584" s="306">
        <f t="shared" ca="1" si="281"/>
        <v>0</v>
      </c>
      <c r="S584" s="307">
        <f t="shared" ca="1" si="282"/>
        <v>2.0842999999999985</v>
      </c>
      <c r="T584" s="304">
        <f t="shared" ca="1" si="262"/>
        <v>20.446982999999985</v>
      </c>
      <c r="U584" s="311">
        <f t="shared" ca="1" si="263"/>
        <v>0</v>
      </c>
      <c r="V584" s="306">
        <f t="shared" ca="1" si="264"/>
        <v>1.2053462065483687</v>
      </c>
      <c r="W584" s="304">
        <f t="shared" ca="1" si="265"/>
        <v>19.941625949510115</v>
      </c>
      <c r="Y584" s="314" t="str">
        <f t="shared" ca="1" si="283"/>
        <v/>
      </c>
      <c r="Z584" s="315" t="str">
        <f t="shared" ca="1" si="284"/>
        <v/>
      </c>
      <c r="AA584" s="316" t="str">
        <f t="shared" ca="1" si="285"/>
        <v/>
      </c>
      <c r="AC584" s="310" t="e">
        <f t="shared" ca="1" si="286"/>
        <v>#N/A</v>
      </c>
      <c r="AD584" s="323" t="e">
        <f t="shared" ca="1" si="287"/>
        <v>#N/A</v>
      </c>
      <c r="AE584" s="324" t="e">
        <f t="shared" ca="1" si="266"/>
        <v>#N/A</v>
      </c>
      <c r="AG584" s="306">
        <f t="shared" ca="1" si="288"/>
        <v>0.25129475229715936</v>
      </c>
      <c r="AH584" s="304">
        <f t="shared" ca="1" si="289"/>
        <v>-9.551921642923153</v>
      </c>
    </row>
    <row r="585" spans="1:34" x14ac:dyDescent="0.25">
      <c r="A585" s="347">
        <f t="shared" ca="1" si="267"/>
        <v>0.1</v>
      </c>
      <c r="B585" s="304">
        <f t="shared" ca="1" si="268"/>
        <v>45.800000000000352</v>
      </c>
      <c r="D585" s="306">
        <f t="shared" ca="1" si="269"/>
        <v>-0.35289355588926624</v>
      </c>
      <c r="E585" s="307">
        <f t="shared" ca="1" si="270"/>
        <v>-0.24896924188072767</v>
      </c>
      <c r="F585" s="304">
        <f t="shared" ca="1" si="271"/>
        <v>0.43187908630869704</v>
      </c>
      <c r="G585" s="306">
        <f t="shared" ca="1" si="272"/>
        <v>4.4794690507380936</v>
      </c>
      <c r="H585" s="307">
        <f t="shared" ca="1" si="273"/>
        <v>-122.34434217332431</v>
      </c>
      <c r="I585" s="304">
        <f t="shared" ca="1" si="274"/>
        <v>122.42631949380811</v>
      </c>
      <c r="J585" s="306">
        <f t="shared" ca="1" si="275"/>
        <v>672.11106371540893</v>
      </c>
      <c r="K585" s="307">
        <f t="shared" ca="1" si="276"/>
        <v>149.50338460896245</v>
      </c>
      <c r="L585" s="304">
        <f t="shared" ca="1" si="261"/>
        <v>688.53797569792312</v>
      </c>
      <c r="M585" s="306">
        <f t="shared" ca="1" si="277"/>
        <v>-1.5341990561864183</v>
      </c>
      <c r="N585" s="304">
        <f t="shared" ca="1" si="278"/>
        <v>-87.903130852436021</v>
      </c>
      <c r="P585" s="310">
        <f t="shared" ca="1" si="279"/>
        <v>23</v>
      </c>
      <c r="Q585" s="304">
        <f t="shared" ca="1" si="280"/>
        <v>0</v>
      </c>
      <c r="R585" s="306">
        <f t="shared" ca="1" si="281"/>
        <v>0</v>
      </c>
      <c r="S585" s="307">
        <f t="shared" ca="1" si="282"/>
        <v>2.0842999999999985</v>
      </c>
      <c r="T585" s="304">
        <f t="shared" ca="1" si="262"/>
        <v>20.446982999999985</v>
      </c>
      <c r="U585" s="311">
        <f t="shared" ca="1" si="263"/>
        <v>0</v>
      </c>
      <c r="V585" s="306">
        <f t="shared" ca="1" si="264"/>
        <v>1.2068217210965242</v>
      </c>
      <c r="W585" s="304">
        <f t="shared" ca="1" si="265"/>
        <v>19.973731898738748</v>
      </c>
      <c r="Y585" s="314" t="str">
        <f t="shared" ca="1" si="283"/>
        <v/>
      </c>
      <c r="Z585" s="315" t="str">
        <f t="shared" ca="1" si="284"/>
        <v/>
      </c>
      <c r="AA585" s="316" t="str">
        <f t="shared" ca="1" si="285"/>
        <v/>
      </c>
      <c r="AC585" s="310" t="e">
        <f t="shared" ca="1" si="286"/>
        <v>#N/A</v>
      </c>
      <c r="AD585" s="323" t="e">
        <f t="shared" ca="1" si="287"/>
        <v>#N/A</v>
      </c>
      <c r="AE585" s="324" t="e">
        <f t="shared" ca="1" si="266"/>
        <v>#N/A</v>
      </c>
      <c r="AG585" s="306">
        <f t="shared" ca="1" si="288"/>
        <v>0.2357835404255173</v>
      </c>
      <c r="AH585" s="304">
        <f t="shared" ca="1" si="289"/>
        <v>-9.5675411166867192</v>
      </c>
    </row>
    <row r="586" spans="1:34" x14ac:dyDescent="0.25">
      <c r="A586" s="347">
        <f t="shared" ca="1" si="267"/>
        <v>0.1</v>
      </c>
      <c r="B586" s="304">
        <f t="shared" ca="1" si="268"/>
        <v>45.900000000000354</v>
      </c>
      <c r="D586" s="306">
        <f t="shared" ca="1" si="269"/>
        <v>-0.35063134247591798</v>
      </c>
      <c r="E586" s="307">
        <f t="shared" ca="1" si="270"/>
        <v>-0.23347196628196265</v>
      </c>
      <c r="F586" s="304">
        <f t="shared" ca="1" si="271"/>
        <v>0.42124992268964323</v>
      </c>
      <c r="G586" s="306">
        <f t="shared" ca="1" si="272"/>
        <v>4.4444059164905019</v>
      </c>
      <c r="H586" s="307">
        <f t="shared" ca="1" si="273"/>
        <v>-122.3676893699525</v>
      </c>
      <c r="I586" s="304">
        <f t="shared" ca="1" si="274"/>
        <v>122.44837338932568</v>
      </c>
      <c r="J586" s="306">
        <f t="shared" ca="1" si="275"/>
        <v>672.55725746377038</v>
      </c>
      <c r="K586" s="307">
        <f t="shared" ca="1" si="276"/>
        <v>137.26778303179861</v>
      </c>
      <c r="L586" s="304">
        <f t="shared" ca="1" si="261"/>
        <v>686.42239825464128</v>
      </c>
      <c r="M586" s="306">
        <f t="shared" ca="1" si="277"/>
        <v>-1.5344921912298357</v>
      </c>
      <c r="N586" s="304">
        <f t="shared" ca="1" si="278"/>
        <v>-87.919926253251219</v>
      </c>
      <c r="P586" s="310">
        <f t="shared" ca="1" si="279"/>
        <v>23</v>
      </c>
      <c r="Q586" s="304">
        <f t="shared" ca="1" si="280"/>
        <v>0</v>
      </c>
      <c r="R586" s="306">
        <f t="shared" ca="1" si="281"/>
        <v>0</v>
      </c>
      <c r="S586" s="307">
        <f t="shared" ca="1" si="282"/>
        <v>2.0842999999999985</v>
      </c>
      <c r="T586" s="304">
        <f t="shared" ca="1" si="262"/>
        <v>20.446982999999985</v>
      </c>
      <c r="U586" s="311">
        <f t="shared" ca="1" si="263"/>
        <v>0</v>
      </c>
      <c r="V586" s="306">
        <f t="shared" ca="1" si="264"/>
        <v>1.2082993198456007</v>
      </c>
      <c r="W586" s="304">
        <f t="shared" ca="1" si="265"/>
        <v>20.005392779034338</v>
      </c>
      <c r="Y586" s="314" t="str">
        <f t="shared" ca="1" si="283"/>
        <v/>
      </c>
      <c r="Z586" s="315" t="str">
        <f t="shared" ca="1" si="284"/>
        <v/>
      </c>
      <c r="AA586" s="316" t="str">
        <f t="shared" ca="1" si="285"/>
        <v/>
      </c>
      <c r="AC586" s="310" t="e">
        <f t="shared" ca="1" si="286"/>
        <v>#N/A</v>
      </c>
      <c r="AD586" s="323" t="e">
        <f t="shared" ca="1" si="287"/>
        <v>#N/A</v>
      </c>
      <c r="AE586" s="324" t="e">
        <f t="shared" ca="1" si="266"/>
        <v>#N/A</v>
      </c>
      <c r="AG586" s="306">
        <f t="shared" ca="1" si="288"/>
        <v>0.2204863463628417</v>
      </c>
      <c r="AH586" s="304">
        <f t="shared" ca="1" si="289"/>
        <v>-9.582944824995808</v>
      </c>
    </row>
    <row r="587" spans="1:34" x14ac:dyDescent="0.25">
      <c r="A587" s="347">
        <f t="shared" ca="1" si="267"/>
        <v>0.1</v>
      </c>
      <c r="B587" s="304">
        <f t="shared" ca="1" si="268"/>
        <v>46.000000000000355</v>
      </c>
      <c r="D587" s="306">
        <f t="shared" ca="1" si="269"/>
        <v>-0.34837545650784546</v>
      </c>
      <c r="E587" s="307">
        <f t="shared" ca="1" si="270"/>
        <v>-0.21818943024678816</v>
      </c>
      <c r="F587" s="304">
        <f t="shared" ca="1" si="271"/>
        <v>0.41106214392530449</v>
      </c>
      <c r="G587" s="306">
        <f t="shared" ca="1" si="272"/>
        <v>4.4095683708397173</v>
      </c>
      <c r="H587" s="307">
        <f t="shared" ca="1" si="273"/>
        <v>-122.38950831297718</v>
      </c>
      <c r="I587" s="304">
        <f t="shared" ca="1" si="274"/>
        <v>122.46891866228518</v>
      </c>
      <c r="J587" s="306">
        <f t="shared" ca="1" si="275"/>
        <v>672.99995617813693</v>
      </c>
      <c r="K587" s="307">
        <f t="shared" ca="1" si="276"/>
        <v>125.02992314765213</v>
      </c>
      <c r="L587" s="304">
        <f t="shared" ca="1" si="261"/>
        <v>684.51546563834631</v>
      </c>
      <c r="M587" s="306">
        <f t="shared" ca="1" si="277"/>
        <v>-1.5347829305877574</v>
      </c>
      <c r="N587" s="304">
        <f t="shared" ca="1" si="278"/>
        <v>-87.936584391398483</v>
      </c>
      <c r="P587" s="310">
        <f t="shared" ca="1" si="279"/>
        <v>23</v>
      </c>
      <c r="Q587" s="304">
        <f t="shared" ca="1" si="280"/>
        <v>0</v>
      </c>
      <c r="R587" s="306">
        <f t="shared" ca="1" si="281"/>
        <v>0</v>
      </c>
      <c r="S587" s="307">
        <f t="shared" ca="1" si="282"/>
        <v>2.0842999999999985</v>
      </c>
      <c r="T587" s="304">
        <f t="shared" ca="1" si="262"/>
        <v>20.446982999999985</v>
      </c>
      <c r="U587" s="311">
        <f t="shared" ca="1" si="263"/>
        <v>0</v>
      </c>
      <c r="V587" s="306">
        <f t="shared" ca="1" si="264"/>
        <v>1.2097789885092585</v>
      </c>
      <c r="W587" s="304">
        <f t="shared" ca="1" si="265"/>
        <v>20.036613223578367</v>
      </c>
      <c r="Y587" s="314" t="str">
        <f t="shared" ca="1" si="283"/>
        <v/>
      </c>
      <c r="Z587" s="315" t="str">
        <f t="shared" ca="1" si="284"/>
        <v/>
      </c>
      <c r="AA587" s="316" t="str">
        <f t="shared" ca="1" si="285"/>
        <v/>
      </c>
      <c r="AC587" s="310">
        <f t="shared" ca="1" si="286"/>
        <v>46.000000000000355</v>
      </c>
      <c r="AD587" s="323">
        <f t="shared" ca="1" si="287"/>
        <v>672.99995617813693</v>
      </c>
      <c r="AE587" s="324" t="e">
        <f t="shared" ca="1" si="266"/>
        <v>#N/A</v>
      </c>
      <c r="AG587" s="306">
        <f t="shared" ca="1" si="288"/>
        <v>0.20540096848991496</v>
      </c>
      <c r="AH587" s="304">
        <f t="shared" ca="1" si="289"/>
        <v>-9.5981349992968159</v>
      </c>
    </row>
    <row r="588" spans="1:34" x14ac:dyDescent="0.25">
      <c r="A588" s="347">
        <f t="shared" ca="1" si="267"/>
        <v>0.1</v>
      </c>
      <c r="B588" s="304">
        <f t="shared" ca="1" si="268"/>
        <v>46.100000000000357</v>
      </c>
      <c r="D588" s="306">
        <f t="shared" ca="1" si="269"/>
        <v>-0.34612604811338693</v>
      </c>
      <c r="E588" s="307">
        <f t="shared" ca="1" si="270"/>
        <v>-0.20311939847658245</v>
      </c>
      <c r="F588" s="304">
        <f t="shared" ca="1" si="271"/>
        <v>0.40132372371949221</v>
      </c>
      <c r="G588" s="306">
        <f t="shared" ca="1" si="272"/>
        <v>4.3749557660283784</v>
      </c>
      <c r="H588" s="307">
        <f t="shared" ca="1" si="273"/>
        <v>-122.40982025282484</v>
      </c>
      <c r="I588" s="304">
        <f t="shared" ca="1" si="274"/>
        <v>122.4879762763823</v>
      </c>
      <c r="J588" s="306">
        <f t="shared" ca="1" si="275"/>
        <v>673.43918238498031</v>
      </c>
      <c r="K588" s="307">
        <f t="shared" ca="1" si="276"/>
        <v>112.78995671936202</v>
      </c>
      <c r="L588" s="304">
        <f t="shared" ca="1" si="261"/>
        <v>682.81908783227959</v>
      </c>
      <c r="M588" s="306">
        <f t="shared" ca="1" si="277"/>
        <v>-1.5350712977153951</v>
      </c>
      <c r="N588" s="304">
        <f t="shared" ca="1" si="278"/>
        <v>-87.953106610762433</v>
      </c>
      <c r="P588" s="310">
        <f t="shared" ca="1" si="279"/>
        <v>23</v>
      </c>
      <c r="Q588" s="304">
        <f t="shared" ca="1" si="280"/>
        <v>0</v>
      </c>
      <c r="R588" s="306">
        <f t="shared" ca="1" si="281"/>
        <v>0</v>
      </c>
      <c r="S588" s="307">
        <f t="shared" ca="1" si="282"/>
        <v>2.0842999999999985</v>
      </c>
      <c r="T588" s="304">
        <f t="shared" ca="1" si="262"/>
        <v>20.446982999999985</v>
      </c>
      <c r="U588" s="311">
        <f t="shared" ca="1" si="263"/>
        <v>0</v>
      </c>
      <c r="V588" s="306">
        <f t="shared" ca="1" si="264"/>
        <v>1.2112607129812878</v>
      </c>
      <c r="W588" s="304">
        <f t="shared" ca="1" si="265"/>
        <v>20.067397846924951</v>
      </c>
      <c r="Y588" s="314" t="str">
        <f t="shared" ca="1" si="283"/>
        <v/>
      </c>
      <c r="Z588" s="315" t="str">
        <f t="shared" ca="1" si="284"/>
        <v/>
      </c>
      <c r="AA588" s="316" t="str">
        <f t="shared" ca="1" si="285"/>
        <v/>
      </c>
      <c r="AC588" s="310" t="e">
        <f t="shared" ca="1" si="286"/>
        <v>#N/A</v>
      </c>
      <c r="AD588" s="323" t="e">
        <f t="shared" ca="1" si="287"/>
        <v>#N/A</v>
      </c>
      <c r="AE588" s="324" t="e">
        <f t="shared" ca="1" si="266"/>
        <v>#N/A</v>
      </c>
      <c r="AG588" s="306">
        <f t="shared" ca="1" si="288"/>
        <v>0.19052521316559456</v>
      </c>
      <c r="AH588" s="304">
        <f t="shared" ca="1" si="289"/>
        <v>-9.6131138624854309</v>
      </c>
    </row>
    <row r="589" spans="1:34" x14ac:dyDescent="0.25">
      <c r="A589" s="347">
        <f t="shared" ca="1" si="267"/>
        <v>0.1</v>
      </c>
      <c r="B589" s="304">
        <f t="shared" ca="1" si="268"/>
        <v>46.200000000000358</v>
      </c>
      <c r="D589" s="306">
        <f t="shared" ca="1" si="269"/>
        <v>-0.34388326328620272</v>
      </c>
      <c r="E589" s="307">
        <f t="shared" ca="1" si="270"/>
        <v>-0.18825964466085843</v>
      </c>
      <c r="F589" s="304">
        <f t="shared" ca="1" si="271"/>
        <v>0.39204259025799798</v>
      </c>
      <c r="G589" s="306">
        <f t="shared" ca="1" si="272"/>
        <v>4.3405674396997584</v>
      </c>
      <c r="H589" s="307">
        <f t="shared" ca="1" si="273"/>
        <v>-122.42864621729093</v>
      </c>
      <c r="I589" s="304">
        <f t="shared" ca="1" si="274"/>
        <v>122.50556697675893</v>
      </c>
      <c r="J589" s="306">
        <f t="shared" ca="1" si="275"/>
        <v>673.87495854526674</v>
      </c>
      <c r="K589" s="307">
        <f t="shared" ca="1" si="276"/>
        <v>100.54803339585624</v>
      </c>
      <c r="L589" s="304">
        <f t="shared" ca="1" si="261"/>
        <v>681.33498866134789</v>
      </c>
      <c r="M589" s="306">
        <f t="shared" ca="1" si="277"/>
        <v>-1.5353573157352545</v>
      </c>
      <c r="N589" s="304">
        <f t="shared" ca="1" si="278"/>
        <v>-87.969494236165062</v>
      </c>
      <c r="P589" s="310">
        <f t="shared" ca="1" si="279"/>
        <v>23</v>
      </c>
      <c r="Q589" s="304">
        <f t="shared" ca="1" si="280"/>
        <v>0</v>
      </c>
      <c r="R589" s="306">
        <f t="shared" ca="1" si="281"/>
        <v>0</v>
      </c>
      <c r="S589" s="307">
        <f t="shared" ca="1" si="282"/>
        <v>2.0842999999999985</v>
      </c>
      <c r="T589" s="304">
        <f t="shared" ca="1" si="262"/>
        <v>20.446982999999985</v>
      </c>
      <c r="U589" s="311">
        <f t="shared" ca="1" si="263"/>
        <v>0</v>
      </c>
      <c r="V589" s="306">
        <f t="shared" ca="1" si="264"/>
        <v>1.2127444793340678</v>
      </c>
      <c r="W589" s="304">
        <f t="shared" ca="1" si="265"/>
        <v>20.097751244225549</v>
      </c>
      <c r="Y589" s="314" t="str">
        <f t="shared" ca="1" si="283"/>
        <v/>
      </c>
      <c r="Z589" s="315" t="str">
        <f t="shared" ca="1" si="284"/>
        <v/>
      </c>
      <c r="AA589" s="316" t="str">
        <f t="shared" ca="1" si="285"/>
        <v/>
      </c>
      <c r="AC589" s="310" t="e">
        <f t="shared" ca="1" si="286"/>
        <v>#N/A</v>
      </c>
      <c r="AD589" s="323" t="e">
        <f t="shared" ca="1" si="287"/>
        <v>#N/A</v>
      </c>
      <c r="AE589" s="324" t="e">
        <f t="shared" ca="1" si="266"/>
        <v>#N/A</v>
      </c>
      <c r="AG589" s="306">
        <f t="shared" ca="1" si="288"/>
        <v>0.17585689512608127</v>
      </c>
      <c r="AH589" s="304">
        <f t="shared" ca="1" si="289"/>
        <v>-9.6278836285203493</v>
      </c>
    </row>
    <row r="590" spans="1:34" x14ac:dyDescent="0.25">
      <c r="A590" s="347">
        <f t="shared" ca="1" si="267"/>
        <v>0.1</v>
      </c>
      <c r="B590" s="304">
        <f t="shared" ca="1" si="268"/>
        <v>46.30000000000036</v>
      </c>
      <c r="D590" s="306">
        <f t="shared" ca="1" si="269"/>
        <v>-0.3416472439476238</v>
      </c>
      <c r="E590" s="307">
        <f t="shared" ca="1" si="270"/>
        <v>-0.17360795185123656</v>
      </c>
      <c r="F590" s="304">
        <f t="shared" ca="1" si="271"/>
        <v>0.38322651296979499</v>
      </c>
      <c r="G590" s="306">
        <f t="shared" ca="1" si="272"/>
        <v>4.306402715304996</v>
      </c>
      <c r="H590" s="307">
        <f t="shared" ca="1" si="273"/>
        <v>-122.44600701247606</v>
      </c>
      <c r="I590" s="304">
        <f t="shared" ca="1" si="274"/>
        <v>122.52171129087988</v>
      </c>
      <c r="J590" s="306">
        <f t="shared" ca="1" si="275"/>
        <v>674.30730705301698</v>
      </c>
      <c r="K590" s="307">
        <f t="shared" ca="1" si="276"/>
        <v>88.304300734367885</v>
      </c>
      <c r="L590" s="304">
        <f t="shared" ca="1" si="261"/>
        <v>680.06469829956427</v>
      </c>
      <c r="M590" s="306">
        <f t="shared" ca="1" si="277"/>
        <v>-1.5356410074437374</v>
      </c>
      <c r="N590" s="304">
        <f t="shared" ca="1" si="278"/>
        <v>-87.98574857374399</v>
      </c>
      <c r="P590" s="310">
        <f t="shared" ca="1" si="279"/>
        <v>23</v>
      </c>
      <c r="Q590" s="304">
        <f t="shared" ca="1" si="280"/>
        <v>0</v>
      </c>
      <c r="R590" s="306">
        <f t="shared" ca="1" si="281"/>
        <v>0</v>
      </c>
      <c r="S590" s="307">
        <f t="shared" ca="1" si="282"/>
        <v>2.0842999999999985</v>
      </c>
      <c r="T590" s="304">
        <f t="shared" ca="1" si="262"/>
        <v>20.446982999999985</v>
      </c>
      <c r="U590" s="311">
        <f t="shared" ca="1" si="263"/>
        <v>0</v>
      </c>
      <c r="V590" s="306">
        <f t="shared" ca="1" si="264"/>
        <v>1.2142302738170243</v>
      </c>
      <c r="W590" s="304">
        <f t="shared" ca="1" si="265"/>
        <v>20.127677990482798</v>
      </c>
      <c r="Y590" s="314" t="str">
        <f t="shared" ca="1" si="283"/>
        <v/>
      </c>
      <c r="Z590" s="315" t="str">
        <f t="shared" ca="1" si="284"/>
        <v/>
      </c>
      <c r="AA590" s="316" t="str">
        <f t="shared" ca="1" si="285"/>
        <v/>
      </c>
      <c r="AC590" s="310" t="e">
        <f t="shared" ca="1" si="286"/>
        <v>#N/A</v>
      </c>
      <c r="AD590" s="323" t="e">
        <f t="shared" ca="1" si="287"/>
        <v>#N/A</v>
      </c>
      <c r="AE590" s="324" t="e">
        <f t="shared" ca="1" si="266"/>
        <v>#N/A</v>
      </c>
      <c r="AG590" s="306">
        <f t="shared" ca="1" si="288"/>
        <v>0.16139383786952521</v>
      </c>
      <c r="AH590" s="304">
        <f t="shared" ca="1" si="289"/>
        <v>-9.6424465020513193</v>
      </c>
    </row>
    <row r="591" spans="1:34" x14ac:dyDescent="0.25">
      <c r="A591" s="347">
        <f t="shared" ca="1" si="267"/>
        <v>0.1</v>
      </c>
      <c r="B591" s="304">
        <f t="shared" ca="1" si="268"/>
        <v>46.400000000000361</v>
      </c>
      <c r="D591" s="306">
        <f t="shared" ca="1" si="269"/>
        <v>-0.33941812800869742</v>
      </c>
      <c r="E591" s="307">
        <f t="shared" ca="1" si="270"/>
        <v>-0.1591621128213756</v>
      </c>
      <c r="F591" s="304">
        <f t="shared" ca="1" si="271"/>
        <v>0.37488297344463756</v>
      </c>
      <c r="G591" s="306">
        <f t="shared" ca="1" si="272"/>
        <v>4.2724609025041262</v>
      </c>
      <c r="H591" s="307">
        <f t="shared" ca="1" si="273"/>
        <v>-122.46192322375819</v>
      </c>
      <c r="I591" s="304">
        <f t="shared" ca="1" si="274"/>
        <v>122.53642952944676</v>
      </c>
      <c r="J591" s="306">
        <f t="shared" ca="1" si="275"/>
        <v>674.73625023390741</v>
      </c>
      <c r="K591" s="307">
        <f t="shared" ca="1" si="276"/>
        <v>76.05890422255618</v>
      </c>
      <c r="L591" s="304">
        <f t="shared" ca="1" si="261"/>
        <v>679.00954653911174</v>
      </c>
      <c r="M591" s="306">
        <f t="shared" ca="1" si="277"/>
        <v>-1.5359223953175889</v>
      </c>
      <c r="N591" s="304">
        <f t="shared" ca="1" si="278"/>
        <v>-88.001870911321845</v>
      </c>
      <c r="P591" s="310">
        <f t="shared" ca="1" si="279"/>
        <v>23</v>
      </c>
      <c r="Q591" s="304">
        <f t="shared" ca="1" si="280"/>
        <v>0</v>
      </c>
      <c r="R591" s="306">
        <f t="shared" ca="1" si="281"/>
        <v>0</v>
      </c>
      <c r="S591" s="307">
        <f t="shared" ca="1" si="282"/>
        <v>2.0842999999999985</v>
      </c>
      <c r="T591" s="304">
        <f t="shared" ca="1" si="262"/>
        <v>20.446982999999985</v>
      </c>
      <c r="U591" s="311">
        <f t="shared" ca="1" si="263"/>
        <v>0</v>
      </c>
      <c r="V591" s="306">
        <f t="shared" ca="1" si="264"/>
        <v>1.2157180828550935</v>
      </c>
      <c r="W591" s="304">
        <f t="shared" ca="1" si="265"/>
        <v>20.157182639832989</v>
      </c>
      <c r="Y591" s="314" t="str">
        <f t="shared" ca="1" si="283"/>
        <v/>
      </c>
      <c r="Z591" s="315" t="str">
        <f t="shared" ca="1" si="284"/>
        <v/>
      </c>
      <c r="AA591" s="316" t="str">
        <f t="shared" ca="1" si="285"/>
        <v/>
      </c>
      <c r="AC591" s="310" t="e">
        <f t="shared" ca="1" si="286"/>
        <v>#N/A</v>
      </c>
      <c r="AD591" s="323" t="e">
        <f t="shared" ca="1" si="287"/>
        <v>#N/A</v>
      </c>
      <c r="AE591" s="324" t="e">
        <f t="shared" ca="1" si="266"/>
        <v>#N/A</v>
      </c>
      <c r="AG591" s="306">
        <f t="shared" ca="1" si="288"/>
        <v>0.14713387402635725</v>
      </c>
      <c r="AH591" s="304">
        <f t="shared" ca="1" si="289"/>
        <v>-9.6568046780611301</v>
      </c>
    </row>
    <row r="592" spans="1:34" x14ac:dyDescent="0.25">
      <c r="A592" s="347">
        <f t="shared" ca="1" si="267"/>
        <v>0.1</v>
      </c>
      <c r="B592" s="304">
        <f t="shared" ca="1" si="268"/>
        <v>46.500000000000362</v>
      </c>
      <c r="D592" s="306">
        <f t="shared" ca="1" si="269"/>
        <v>-0.33719604943188547</v>
      </c>
      <c r="E592" s="307">
        <f t="shared" ca="1" si="270"/>
        <v>-0.14491993041305662</v>
      </c>
      <c r="F592" s="304">
        <f t="shared" ca="1" si="271"/>
        <v>0.36701902128281538</v>
      </c>
      <c r="G592" s="306">
        <f t="shared" ca="1" si="272"/>
        <v>4.2387412975609378</v>
      </c>
      <c r="H592" s="307">
        <f t="shared" ca="1" si="273"/>
        <v>-122.4764152167995</v>
      </c>
      <c r="I592" s="304">
        <f t="shared" ca="1" si="274"/>
        <v>122.54974178734741</v>
      </c>
      <c r="J592" s="306">
        <f t="shared" ca="1" si="275"/>
        <v>675.1618103439107</v>
      </c>
      <c r="K592" s="307">
        <f t="shared" ca="1" si="276"/>
        <v>63.811987300528294</v>
      </c>
      <c r="L592" s="304">
        <f t="shared" ca="1" si="261"/>
        <v>678.1706568925772</v>
      </c>
      <c r="M592" s="306">
        <f t="shared" ca="1" si="277"/>
        <v>-1.5362015015201886</v>
      </c>
      <c r="N592" s="304">
        <f t="shared" ca="1" si="278"/>
        <v>-88.017862518766734</v>
      </c>
      <c r="P592" s="310">
        <f t="shared" ca="1" si="279"/>
        <v>23</v>
      </c>
      <c r="Q592" s="304">
        <f t="shared" ca="1" si="280"/>
        <v>0</v>
      </c>
      <c r="R592" s="306">
        <f t="shared" ca="1" si="281"/>
        <v>0</v>
      </c>
      <c r="S592" s="307">
        <f t="shared" ca="1" si="282"/>
        <v>2.0842999999999985</v>
      </c>
      <c r="T592" s="304">
        <f t="shared" ca="1" si="262"/>
        <v>20.446982999999985</v>
      </c>
      <c r="U592" s="311">
        <f t="shared" ca="1" si="263"/>
        <v>0</v>
      </c>
      <c r="V592" s="306">
        <f t="shared" ca="1" si="264"/>
        <v>1.2172078930471815</v>
      </c>
      <c r="W592" s="304">
        <f t="shared" ca="1" si="265"/>
        <v>20.186269724856398</v>
      </c>
      <c r="Y592" s="314" t="str">
        <f t="shared" ca="1" si="283"/>
        <v/>
      </c>
      <c r="Z592" s="315" t="str">
        <f t="shared" ca="1" si="284"/>
        <v/>
      </c>
      <c r="AA592" s="316" t="str">
        <f t="shared" ca="1" si="285"/>
        <v/>
      </c>
      <c r="AC592" s="310" t="e">
        <f t="shared" ca="1" si="286"/>
        <v>#N/A</v>
      </c>
      <c r="AD592" s="323" t="e">
        <f t="shared" ca="1" si="287"/>
        <v>#N/A</v>
      </c>
      <c r="AE592" s="324" t="e">
        <f t="shared" ca="1" si="266"/>
        <v>#N/A</v>
      </c>
      <c r="AG592" s="306">
        <f t="shared" ca="1" si="288"/>
        <v>0.13307484571549999</v>
      </c>
      <c r="AH592" s="304">
        <f t="shared" ca="1" si="289"/>
        <v>-9.6709603415213756</v>
      </c>
    </row>
    <row r="593" spans="1:34" x14ac:dyDescent="0.25">
      <c r="A593" s="347">
        <f t="shared" ca="1" si="267"/>
        <v>0.1</v>
      </c>
      <c r="B593" s="304">
        <f t="shared" ca="1" si="268"/>
        <v>46.600000000000364</v>
      </c>
      <c r="D593" s="306">
        <f t="shared" ca="1" si="269"/>
        <v>-0.33498113829242748</v>
      </c>
      <c r="E593" s="307">
        <f t="shared" ca="1" si="270"/>
        <v>-0.13087921786886625</v>
      </c>
      <c r="F593" s="304">
        <f t="shared" ca="1" si="271"/>
        <v>0.35964111650596431</v>
      </c>
      <c r="G593" s="306">
        <f t="shared" ca="1" si="272"/>
        <v>4.205243183731695</v>
      </c>
      <c r="H593" s="307">
        <f t="shared" ca="1" si="273"/>
        <v>-122.48950313858639</v>
      </c>
      <c r="I593" s="304">
        <f t="shared" ca="1" si="274"/>
        <v>122.56166794463955</v>
      </c>
      <c r="J593" s="306">
        <f t="shared" ca="1" si="275"/>
        <v>675.58400956797539</v>
      </c>
      <c r="K593" s="307">
        <f t="shared" ca="1" si="276"/>
        <v>51.563691382758996</v>
      </c>
      <c r="L593" s="304">
        <f t="shared" ca="1" si="261"/>
        <v>677.54894159238324</v>
      </c>
      <c r="M593" s="306">
        <f t="shared" ca="1" si="277"/>
        <v>-1.5364783479076958</v>
      </c>
      <c r="N593" s="304">
        <f t="shared" ca="1" si="278"/>
        <v>-88.033724648344332</v>
      </c>
      <c r="P593" s="310">
        <f t="shared" ca="1" si="279"/>
        <v>23</v>
      </c>
      <c r="Q593" s="304">
        <f t="shared" ca="1" si="280"/>
        <v>0</v>
      </c>
      <c r="R593" s="306">
        <f t="shared" ca="1" si="281"/>
        <v>0</v>
      </c>
      <c r="S593" s="307">
        <f t="shared" ca="1" si="282"/>
        <v>2.0842999999999985</v>
      </c>
      <c r="T593" s="304">
        <f t="shared" ca="1" si="262"/>
        <v>20.446982999999985</v>
      </c>
      <c r="U593" s="311">
        <f t="shared" ca="1" si="263"/>
        <v>0</v>
      </c>
      <c r="V593" s="306">
        <f t="shared" ca="1" si="264"/>
        <v>1.2186996911646324</v>
      </c>
      <c r="W593" s="304">
        <f t="shared" ca="1" si="265"/>
        <v>20.214943755915236</v>
      </c>
      <c r="Y593" s="314" t="str">
        <f t="shared" ca="1" si="283"/>
        <v/>
      </c>
      <c r="Z593" s="315" t="str">
        <f t="shared" ca="1" si="284"/>
        <v/>
      </c>
      <c r="AA593" s="316" t="str">
        <f t="shared" ca="1" si="285"/>
        <v/>
      </c>
      <c r="AC593" s="310" t="e">
        <f t="shared" ca="1" si="286"/>
        <v>#N/A</v>
      </c>
      <c r="AD593" s="323" t="e">
        <f t="shared" ca="1" si="287"/>
        <v>#N/A</v>
      </c>
      <c r="AE593" s="324" t="e">
        <f t="shared" ca="1" si="266"/>
        <v>#N/A</v>
      </c>
      <c r="AG593" s="306">
        <f t="shared" ca="1" si="288"/>
        <v>0.11921460488692404</v>
      </c>
      <c r="AH593" s="304">
        <f t="shared" ca="1" si="289"/>
        <v>-9.6849156670615617</v>
      </c>
    </row>
    <row r="594" spans="1:34" x14ac:dyDescent="0.25">
      <c r="A594" s="347">
        <f t="shared" ca="1" si="267"/>
        <v>0.1</v>
      </c>
      <c r="B594" s="304">
        <f t="shared" ca="1" si="268"/>
        <v>46.700000000000365</v>
      </c>
      <c r="D594" s="306">
        <f t="shared" ca="1" si="269"/>
        <v>-0.33277352083932538</v>
      </c>
      <c r="E594" s="307">
        <f t="shared" ca="1" si="270"/>
        <v>-0.117037799151543</v>
      </c>
      <c r="F594" s="304">
        <f t="shared" ca="1" si="271"/>
        <v>0.3527549611302977</v>
      </c>
      <c r="G594" s="306">
        <f t="shared" ca="1" si="272"/>
        <v>4.1719658316477624</v>
      </c>
      <c r="H594" s="307">
        <f t="shared" ca="1" si="273"/>
        <v>-122.50120691850154</v>
      </c>
      <c r="I594" s="304">
        <f t="shared" ca="1" si="274"/>
        <v>122.57222766756736</v>
      </c>
      <c r="J594" s="306">
        <f t="shared" ca="1" si="275"/>
        <v>676.00287001874437</v>
      </c>
      <c r="K594" s="307">
        <f t="shared" ca="1" si="276"/>
        <v>39.314155879904597</v>
      </c>
      <c r="L594" s="304">
        <f t="shared" ca="1" si="261"/>
        <v>677.14509754271194</v>
      </c>
      <c r="M594" s="306">
        <f t="shared" ca="1" si="277"/>
        <v>-1.5367529560350488</v>
      </c>
      <c r="N594" s="304">
        <f t="shared" ca="1" si="278"/>
        <v>-88.049458535061646</v>
      </c>
      <c r="P594" s="310">
        <f t="shared" ca="1" si="279"/>
        <v>23</v>
      </c>
      <c r="Q594" s="304">
        <f t="shared" ca="1" si="280"/>
        <v>0</v>
      </c>
      <c r="R594" s="306">
        <f t="shared" ca="1" si="281"/>
        <v>0</v>
      </c>
      <c r="S594" s="307">
        <f t="shared" ca="1" si="282"/>
        <v>2.0842999999999985</v>
      </c>
      <c r="T594" s="304">
        <f t="shared" ca="1" si="262"/>
        <v>20.446982999999985</v>
      </c>
      <c r="U594" s="311">
        <f t="shared" ca="1" si="263"/>
        <v>0</v>
      </c>
      <c r="V594" s="306">
        <f t="shared" ca="1" si="264"/>
        <v>1.220193464149695</v>
      </c>
      <c r="W594" s="304">
        <f t="shared" ca="1" si="265"/>
        <v>20.243209220518303</v>
      </c>
      <c r="Y594" s="314" t="str">
        <f t="shared" ca="1" si="283"/>
        <v/>
      </c>
      <c r="Z594" s="315" t="str">
        <f t="shared" ca="1" si="284"/>
        <v/>
      </c>
      <c r="AA594" s="316" t="str">
        <f t="shared" ca="1" si="285"/>
        <v/>
      </c>
      <c r="AC594" s="310" t="e">
        <f t="shared" ca="1" si="286"/>
        <v>#N/A</v>
      </c>
      <c r="AD594" s="323" t="e">
        <f t="shared" ca="1" si="287"/>
        <v>#N/A</v>
      </c>
      <c r="AE594" s="324" t="e">
        <f t="shared" ca="1" si="266"/>
        <v>#N/A</v>
      </c>
      <c r="AG594" s="306">
        <f t="shared" ca="1" si="288"/>
        <v>0.1055510136506399</v>
      </c>
      <c r="AH594" s="304">
        <f t="shared" ca="1" si="289"/>
        <v>-9.6986728186514668</v>
      </c>
    </row>
    <row r="595" spans="1:34" x14ac:dyDescent="0.25">
      <c r="A595" s="347">
        <f t="shared" ca="1" si="267"/>
        <v>0.1</v>
      </c>
      <c r="B595" s="304">
        <f t="shared" ca="1" si="268"/>
        <v>46.800000000000367</v>
      </c>
      <c r="D595" s="306">
        <f t="shared" ca="1" si="269"/>
        <v>-0.33057331955593561</v>
      </c>
      <c r="E595" s="307">
        <f t="shared" ca="1" si="270"/>
        <v>-0.10339350925042723</v>
      </c>
      <c r="F595" s="304">
        <f t="shared" ca="1" si="271"/>
        <v>0.34636532354920996</v>
      </c>
      <c r="G595" s="306">
        <f t="shared" ca="1" si="272"/>
        <v>4.1389084996921692</v>
      </c>
      <c r="H595" s="307">
        <f t="shared" ca="1" si="273"/>
        <v>-122.51154626942657</v>
      </c>
      <c r="I595" s="304">
        <f t="shared" ca="1" si="274"/>
        <v>122.58144040960961</v>
      </c>
      <c r="J595" s="306">
        <f t="shared" ca="1" si="275"/>
        <v>676.41841373531133</v>
      </c>
      <c r="K595" s="307">
        <f t="shared" ca="1" si="276"/>
        <v>27.06351822050819</v>
      </c>
      <c r="L595" s="304">
        <f t="shared" ca="1" si="261"/>
        <v>676.95960326940235</v>
      </c>
      <c r="M595" s="306">
        <f t="shared" ca="1" si="277"/>
        <v>-1.5370253471618227</v>
      </c>
      <c r="N595" s="304">
        <f t="shared" ca="1" si="278"/>
        <v>-88.065065397002613</v>
      </c>
      <c r="P595" s="310">
        <f t="shared" ca="1" si="279"/>
        <v>23</v>
      </c>
      <c r="Q595" s="304">
        <f t="shared" ca="1" si="280"/>
        <v>0</v>
      </c>
      <c r="R595" s="306">
        <f t="shared" ca="1" si="281"/>
        <v>0</v>
      </c>
      <c r="S595" s="307">
        <f t="shared" ca="1" si="282"/>
        <v>2.0842999999999985</v>
      </c>
      <c r="T595" s="304">
        <f t="shared" ca="1" si="262"/>
        <v>20.446982999999985</v>
      </c>
      <c r="U595" s="311">
        <f t="shared" ca="1" si="263"/>
        <v>0</v>
      </c>
      <c r="V595" s="306">
        <f t="shared" ca="1" si="264"/>
        <v>1.2216891991139931</v>
      </c>
      <c r="W595" s="304">
        <f t="shared" ca="1" si="265"/>
        <v>20.271070582712003</v>
      </c>
      <c r="Y595" s="314" t="str">
        <f t="shared" ca="1" si="283"/>
        <v/>
      </c>
      <c r="Z595" s="315" t="str">
        <f t="shared" ca="1" si="284"/>
        <v/>
      </c>
      <c r="AA595" s="316" t="str">
        <f t="shared" ca="1" si="285"/>
        <v/>
      </c>
      <c r="AC595" s="310" t="e">
        <f t="shared" ca="1" si="286"/>
        <v>#N/A</v>
      </c>
      <c r="AD595" s="323" t="e">
        <f t="shared" ca="1" si="287"/>
        <v>#N/A</v>
      </c>
      <c r="AE595" s="324" t="e">
        <f t="shared" ca="1" si="266"/>
        <v>#N/A</v>
      </c>
      <c r="AG595" s="306">
        <f t="shared" ca="1" si="288"/>
        <v>9.2081944592587561E-2</v>
      </c>
      <c r="AH595" s="304">
        <f t="shared" ca="1" si="289"/>
        <v>-9.7122339492963192</v>
      </c>
    </row>
    <row r="596" spans="1:34" x14ac:dyDescent="0.25">
      <c r="A596" s="347">
        <f t="shared" ca="1" si="267"/>
        <v>0.1</v>
      </c>
      <c r="B596" s="304">
        <f t="shared" ca="1" si="268"/>
        <v>46.900000000000368</v>
      </c>
      <c r="D596" s="306">
        <f t="shared" ca="1" si="269"/>
        <v>-0.32838065322018001</v>
      </c>
      <c r="E596" s="307">
        <f t="shared" ca="1" si="270"/>
        <v>-8.9944194475222616E-2</v>
      </c>
      <c r="F596" s="304">
        <f t="shared" ca="1" si="271"/>
        <v>0.34047586042054256</v>
      </c>
      <c r="G596" s="306">
        <f t="shared" ca="1" si="272"/>
        <v>4.1060704343701513</v>
      </c>
      <c r="H596" s="307">
        <f t="shared" ca="1" si="273"/>
        <v>-122.52054068887409</v>
      </c>
      <c r="I596" s="304">
        <f t="shared" ca="1" si="274"/>
        <v>122.58932541255808</v>
      </c>
      <c r="J596" s="306">
        <f t="shared" ca="1" si="275"/>
        <v>676.83066268201446</v>
      </c>
      <c r="K596" s="307">
        <f t="shared" ca="1" si="276"/>
        <v>14.811913872593156</v>
      </c>
      <c r="L596" s="304">
        <f t="shared" ca="1" si="261"/>
        <v>676.99271690258524</v>
      </c>
      <c r="M596" s="306">
        <f t="shared" ca="1" si="277"/>
        <v>-1.5372955422579504</v>
      </c>
      <c r="N596" s="304">
        <f t="shared" ca="1" si="278"/>
        <v>-88.080546435655862</v>
      </c>
      <c r="P596" s="310">
        <f t="shared" ca="1" si="279"/>
        <v>23</v>
      </c>
      <c r="Q596" s="304">
        <f t="shared" ca="1" si="280"/>
        <v>0</v>
      </c>
      <c r="R596" s="306">
        <f t="shared" ca="1" si="281"/>
        <v>0</v>
      </c>
      <c r="S596" s="307">
        <f t="shared" ca="1" si="282"/>
        <v>2.0842999999999985</v>
      </c>
      <c r="T596" s="304">
        <f t="shared" ca="1" si="262"/>
        <v>20.446982999999985</v>
      </c>
      <c r="U596" s="311">
        <f t="shared" ca="1" si="263"/>
        <v>0</v>
      </c>
      <c r="V596" s="306">
        <f t="shared" ca="1" si="264"/>
        <v>1.2231868833370003</v>
      </c>
      <c r="W596" s="304">
        <f t="shared" ca="1" si="265"/>
        <v>20.298532282497071</v>
      </c>
      <c r="Y596" s="314" t="str">
        <f t="shared" ca="1" si="283"/>
        <v/>
      </c>
      <c r="Z596" s="315" t="str">
        <f t="shared" ca="1" si="284"/>
        <v/>
      </c>
      <c r="AA596" s="316" t="str">
        <f t="shared" ca="1" si="285"/>
        <v/>
      </c>
      <c r="AC596" s="310" t="e">
        <f t="shared" ca="1" si="286"/>
        <v>#N/A</v>
      </c>
      <c r="AD596" s="323" t="e">
        <f t="shared" ca="1" si="287"/>
        <v>#N/A</v>
      </c>
      <c r="AE596" s="324" t="e">
        <f t="shared" ca="1" si="266"/>
        <v>#N/A</v>
      </c>
      <c r="AG596" s="306">
        <f t="shared" ca="1" si="288"/>
        <v>7.8805281077547917E-2</v>
      </c>
      <c r="AH596" s="304">
        <f t="shared" ca="1" si="289"/>
        <v>-9.7256012007446238</v>
      </c>
    </row>
    <row r="597" spans="1:34" x14ac:dyDescent="0.25">
      <c r="A597" s="347">
        <f t="shared" ca="1" si="267"/>
        <v>0.1</v>
      </c>
      <c r="B597" s="304">
        <f t="shared" ca="1" si="268"/>
        <v>47.000000000000369</v>
      </c>
      <c r="D597" s="306">
        <f t="shared" ca="1" si="269"/>
        <v>-0.32619563696432541</v>
      </c>
      <c r="E597" s="307">
        <f t="shared" ca="1" si="270"/>
        <v>-7.6687712737333769E-2</v>
      </c>
      <c r="F597" s="304">
        <f t="shared" ca="1" si="271"/>
        <v>0.33508894171465253</v>
      </c>
      <c r="G597" s="306">
        <f t="shared" ca="1" si="272"/>
        <v>4.0734508706737191</v>
      </c>
      <c r="H597" s="307">
        <f t="shared" ca="1" si="273"/>
        <v>-122.52820946014782</v>
      </c>
      <c r="I597" s="304">
        <f t="shared" ca="1" si="274"/>
        <v>122.595901707625</v>
      </c>
      <c r="J597" s="306">
        <f t="shared" ca="1" si="275"/>
        <v>677.23963874726667</v>
      </c>
      <c r="K597" s="307">
        <f t="shared" ca="1" si="276"/>
        <v>2.5594763651420589</v>
      </c>
      <c r="L597" s="304">
        <f t="shared" ca="1" si="261"/>
        <v>677.24447521540696</v>
      </c>
      <c r="M597" s="306">
        <f t="shared" ca="1" si="277"/>
        <v>-1.53756356200931</v>
      </c>
      <c r="N597" s="304">
        <f t="shared" ca="1" si="278"/>
        <v>-88.095902836234899</v>
      </c>
      <c r="P597" s="310">
        <f t="shared" ca="1" si="279"/>
        <v>23</v>
      </c>
      <c r="Q597" s="304">
        <f t="shared" ca="1" si="280"/>
        <v>0</v>
      </c>
      <c r="R597" s="306">
        <f t="shared" ca="1" si="281"/>
        <v>0</v>
      </c>
      <c r="S597" s="307">
        <f t="shared" ca="1" si="282"/>
        <v>2.0842999999999985</v>
      </c>
      <c r="T597" s="304">
        <f t="shared" ca="1" si="262"/>
        <v>20.446982999999985</v>
      </c>
      <c r="U597" s="311">
        <f t="shared" ca="1" si="263"/>
        <v>0</v>
      </c>
      <c r="V597" s="306">
        <f t="shared" ca="1" si="264"/>
        <v>1.2246865042645165</v>
      </c>
      <c r="W597" s="304">
        <f t="shared" ca="1" si="265"/>
        <v>20.325598735270475</v>
      </c>
      <c r="Y597" s="314" t="str">
        <f t="shared" ca="1" si="283"/>
        <v/>
      </c>
      <c r="Z597" s="315" t="str">
        <f t="shared" ca="1" si="284"/>
        <v/>
      </c>
      <c r="AA597" s="316" t="str">
        <f t="shared" ca="1" si="285"/>
        <v/>
      </c>
      <c r="AC597" s="310">
        <f t="shared" ca="1" si="286"/>
        <v>47.000000000000369</v>
      </c>
      <c r="AD597" s="323">
        <f t="shared" ca="1" si="287"/>
        <v>677.23963874726667</v>
      </c>
      <c r="AE597" s="324" t="e">
        <f t="shared" ca="1" si="266"/>
        <v>#N/A</v>
      </c>
      <c r="AG597" s="306">
        <f t="shared" ca="1" si="288"/>
        <v>6.5718917539504318E-2</v>
      </c>
      <c r="AH597" s="304">
        <f t="shared" ca="1" si="289"/>
        <v>-9.7387767032083126</v>
      </c>
    </row>
    <row r="598" spans="1:34" x14ac:dyDescent="0.25">
      <c r="A598" s="347">
        <f t="shared" ca="1" si="267"/>
        <v>0.1</v>
      </c>
      <c r="B598" s="304">
        <f t="shared" ca="1" si="268"/>
        <v>47.100000000000371</v>
      </c>
      <c r="D598" s="306">
        <f t="shared" ca="1" si="269"/>
        <v>-0.32401838233433777</v>
      </c>
      <c r="E598" s="307">
        <f t="shared" ca="1" si="270"/>
        <v>-6.3621933819069554E-2</v>
      </c>
      <c r="F598" s="304">
        <f t="shared" ca="1" si="271"/>
        <v>0.33020548534728972</v>
      </c>
      <c r="G598" s="306">
        <f t="shared" ca="1" si="272"/>
        <v>4.0410490324402852</v>
      </c>
      <c r="H598" s="307">
        <f t="shared" ca="1" si="273"/>
        <v>-122.53457165352972</v>
      </c>
      <c r="I598" s="304">
        <f t="shared" ca="1" si="274"/>
        <v>122.6011881165782</v>
      </c>
      <c r="J598" s="306">
        <f t="shared" ca="1" si="275"/>
        <v>677.64536374242232</v>
      </c>
      <c r="K598" s="307">
        <f t="shared" ca="1" si="276"/>
        <v>-9.6936626905418191</v>
      </c>
      <c r="L598" s="304">
        <f t="shared" ca="1" si="261"/>
        <v>677.71469373030254</v>
      </c>
      <c r="M598" s="306">
        <f t="shared" ca="1" si="277"/>
        <v>-1.5378294268231822</v>
      </c>
      <c r="N598" s="304">
        <f t="shared" ca="1" si="278"/>
        <v>-88.111135767990817</v>
      </c>
      <c r="P598" s="310">
        <f t="shared" ca="1" si="279"/>
        <v>23</v>
      </c>
      <c r="Q598" s="304">
        <f t="shared" ca="1" si="280"/>
        <v>0</v>
      </c>
      <c r="R598" s="306">
        <f t="shared" ca="1" si="281"/>
        <v>0</v>
      </c>
      <c r="S598" s="307">
        <f t="shared" ca="1" si="282"/>
        <v>2.0842999999999985</v>
      </c>
      <c r="T598" s="304">
        <f t="shared" ca="1" si="262"/>
        <v>20.446982999999985</v>
      </c>
      <c r="U598" s="311">
        <f t="shared" ca="1" si="263"/>
        <v>0</v>
      </c>
      <c r="V598" s="306">
        <f t="shared" ca="1" si="264"/>
        <v>1.2261880495071504</v>
      </c>
      <c r="W598" s="304">
        <f t="shared" ca="1" si="265"/>
        <v>20.352274331291913</v>
      </c>
      <c r="Y598" s="314" t="str">
        <f t="shared" ca="1" si="283"/>
        <v>Impact balistique</v>
      </c>
      <c r="Z598" s="315" t="str">
        <f t="shared" ca="1" si="284"/>
        <v/>
      </c>
      <c r="AA598" s="316" t="str">
        <f t="shared" ca="1" si="285"/>
        <v/>
      </c>
      <c r="AC598" s="310" t="e">
        <f t="shared" ca="1" si="286"/>
        <v>#N/A</v>
      </c>
      <c r="AD598" s="323" t="e">
        <f t="shared" ca="1" si="287"/>
        <v>#N/A</v>
      </c>
      <c r="AE598" s="324" t="e">
        <f t="shared" ca="1" si="266"/>
        <v>#N/A</v>
      </c>
      <c r="AG598" s="306">
        <f t="shared" ca="1" si="288"/>
        <v>5.2820759759587332E-2</v>
      </c>
      <c r="AH598" s="304">
        <f t="shared" ca="1" si="289"/>
        <v>-9.7517625750949914</v>
      </c>
    </row>
    <row r="599" spans="1:34" x14ac:dyDescent="0.25">
      <c r="A599" s="347">
        <f t="shared" ca="1" si="267"/>
        <v>1E-4</v>
      </c>
      <c r="B599" s="304">
        <f t="shared" ca="1" si="268"/>
        <v>47.100100000000374</v>
      </c>
      <c r="D599" s="306">
        <f t="shared" ca="1" si="269"/>
        <v>-0.32184899734878991</v>
      </c>
      <c r="E599" s="307">
        <f t="shared" ca="1" si="270"/>
        <v>-5.0744739630982139E-2</v>
      </c>
      <c r="F599" s="304">
        <f t="shared" ca="1" si="271"/>
        <v>0.32582480828604432</v>
      </c>
      <c r="G599" s="306">
        <f t="shared" ca="1" si="272"/>
        <v>4.0410168475405506</v>
      </c>
      <c r="H599" s="307">
        <f t="shared" ca="1" si="273"/>
        <v>-122.53457672800369</v>
      </c>
      <c r="I599" s="304">
        <f t="shared" ca="1" si="274"/>
        <v>122.60119212745498</v>
      </c>
      <c r="J599" s="306">
        <f t="shared" ca="1" si="275"/>
        <v>677.64536374242232</v>
      </c>
      <c r="K599" s="307">
        <f t="shared" ca="1" si="276"/>
        <v>-9.7059161479608953</v>
      </c>
      <c r="L599" s="304">
        <f t="shared" ca="1" si="261"/>
        <v>677.71486910785063</v>
      </c>
      <c r="M599" s="306">
        <f t="shared" ca="1" si="277"/>
        <v>-1.5378296905618181</v>
      </c>
      <c r="N599" s="304">
        <f t="shared" ca="1" si="278"/>
        <v>-88.111150879101544</v>
      </c>
      <c r="P599" s="310">
        <f t="shared" ca="1" si="279"/>
        <v>23</v>
      </c>
      <c r="Q599" s="304">
        <f t="shared" ca="1" si="280"/>
        <v>0</v>
      </c>
      <c r="R599" s="306">
        <f t="shared" ca="1" si="281"/>
        <v>0</v>
      </c>
      <c r="S599" s="307">
        <f t="shared" ca="1" si="282"/>
        <v>2.0842999999999985</v>
      </c>
      <c r="T599" s="304">
        <f t="shared" ca="1" si="262"/>
        <v>20.446982999999985</v>
      </c>
      <c r="U599" s="311">
        <f t="shared" ca="1" si="263"/>
        <v>0</v>
      </c>
      <c r="V599" s="306">
        <f t="shared" ca="1" si="264"/>
        <v>1.2261895520127297</v>
      </c>
      <c r="W599" s="304">
        <f t="shared" ca="1" si="265"/>
        <v>20.352300601529709</v>
      </c>
      <c r="Y599" s="314" t="str">
        <f t="shared" ca="1" si="283"/>
        <v/>
      </c>
      <c r="Z599" s="315" t="str">
        <f t="shared" ca="1" si="284"/>
        <v/>
      </c>
      <c r="AA599" s="316" t="str">
        <f t="shared" ca="1" si="285"/>
        <v/>
      </c>
      <c r="AC599" s="310" t="e">
        <f t="shared" ca="1" si="286"/>
        <v>#N/A</v>
      </c>
      <c r="AD599" s="323" t="e">
        <f t="shared" ca="1" si="287"/>
        <v>#N/A</v>
      </c>
      <c r="AE599" s="324" t="e">
        <f t="shared" ca="1" si="266"/>
        <v>#N/A</v>
      </c>
      <c r="AG599" s="306">
        <f t="shared" ca="1" si="288"/>
        <v>4.0108725131997147E-2</v>
      </c>
      <c r="AH599" s="304">
        <f t="shared" ca="1" si="289"/>
        <v>-9.7645609227519685</v>
      </c>
    </row>
    <row r="600" spans="1:34" x14ac:dyDescent="0.25">
      <c r="A600" s="347">
        <f t="shared" ca="1" si="267"/>
        <v>1E-4</v>
      </c>
      <c r="B600" s="304">
        <f t="shared" ca="1" si="268"/>
        <v>47.100200000000378</v>
      </c>
      <c r="D600" s="306">
        <f t="shared" ca="1" si="269"/>
        <v>-0.3218468388879156</v>
      </c>
      <c r="E600" s="307">
        <f t="shared" ca="1" si="270"/>
        <v>-5.0732057729671709E-2</v>
      </c>
      <c r="F600" s="304">
        <f t="shared" ca="1" si="271"/>
        <v>0.32582070128159546</v>
      </c>
      <c r="G600" s="306">
        <f t="shared" ca="1" si="272"/>
        <v>4.0409846628566619</v>
      </c>
      <c r="H600" s="307">
        <f t="shared" ca="1" si="273"/>
        <v>-122.53458180120946</v>
      </c>
      <c r="I600" s="304">
        <f t="shared" ca="1" si="274"/>
        <v>122.6011961370799</v>
      </c>
      <c r="J600" s="306">
        <f t="shared" ca="1" si="275"/>
        <v>677.64536374242232</v>
      </c>
      <c r="K600" s="307">
        <f t="shared" ca="1" si="276"/>
        <v>-9.7181696058873559</v>
      </c>
      <c r="L600" s="304">
        <f t="shared" ca="1" si="261"/>
        <v>677.71504470690968</v>
      </c>
      <c r="M600" s="306">
        <f t="shared" ca="1" si="277"/>
        <v>-1.537829954298336</v>
      </c>
      <c r="N600" s="304">
        <f t="shared" ca="1" si="278"/>
        <v>-88.111165990090925</v>
      </c>
      <c r="P600" s="310">
        <f t="shared" ca="1" si="279"/>
        <v>23</v>
      </c>
      <c r="Q600" s="304">
        <f t="shared" ca="1" si="280"/>
        <v>0</v>
      </c>
      <c r="R600" s="306">
        <f t="shared" ca="1" si="281"/>
        <v>0</v>
      </c>
      <c r="S600" s="307">
        <f t="shared" ca="1" si="282"/>
        <v>2.0842999999999985</v>
      </c>
      <c r="T600" s="304">
        <f t="shared" ca="1" si="262"/>
        <v>20.446982999999985</v>
      </c>
      <c r="U600" s="311">
        <f t="shared" ca="1" si="263"/>
        <v>0</v>
      </c>
      <c r="V600" s="306">
        <f t="shared" ca="1" si="264"/>
        <v>1.226191054520213</v>
      </c>
      <c r="W600" s="304">
        <f t="shared" ca="1" si="265"/>
        <v>20.35232687138679</v>
      </c>
      <c r="Y600" s="314" t="str">
        <f t="shared" ca="1" si="283"/>
        <v/>
      </c>
      <c r="Z600" s="315" t="str">
        <f t="shared" ca="1" si="284"/>
        <v/>
      </c>
      <c r="AA600" s="316" t="str">
        <f t="shared" ca="1" si="285"/>
        <v/>
      </c>
      <c r="AC600" s="310" t="e">
        <f t="shared" ca="1" si="286"/>
        <v>#N/A</v>
      </c>
      <c r="AD600" s="323" t="e">
        <f t="shared" ca="1" si="287"/>
        <v>#N/A</v>
      </c>
      <c r="AE600" s="324" t="e">
        <f t="shared" ca="1" si="266"/>
        <v>#N/A</v>
      </c>
      <c r="AG600" s="306">
        <f t="shared" ca="1" si="288"/>
        <v>4.0096206544726343E-2</v>
      </c>
      <c r="AH600" s="304">
        <f t="shared" ca="1" si="289"/>
        <v>-9.7645735266179177</v>
      </c>
    </row>
    <row r="601" spans="1:34" x14ac:dyDescent="0.25">
      <c r="A601" s="347">
        <f t="shared" ca="1" si="267"/>
        <v>1E-4</v>
      </c>
      <c r="B601" s="304">
        <f t="shared" ca="1" si="268"/>
        <v>47.100300000000381</v>
      </c>
      <c r="D601" s="306">
        <f t="shared" ca="1" si="269"/>
        <v>-0.32184468043502246</v>
      </c>
      <c r="E601" s="307">
        <f t="shared" ca="1" si="270"/>
        <v>-5.0719376012064998E-2</v>
      </c>
      <c r="F601" s="304">
        <f t="shared" ca="1" si="271"/>
        <v>0.32581659476977992</v>
      </c>
      <c r="G601" s="306">
        <f t="shared" ca="1" si="272"/>
        <v>4.0409524783886184</v>
      </c>
      <c r="H601" s="307">
        <f t="shared" ca="1" si="273"/>
        <v>-122.53458687314706</v>
      </c>
      <c r="I601" s="304">
        <f t="shared" ca="1" si="274"/>
        <v>122.60120014545298</v>
      </c>
      <c r="J601" s="306">
        <f t="shared" ca="1" si="275"/>
        <v>677.64536374242232</v>
      </c>
      <c r="K601" s="307">
        <f t="shared" ca="1" si="276"/>
        <v>-9.730423064321073</v>
      </c>
      <c r="L601" s="304">
        <f t="shared" ca="1" si="261"/>
        <v>677.71522052747969</v>
      </c>
      <c r="M601" s="306">
        <f t="shared" ca="1" si="277"/>
        <v>-1.5378302180327361</v>
      </c>
      <c r="N601" s="304">
        <f t="shared" ca="1" si="278"/>
        <v>-88.111181100958959</v>
      </c>
      <c r="P601" s="310">
        <f t="shared" ca="1" si="279"/>
        <v>23</v>
      </c>
      <c r="Q601" s="304">
        <f t="shared" ca="1" si="280"/>
        <v>0</v>
      </c>
      <c r="R601" s="306">
        <f t="shared" ca="1" si="281"/>
        <v>0</v>
      </c>
      <c r="S601" s="307">
        <f t="shared" ca="1" si="282"/>
        <v>2.0842999999999985</v>
      </c>
      <c r="T601" s="304">
        <f t="shared" ca="1" si="262"/>
        <v>20.446982999999985</v>
      </c>
      <c r="U601" s="311">
        <f t="shared" ca="1" si="263"/>
        <v>0</v>
      </c>
      <c r="V601" s="306">
        <f t="shared" ca="1" si="264"/>
        <v>1.2261925570296006</v>
      </c>
      <c r="W601" s="304">
        <f t="shared" ca="1" si="265"/>
        <v>20.352353140863158</v>
      </c>
      <c r="Y601" s="314" t="str">
        <f t="shared" ca="1" si="283"/>
        <v/>
      </c>
      <c r="Z601" s="315" t="str">
        <f t="shared" ca="1" si="284"/>
        <v/>
      </c>
      <c r="AA601" s="316" t="str">
        <f t="shared" ca="1" si="285"/>
        <v/>
      </c>
      <c r="AC601" s="310" t="e">
        <f t="shared" ca="1" si="286"/>
        <v>#N/A</v>
      </c>
      <c r="AD601" s="323" t="e">
        <f t="shared" ca="1" si="287"/>
        <v>#N/A</v>
      </c>
      <c r="AE601" s="324" t="e">
        <f t="shared" ca="1" si="266"/>
        <v>#N/A</v>
      </c>
      <c r="AG601" s="306">
        <f t="shared" ca="1" si="288"/>
        <v>4.0083688138752294E-2</v>
      </c>
      <c r="AH601" s="304">
        <f t="shared" ca="1" si="289"/>
        <v>-9.7645861303012058</v>
      </c>
    </row>
    <row r="602" spans="1:34" x14ac:dyDescent="0.25">
      <c r="A602" s="347">
        <f t="shared" ca="1" si="267"/>
        <v>1E-4</v>
      </c>
      <c r="B602" s="304">
        <f t="shared" ca="1" si="268"/>
        <v>47.100400000000384</v>
      </c>
      <c r="D602" s="306">
        <f t="shared" ca="1" si="269"/>
        <v>-0.32184252199011093</v>
      </c>
      <c r="E602" s="307">
        <f t="shared" ca="1" si="270"/>
        <v>-5.0706694478154901E-2</v>
      </c>
      <c r="F602" s="304">
        <f t="shared" ca="1" si="271"/>
        <v>0.32581248875059404</v>
      </c>
      <c r="G602" s="306">
        <f t="shared" ca="1" si="272"/>
        <v>4.0409202941364191</v>
      </c>
      <c r="H602" s="307">
        <f t="shared" ca="1" si="273"/>
        <v>-122.53459194381651</v>
      </c>
      <c r="I602" s="304">
        <f t="shared" ca="1" si="274"/>
        <v>122.60120415257423</v>
      </c>
      <c r="J602" s="306">
        <f t="shared" ca="1" si="275"/>
        <v>677.64536374242232</v>
      </c>
      <c r="K602" s="307">
        <f t="shared" ca="1" si="276"/>
        <v>-9.7426765232619204</v>
      </c>
      <c r="L602" s="304">
        <f t="shared" ca="1" si="261"/>
        <v>677.71539656956054</v>
      </c>
      <c r="M602" s="306">
        <f t="shared" ca="1" si="277"/>
        <v>-1.5378304817650186</v>
      </c>
      <c r="N602" s="304">
        <f t="shared" ca="1" si="278"/>
        <v>-88.111196211705675</v>
      </c>
      <c r="P602" s="310">
        <f t="shared" ca="1" si="279"/>
        <v>23</v>
      </c>
      <c r="Q602" s="304">
        <f t="shared" ca="1" si="280"/>
        <v>0</v>
      </c>
      <c r="R602" s="306">
        <f t="shared" ca="1" si="281"/>
        <v>0</v>
      </c>
      <c r="S602" s="307">
        <f t="shared" ca="1" si="282"/>
        <v>2.0842999999999985</v>
      </c>
      <c r="T602" s="304">
        <f t="shared" ca="1" si="262"/>
        <v>20.446982999999985</v>
      </c>
      <c r="U602" s="311">
        <f t="shared" ca="1" si="263"/>
        <v>0</v>
      </c>
      <c r="V602" s="306">
        <f t="shared" ca="1" si="264"/>
        <v>1.2261940595408927</v>
      </c>
      <c r="W602" s="304">
        <f t="shared" ca="1" si="265"/>
        <v>20.352379409958825</v>
      </c>
      <c r="Y602" s="314" t="str">
        <f t="shared" ca="1" si="283"/>
        <v/>
      </c>
      <c r="Z602" s="315" t="str">
        <f t="shared" ca="1" si="284"/>
        <v/>
      </c>
      <c r="AA602" s="316" t="str">
        <f t="shared" ca="1" si="285"/>
        <v/>
      </c>
      <c r="AC602" s="310" t="e">
        <f t="shared" ca="1" si="286"/>
        <v>#N/A</v>
      </c>
      <c r="AD602" s="323" t="e">
        <f t="shared" ca="1" si="287"/>
        <v>#N/A</v>
      </c>
      <c r="AE602" s="324" t="e">
        <f t="shared" ca="1" si="266"/>
        <v>#N/A</v>
      </c>
      <c r="AG602" s="306">
        <f t="shared" ca="1" si="288"/>
        <v>4.0071169914064342E-2</v>
      </c>
      <c r="AH602" s="304">
        <f t="shared" ca="1" si="289"/>
        <v>-9.7645987338018383</v>
      </c>
    </row>
    <row r="603" spans="1:34" x14ac:dyDescent="0.25">
      <c r="A603" s="347">
        <f t="shared" ca="1" si="267"/>
        <v>1E-4</v>
      </c>
      <c r="B603" s="304">
        <f t="shared" ca="1" si="268"/>
        <v>47.100500000000388</v>
      </c>
      <c r="D603" s="306">
        <f t="shared" ca="1" si="269"/>
        <v>-0.32184036355317924</v>
      </c>
      <c r="E603" s="307">
        <f t="shared" ca="1" si="270"/>
        <v>-5.0694013127937865E-2</v>
      </c>
      <c r="F603" s="304">
        <f t="shared" ca="1" si="271"/>
        <v>0.32580838322403266</v>
      </c>
      <c r="G603" s="306">
        <f t="shared" ca="1" si="272"/>
        <v>4.040888110100064</v>
      </c>
      <c r="H603" s="307">
        <f t="shared" ca="1" si="273"/>
        <v>-122.53459701321782</v>
      </c>
      <c r="I603" s="304">
        <f t="shared" ca="1" si="274"/>
        <v>122.60120815844368</v>
      </c>
      <c r="J603" s="306">
        <f t="shared" ca="1" si="275"/>
        <v>677.64536374242232</v>
      </c>
      <c r="K603" s="307">
        <f t="shared" ca="1" si="276"/>
        <v>-9.754929982709772</v>
      </c>
      <c r="L603" s="304">
        <f t="shared" ca="1" si="261"/>
        <v>677.71557283315201</v>
      </c>
      <c r="M603" s="306">
        <f t="shared" ca="1" si="277"/>
        <v>-1.5378307454951832</v>
      </c>
      <c r="N603" s="304">
        <f t="shared" ca="1" si="278"/>
        <v>-88.11121132233103</v>
      </c>
      <c r="P603" s="310">
        <f t="shared" ca="1" si="279"/>
        <v>23</v>
      </c>
      <c r="Q603" s="304">
        <f t="shared" ca="1" si="280"/>
        <v>0</v>
      </c>
      <c r="R603" s="306">
        <f t="shared" ca="1" si="281"/>
        <v>0</v>
      </c>
      <c r="S603" s="307">
        <f t="shared" ca="1" si="282"/>
        <v>2.0842999999999985</v>
      </c>
      <c r="T603" s="304">
        <f t="shared" ca="1" si="262"/>
        <v>20.446982999999985</v>
      </c>
      <c r="U603" s="311">
        <f t="shared" ca="1" si="263"/>
        <v>0</v>
      </c>
      <c r="V603" s="306">
        <f t="shared" ca="1" si="264"/>
        <v>1.2261955620540888</v>
      </c>
      <c r="W603" s="304">
        <f t="shared" ca="1" si="265"/>
        <v>20.35240567867379</v>
      </c>
      <c r="Y603" s="314" t="str">
        <f t="shared" ca="1" si="283"/>
        <v/>
      </c>
      <c r="Z603" s="315" t="str">
        <f t="shared" ca="1" si="284"/>
        <v/>
      </c>
      <c r="AA603" s="316" t="str">
        <f t="shared" ca="1" si="285"/>
        <v/>
      </c>
      <c r="AC603" s="310" t="e">
        <f t="shared" ca="1" si="286"/>
        <v>#N/A</v>
      </c>
      <c r="AD603" s="323" t="e">
        <f t="shared" ca="1" si="287"/>
        <v>#N/A</v>
      </c>
      <c r="AE603" s="324" t="e">
        <f t="shared" ca="1" si="266"/>
        <v>#N/A</v>
      </c>
      <c r="AG603" s="306">
        <f t="shared" ca="1" si="288"/>
        <v>4.0058651870662487E-2</v>
      </c>
      <c r="AH603" s="304">
        <f t="shared" ca="1" si="289"/>
        <v>-9.7646113371198204</v>
      </c>
    </row>
    <row r="604" spans="1:34" x14ac:dyDescent="0.25">
      <c r="A604" s="347">
        <f t="shared" ca="1" si="267"/>
        <v>1E-4</v>
      </c>
      <c r="B604" s="304">
        <f t="shared" ca="1" si="268"/>
        <v>47.100600000000391</v>
      </c>
      <c r="D604" s="306">
        <f t="shared" ca="1" si="269"/>
        <v>-0.32183820512422961</v>
      </c>
      <c r="E604" s="307">
        <f t="shared" ca="1" si="270"/>
        <v>-5.0681331961415665E-2</v>
      </c>
      <c r="F604" s="304">
        <f t="shared" ca="1" si="271"/>
        <v>0.32580427819009516</v>
      </c>
      <c r="G604" s="306">
        <f t="shared" ca="1" si="272"/>
        <v>4.0408559262795514</v>
      </c>
      <c r="H604" s="307">
        <f t="shared" ca="1" si="273"/>
        <v>-122.53460208135101</v>
      </c>
      <c r="I604" s="304">
        <f t="shared" ca="1" si="274"/>
        <v>122.60121216306133</v>
      </c>
      <c r="J604" s="306">
        <f t="shared" ca="1" si="275"/>
        <v>677.64536374242232</v>
      </c>
      <c r="K604" s="307">
        <f t="shared" ca="1" si="276"/>
        <v>-9.7671834426644999</v>
      </c>
      <c r="L604" s="304">
        <f t="shared" ca="1" si="261"/>
        <v>677.71574931825398</v>
      </c>
      <c r="M604" s="306">
        <f t="shared" ca="1" si="277"/>
        <v>-1.5378310092232301</v>
      </c>
      <c r="N604" s="304">
        <f t="shared" ca="1" si="278"/>
        <v>-88.111226432835068</v>
      </c>
      <c r="P604" s="310">
        <f t="shared" ca="1" si="279"/>
        <v>23</v>
      </c>
      <c r="Q604" s="304">
        <f t="shared" ca="1" si="280"/>
        <v>0</v>
      </c>
      <c r="R604" s="306">
        <f t="shared" ca="1" si="281"/>
        <v>0</v>
      </c>
      <c r="S604" s="307">
        <f t="shared" ca="1" si="282"/>
        <v>2.0842999999999985</v>
      </c>
      <c r="T604" s="304">
        <f t="shared" ca="1" si="262"/>
        <v>20.446982999999985</v>
      </c>
      <c r="U604" s="311">
        <f t="shared" ca="1" si="263"/>
        <v>0</v>
      </c>
      <c r="V604" s="306">
        <f t="shared" ca="1" si="264"/>
        <v>1.2261970645691886</v>
      </c>
      <c r="W604" s="304">
        <f t="shared" ca="1" si="265"/>
        <v>20.352431947008046</v>
      </c>
      <c r="Y604" s="314" t="str">
        <f t="shared" ca="1" si="283"/>
        <v/>
      </c>
      <c r="Z604" s="315" t="str">
        <f t="shared" ca="1" si="284"/>
        <v/>
      </c>
      <c r="AA604" s="316" t="str">
        <f t="shared" ca="1" si="285"/>
        <v/>
      </c>
      <c r="AC604" s="310" t="e">
        <f t="shared" ca="1" si="286"/>
        <v>#N/A</v>
      </c>
      <c r="AD604" s="323" t="e">
        <f t="shared" ca="1" si="287"/>
        <v>#N/A</v>
      </c>
      <c r="AE604" s="324" t="e">
        <f t="shared" ca="1" si="266"/>
        <v>#N/A</v>
      </c>
      <c r="AG604" s="306">
        <f t="shared" ca="1" si="288"/>
        <v>4.004613400854673E-2</v>
      </c>
      <c r="AH604" s="304">
        <f t="shared" ca="1" si="289"/>
        <v>-9.7646239402551487</v>
      </c>
    </row>
    <row r="605" spans="1:34" x14ac:dyDescent="0.25">
      <c r="A605" s="347">
        <f t="shared" ca="1" si="267"/>
        <v>1E-4</v>
      </c>
      <c r="B605" s="304">
        <f t="shared" ca="1" si="268"/>
        <v>47.100700000000394</v>
      </c>
      <c r="D605" s="306">
        <f t="shared" ca="1" si="269"/>
        <v>-0.3218360467032601</v>
      </c>
      <c r="E605" s="307">
        <f t="shared" ca="1" si="270"/>
        <v>-5.0668650978591856E-2</v>
      </c>
      <c r="F605" s="304">
        <f t="shared" ca="1" si="271"/>
        <v>0.32580017364877722</v>
      </c>
      <c r="G605" s="306">
        <f t="shared" ca="1" si="272"/>
        <v>4.0408237426748812</v>
      </c>
      <c r="H605" s="307">
        <f t="shared" ca="1" si="273"/>
        <v>-122.53460714821611</v>
      </c>
      <c r="I605" s="304">
        <f t="shared" ca="1" si="274"/>
        <v>122.60121616642725</v>
      </c>
      <c r="J605" s="306">
        <f t="shared" ca="1" si="275"/>
        <v>677.64536374242232</v>
      </c>
      <c r="K605" s="307">
        <f t="shared" ca="1" si="276"/>
        <v>-9.779436903125978</v>
      </c>
      <c r="L605" s="304">
        <f t="shared" ca="1" si="261"/>
        <v>677.71592602486635</v>
      </c>
      <c r="M605" s="306">
        <f t="shared" ca="1" si="277"/>
        <v>-1.5378312729491594</v>
      </c>
      <c r="N605" s="304">
        <f t="shared" ca="1" si="278"/>
        <v>-88.111241543217758</v>
      </c>
      <c r="P605" s="310">
        <f t="shared" ca="1" si="279"/>
        <v>23</v>
      </c>
      <c r="Q605" s="304">
        <f t="shared" ca="1" si="280"/>
        <v>0</v>
      </c>
      <c r="R605" s="306">
        <f t="shared" ca="1" si="281"/>
        <v>0</v>
      </c>
      <c r="S605" s="307">
        <f t="shared" ca="1" si="282"/>
        <v>2.0842999999999985</v>
      </c>
      <c r="T605" s="304">
        <f t="shared" ca="1" si="262"/>
        <v>20.446982999999985</v>
      </c>
      <c r="U605" s="311">
        <f t="shared" ca="1" si="263"/>
        <v>0</v>
      </c>
      <c r="V605" s="306">
        <f t="shared" ca="1" si="264"/>
        <v>1.2261985670861926</v>
      </c>
      <c r="W605" s="304">
        <f t="shared" ca="1" si="265"/>
        <v>20.352458214961619</v>
      </c>
      <c r="Y605" s="314" t="str">
        <f t="shared" ca="1" si="283"/>
        <v/>
      </c>
      <c r="Z605" s="315" t="str">
        <f t="shared" ca="1" si="284"/>
        <v/>
      </c>
      <c r="AA605" s="316" t="str">
        <f t="shared" ca="1" si="285"/>
        <v/>
      </c>
      <c r="AC605" s="310" t="e">
        <f t="shared" ca="1" si="286"/>
        <v>#N/A</v>
      </c>
      <c r="AD605" s="323" t="e">
        <f t="shared" ca="1" si="287"/>
        <v>#N/A</v>
      </c>
      <c r="AE605" s="324" t="e">
        <f t="shared" ca="1" si="266"/>
        <v>#N/A</v>
      </c>
      <c r="AG605" s="306">
        <f t="shared" ca="1" si="288"/>
        <v>4.0033616327720623E-2</v>
      </c>
      <c r="AH605" s="304">
        <f t="shared" ca="1" si="289"/>
        <v>-9.7646365432078213</v>
      </c>
    </row>
    <row r="606" spans="1:34" x14ac:dyDescent="0.25">
      <c r="A606" s="347">
        <f t="shared" ca="1" si="267"/>
        <v>1E-4</v>
      </c>
      <c r="B606" s="304">
        <f t="shared" ca="1" si="268"/>
        <v>47.100800000000397</v>
      </c>
      <c r="D606" s="306">
        <f t="shared" ca="1" si="269"/>
        <v>-0.32183388829027137</v>
      </c>
      <c r="E606" s="307">
        <f t="shared" ca="1" si="270"/>
        <v>-5.0655970179455778E-2</v>
      </c>
      <c r="F606" s="304">
        <f t="shared" ca="1" si="271"/>
        <v>0.32579606960007479</v>
      </c>
      <c r="G606" s="306">
        <f t="shared" ca="1" si="272"/>
        <v>4.0407915592860526</v>
      </c>
      <c r="H606" s="307">
        <f t="shared" ca="1" si="273"/>
        <v>-122.53461221381313</v>
      </c>
      <c r="I606" s="304">
        <f t="shared" ca="1" si="274"/>
        <v>122.60122016854139</v>
      </c>
      <c r="J606" s="306">
        <f t="shared" ca="1" si="275"/>
        <v>677.64536374242232</v>
      </c>
      <c r="K606" s="307">
        <f t="shared" ca="1" si="276"/>
        <v>-9.7916903640940802</v>
      </c>
      <c r="L606" s="304">
        <f t="shared" ca="1" si="261"/>
        <v>677.71610295298888</v>
      </c>
      <c r="M606" s="306">
        <f t="shared" ca="1" si="277"/>
        <v>-1.5378315366729711</v>
      </c>
      <c r="N606" s="304">
        <f t="shared" ca="1" si="278"/>
        <v>-88.111256653479131</v>
      </c>
      <c r="P606" s="310">
        <f t="shared" ca="1" si="279"/>
        <v>23</v>
      </c>
      <c r="Q606" s="304">
        <f t="shared" ca="1" si="280"/>
        <v>0</v>
      </c>
      <c r="R606" s="306">
        <f t="shared" ca="1" si="281"/>
        <v>0</v>
      </c>
      <c r="S606" s="307">
        <f t="shared" ca="1" si="282"/>
        <v>2.0842999999999985</v>
      </c>
      <c r="T606" s="304">
        <f t="shared" ca="1" si="262"/>
        <v>20.446982999999985</v>
      </c>
      <c r="U606" s="311">
        <f t="shared" ca="1" si="263"/>
        <v>0</v>
      </c>
      <c r="V606" s="306">
        <f t="shared" ca="1" si="264"/>
        <v>1.2262000696051012</v>
      </c>
      <c r="W606" s="304">
        <f t="shared" ca="1" si="265"/>
        <v>20.3524844825345</v>
      </c>
      <c r="Y606" s="314" t="str">
        <f t="shared" ca="1" si="283"/>
        <v/>
      </c>
      <c r="Z606" s="315" t="str">
        <f t="shared" ca="1" si="284"/>
        <v/>
      </c>
      <c r="AA606" s="316" t="str">
        <f t="shared" ca="1" si="285"/>
        <v/>
      </c>
      <c r="AC606" s="310" t="e">
        <f t="shared" ca="1" si="286"/>
        <v>#N/A</v>
      </c>
      <c r="AD606" s="323" t="e">
        <f t="shared" ca="1" si="287"/>
        <v>#N/A</v>
      </c>
      <c r="AE606" s="324" t="e">
        <f t="shared" ca="1" si="266"/>
        <v>#N/A</v>
      </c>
      <c r="AG606" s="306">
        <f t="shared" ca="1" si="288"/>
        <v>4.0021098828169954E-2</v>
      </c>
      <c r="AH606" s="304">
        <f t="shared" ca="1" si="289"/>
        <v>-9.7646491459778506</v>
      </c>
    </row>
    <row r="607" spans="1:34" x14ac:dyDescent="0.25">
      <c r="A607" s="347">
        <f t="shared" ca="1" si="267"/>
        <v>1E-4</v>
      </c>
      <c r="B607" s="304">
        <f t="shared" ca="1" si="268"/>
        <v>47.100900000000401</v>
      </c>
      <c r="D607" s="306">
        <f t="shared" ca="1" si="269"/>
        <v>-0.32183172988526348</v>
      </c>
      <c r="E607" s="307">
        <f t="shared" ca="1" si="270"/>
        <v>-5.0643289564003879E-2</v>
      </c>
      <c r="F607" s="304">
        <f t="shared" ca="1" si="271"/>
        <v>0.32579196604398447</v>
      </c>
      <c r="G607" s="306">
        <f t="shared" ca="1" si="272"/>
        <v>4.0407593761130638</v>
      </c>
      <c r="H607" s="307">
        <f t="shared" ca="1" si="273"/>
        <v>-122.53461727814209</v>
      </c>
      <c r="I607" s="304">
        <f t="shared" ca="1" si="274"/>
        <v>122.60122416940381</v>
      </c>
      <c r="J607" s="306">
        <f t="shared" ca="1" si="275"/>
        <v>677.64536374242232</v>
      </c>
      <c r="K607" s="307">
        <f t="shared" ca="1" si="276"/>
        <v>-9.8039438255686786</v>
      </c>
      <c r="L607" s="304">
        <f t="shared" ca="1" si="261"/>
        <v>677.71628010262134</v>
      </c>
      <c r="M607" s="306">
        <f t="shared" ca="1" si="277"/>
        <v>-1.5378318003946649</v>
      </c>
      <c r="N607" s="304">
        <f t="shared" ca="1" si="278"/>
        <v>-88.111271763619143</v>
      </c>
      <c r="P607" s="310">
        <f t="shared" ca="1" si="279"/>
        <v>23</v>
      </c>
      <c r="Q607" s="304">
        <f t="shared" ca="1" si="280"/>
        <v>0</v>
      </c>
      <c r="R607" s="306">
        <f t="shared" ca="1" si="281"/>
        <v>0</v>
      </c>
      <c r="S607" s="307">
        <f t="shared" ca="1" si="282"/>
        <v>2.0842999999999985</v>
      </c>
      <c r="T607" s="304">
        <f t="shared" ca="1" si="262"/>
        <v>20.446982999999985</v>
      </c>
      <c r="U607" s="311">
        <f t="shared" ca="1" si="263"/>
        <v>0</v>
      </c>
      <c r="V607" s="306">
        <f t="shared" ca="1" si="264"/>
        <v>1.2262015721259136</v>
      </c>
      <c r="W607" s="304">
        <f t="shared" ca="1" si="265"/>
        <v>20.352510749726694</v>
      </c>
      <c r="Y607" s="314" t="str">
        <f t="shared" ca="1" si="283"/>
        <v/>
      </c>
      <c r="Z607" s="315" t="str">
        <f t="shared" ca="1" si="284"/>
        <v/>
      </c>
      <c r="AA607" s="316" t="str">
        <f t="shared" ca="1" si="285"/>
        <v/>
      </c>
      <c r="AC607" s="310" t="e">
        <f t="shared" ca="1" si="286"/>
        <v>#N/A</v>
      </c>
      <c r="AD607" s="323" t="e">
        <f t="shared" ca="1" si="287"/>
        <v>#N/A</v>
      </c>
      <c r="AE607" s="324" t="e">
        <f t="shared" ca="1" si="266"/>
        <v>#N/A</v>
      </c>
      <c r="AG607" s="306">
        <f t="shared" ca="1" si="288"/>
        <v>4.0008581509900054E-2</v>
      </c>
      <c r="AH607" s="304">
        <f t="shared" ca="1" si="289"/>
        <v>-9.7646617485652332</v>
      </c>
    </row>
    <row r="608" spans="1:34" x14ac:dyDescent="0.25">
      <c r="A608" s="347">
        <f t="shared" ca="1" si="267"/>
        <v>1E-4</v>
      </c>
      <c r="B608" s="304">
        <f t="shared" ca="1" si="268"/>
        <v>47.101000000000404</v>
      </c>
      <c r="D608" s="306">
        <f t="shared" ca="1" si="269"/>
        <v>-0.32182957148823887</v>
      </c>
      <c r="E608" s="307">
        <f t="shared" ca="1" si="270"/>
        <v>-5.0630609132241489E-2</v>
      </c>
      <c r="F608" s="304">
        <f t="shared" ca="1" si="271"/>
        <v>0.32578786298050649</v>
      </c>
      <c r="G608" s="306">
        <f t="shared" ca="1" si="272"/>
        <v>4.0407271931559148</v>
      </c>
      <c r="H608" s="307">
        <f t="shared" ca="1" si="273"/>
        <v>-122.534622341203</v>
      </c>
      <c r="I608" s="304">
        <f t="shared" ca="1" si="274"/>
        <v>122.6012281690145</v>
      </c>
      <c r="J608" s="306">
        <f t="shared" ca="1" si="275"/>
        <v>677.64536374242232</v>
      </c>
      <c r="K608" s="307">
        <f t="shared" ca="1" si="276"/>
        <v>-9.8161972875496453</v>
      </c>
      <c r="L608" s="304">
        <f t="shared" ca="1" si="261"/>
        <v>677.71645747376385</v>
      </c>
      <c r="M608" s="306">
        <f t="shared" ca="1" si="277"/>
        <v>-1.5378320641142413</v>
      </c>
      <c r="N608" s="304">
        <f t="shared" ca="1" si="278"/>
        <v>-88.111286873637852</v>
      </c>
      <c r="P608" s="310">
        <f t="shared" ca="1" si="279"/>
        <v>23</v>
      </c>
      <c r="Q608" s="304">
        <f t="shared" ca="1" si="280"/>
        <v>0</v>
      </c>
      <c r="R608" s="306">
        <f t="shared" ca="1" si="281"/>
        <v>0</v>
      </c>
      <c r="S608" s="307">
        <f t="shared" ca="1" si="282"/>
        <v>2.0842999999999985</v>
      </c>
      <c r="T608" s="304">
        <f t="shared" ca="1" si="262"/>
        <v>20.446982999999985</v>
      </c>
      <c r="U608" s="311">
        <f t="shared" ca="1" si="263"/>
        <v>0</v>
      </c>
      <c r="V608" s="306">
        <f t="shared" ca="1" si="264"/>
        <v>1.2262030746486299</v>
      </c>
      <c r="W608" s="304">
        <f t="shared" ca="1" si="265"/>
        <v>20.352537016538204</v>
      </c>
      <c r="Y608" s="314" t="str">
        <f t="shared" ca="1" si="283"/>
        <v/>
      </c>
      <c r="Z608" s="315" t="str">
        <f t="shared" ca="1" si="284"/>
        <v/>
      </c>
      <c r="AA608" s="316" t="str">
        <f t="shared" ca="1" si="285"/>
        <v/>
      </c>
      <c r="AC608" s="310" t="e">
        <f t="shared" ca="1" si="286"/>
        <v>#N/A</v>
      </c>
      <c r="AD608" s="323" t="e">
        <f t="shared" ca="1" si="287"/>
        <v>#N/A</v>
      </c>
      <c r="AE608" s="324" t="e">
        <f t="shared" ca="1" si="266"/>
        <v>#N/A</v>
      </c>
      <c r="AG608" s="306">
        <f t="shared" ca="1" si="288"/>
        <v>3.9996064372909146E-2</v>
      </c>
      <c r="AH608" s="304">
        <f t="shared" ca="1" si="289"/>
        <v>-9.7646743509699707</v>
      </c>
    </row>
    <row r="609" spans="1:34" x14ac:dyDescent="0.25">
      <c r="A609" s="347">
        <f t="shared" ca="1" si="267"/>
        <v>1E-4</v>
      </c>
      <c r="B609" s="304">
        <f t="shared" ca="1" si="268"/>
        <v>47.101100000000407</v>
      </c>
      <c r="D609" s="306">
        <f t="shared" ca="1" si="269"/>
        <v>-0.32182741309919344</v>
      </c>
      <c r="E609" s="307">
        <f t="shared" ca="1" si="270"/>
        <v>-5.061792888416683E-2</v>
      </c>
      <c r="F609" s="304">
        <f t="shared" ca="1" si="271"/>
        <v>0.32578376040963347</v>
      </c>
      <c r="G609" s="306">
        <f t="shared" ca="1" si="272"/>
        <v>4.0406950104146047</v>
      </c>
      <c r="H609" s="307">
        <f t="shared" ca="1" si="273"/>
        <v>-122.53462740299589</v>
      </c>
      <c r="I609" s="304">
        <f t="shared" ca="1" si="274"/>
        <v>122.60123216737352</v>
      </c>
      <c r="J609" s="306">
        <f t="shared" ca="1" si="275"/>
        <v>677.64536374242232</v>
      </c>
      <c r="K609" s="307">
        <f t="shared" ca="1" si="276"/>
        <v>-9.8284507500368559</v>
      </c>
      <c r="L609" s="304">
        <f t="shared" ca="1" si="261"/>
        <v>677.71663506641607</v>
      </c>
      <c r="M609" s="306">
        <f t="shared" ca="1" si="277"/>
        <v>-1.5378323278316999</v>
      </c>
      <c r="N609" s="304">
        <f t="shared" ca="1" si="278"/>
        <v>-88.111301983535213</v>
      </c>
      <c r="P609" s="310">
        <f t="shared" ca="1" si="279"/>
        <v>23</v>
      </c>
      <c r="Q609" s="304">
        <f t="shared" ca="1" si="280"/>
        <v>0</v>
      </c>
      <c r="R609" s="306">
        <f t="shared" ca="1" si="281"/>
        <v>0</v>
      </c>
      <c r="S609" s="307">
        <f t="shared" ca="1" si="282"/>
        <v>2.0842999999999985</v>
      </c>
      <c r="T609" s="304">
        <f t="shared" ca="1" si="262"/>
        <v>20.446982999999985</v>
      </c>
      <c r="U609" s="311">
        <f t="shared" ca="1" si="263"/>
        <v>0</v>
      </c>
      <c r="V609" s="306">
        <f t="shared" ca="1" si="264"/>
        <v>1.2262045771732506</v>
      </c>
      <c r="W609" s="304">
        <f t="shared" ca="1" si="265"/>
        <v>20.352563282969047</v>
      </c>
      <c r="Y609" s="314" t="str">
        <f t="shared" ca="1" si="283"/>
        <v/>
      </c>
      <c r="Z609" s="315" t="str">
        <f t="shared" ca="1" si="284"/>
        <v/>
      </c>
      <c r="AA609" s="316" t="str">
        <f t="shared" ca="1" si="285"/>
        <v/>
      </c>
      <c r="AC609" s="310" t="e">
        <f t="shared" ca="1" si="286"/>
        <v>#N/A</v>
      </c>
      <c r="AD609" s="323" t="e">
        <f t="shared" ca="1" si="287"/>
        <v>#N/A</v>
      </c>
      <c r="AE609" s="324" t="e">
        <f t="shared" ca="1" si="266"/>
        <v>#N/A</v>
      </c>
      <c r="AG609" s="306">
        <f t="shared" ca="1" si="288"/>
        <v>3.9983547417195453E-2</v>
      </c>
      <c r="AH609" s="304">
        <f t="shared" ca="1" si="289"/>
        <v>-9.7646869531920633</v>
      </c>
    </row>
    <row r="610" spans="1:34" x14ac:dyDescent="0.25">
      <c r="A610" s="347">
        <f t="shared" ca="1" si="267"/>
        <v>1E-4</v>
      </c>
      <c r="B610" s="304">
        <f t="shared" ca="1" si="268"/>
        <v>47.101200000000411</v>
      </c>
      <c r="D610" s="306">
        <f t="shared" ca="1" si="269"/>
        <v>-0.32182525471813223</v>
      </c>
      <c r="E610" s="307">
        <f t="shared" ca="1" si="270"/>
        <v>-5.0605248819765691E-2</v>
      </c>
      <c r="F610" s="304">
        <f t="shared" ca="1" si="271"/>
        <v>0.32577965833136524</v>
      </c>
      <c r="G610" s="306">
        <f t="shared" ca="1" si="272"/>
        <v>4.0406628278891326</v>
      </c>
      <c r="H610" s="307">
        <f t="shared" ca="1" si="273"/>
        <v>-122.53463246352078</v>
      </c>
      <c r="I610" s="304">
        <f t="shared" ca="1" si="274"/>
        <v>122.60123616448085</v>
      </c>
      <c r="J610" s="306">
        <f t="shared" ca="1" si="275"/>
        <v>677.64536374242232</v>
      </c>
      <c r="K610" s="307">
        <f t="shared" ca="1" si="276"/>
        <v>-9.8407042130301825</v>
      </c>
      <c r="L610" s="304">
        <f t="shared" ca="1" si="261"/>
        <v>677.71681288057789</v>
      </c>
      <c r="M610" s="306">
        <f t="shared" ca="1" si="277"/>
        <v>-1.537832591547041</v>
      </c>
      <c r="N610" s="304">
        <f t="shared" ca="1" si="278"/>
        <v>-88.111317093311243</v>
      </c>
      <c r="P610" s="310">
        <f t="shared" ca="1" si="279"/>
        <v>23</v>
      </c>
      <c r="Q610" s="304">
        <f t="shared" ca="1" si="280"/>
        <v>0</v>
      </c>
      <c r="R610" s="306">
        <f t="shared" ca="1" si="281"/>
        <v>0</v>
      </c>
      <c r="S610" s="307">
        <f t="shared" ca="1" si="282"/>
        <v>2.0842999999999985</v>
      </c>
      <c r="T610" s="304">
        <f t="shared" ca="1" si="262"/>
        <v>20.446982999999985</v>
      </c>
      <c r="U610" s="311">
        <f t="shared" ca="1" si="263"/>
        <v>0</v>
      </c>
      <c r="V610" s="306">
        <f t="shared" ca="1" si="264"/>
        <v>1.2262060796997756</v>
      </c>
      <c r="W610" s="304">
        <f t="shared" ca="1" si="265"/>
        <v>20.352589549019214</v>
      </c>
      <c r="Y610" s="314" t="str">
        <f t="shared" ca="1" si="283"/>
        <v/>
      </c>
      <c r="Z610" s="315" t="str">
        <f t="shared" ca="1" si="284"/>
        <v/>
      </c>
      <c r="AA610" s="316" t="str">
        <f t="shared" ca="1" si="285"/>
        <v/>
      </c>
      <c r="AC610" s="310" t="e">
        <f t="shared" ca="1" si="286"/>
        <v>#N/A</v>
      </c>
      <c r="AD610" s="323" t="e">
        <f t="shared" ca="1" si="287"/>
        <v>#N/A</v>
      </c>
      <c r="AE610" s="324" t="e">
        <f t="shared" ca="1" si="266"/>
        <v>#N/A</v>
      </c>
      <c r="AG610" s="306">
        <f t="shared" ca="1" si="288"/>
        <v>3.9971030642748318E-2</v>
      </c>
      <c r="AH610" s="304">
        <f t="shared" ca="1" si="289"/>
        <v>-9.7646995552315232</v>
      </c>
    </row>
    <row r="611" spans="1:34" x14ac:dyDescent="0.25">
      <c r="A611" s="347">
        <f t="shared" ca="1" si="267"/>
        <v>1E-4</v>
      </c>
      <c r="B611" s="304">
        <f t="shared" ca="1" si="268"/>
        <v>47.101300000000414</v>
      </c>
      <c r="D611" s="306">
        <f t="shared" ca="1" si="269"/>
        <v>-0.32182309634505069</v>
      </c>
      <c r="E611" s="307">
        <f t="shared" ca="1" si="270"/>
        <v>-5.0592568939046956E-2</v>
      </c>
      <c r="F611" s="304">
        <f t="shared" ca="1" si="271"/>
        <v>0.32577555674569569</v>
      </c>
      <c r="G611" s="306">
        <f t="shared" ca="1" si="272"/>
        <v>4.0406306455794985</v>
      </c>
      <c r="H611" s="307">
        <f t="shared" ca="1" si="273"/>
        <v>-122.53463752277767</v>
      </c>
      <c r="I611" s="304">
        <f t="shared" ca="1" si="274"/>
        <v>122.6012401603365</v>
      </c>
      <c r="J611" s="306">
        <f t="shared" ca="1" si="275"/>
        <v>677.64536374242232</v>
      </c>
      <c r="K611" s="307">
        <f t="shared" ca="1" si="276"/>
        <v>-9.8529576765294973</v>
      </c>
      <c r="L611" s="304">
        <f t="shared" ca="1" si="261"/>
        <v>677.71699091624919</v>
      </c>
      <c r="M611" s="306">
        <f t="shared" ca="1" si="277"/>
        <v>-1.5378328552602645</v>
      </c>
      <c r="N611" s="304">
        <f t="shared" ca="1" si="278"/>
        <v>-88.111332202965954</v>
      </c>
      <c r="P611" s="310">
        <f t="shared" ca="1" si="279"/>
        <v>23</v>
      </c>
      <c r="Q611" s="304">
        <f t="shared" ca="1" si="280"/>
        <v>0</v>
      </c>
      <c r="R611" s="306">
        <f t="shared" ca="1" si="281"/>
        <v>0</v>
      </c>
      <c r="S611" s="307">
        <f t="shared" ca="1" si="282"/>
        <v>2.0842999999999985</v>
      </c>
      <c r="T611" s="304">
        <f t="shared" ca="1" si="262"/>
        <v>20.446982999999985</v>
      </c>
      <c r="U611" s="311">
        <f t="shared" ca="1" si="263"/>
        <v>0</v>
      </c>
      <c r="V611" s="306">
        <f t="shared" ca="1" si="264"/>
        <v>1.2262075822282041</v>
      </c>
      <c r="W611" s="304">
        <f t="shared" ca="1" si="265"/>
        <v>20.352615814688704</v>
      </c>
      <c r="Y611" s="314" t="str">
        <f t="shared" ca="1" si="283"/>
        <v/>
      </c>
      <c r="Z611" s="315" t="str">
        <f t="shared" ca="1" si="284"/>
        <v/>
      </c>
      <c r="AA611" s="316" t="str">
        <f t="shared" ca="1" si="285"/>
        <v/>
      </c>
      <c r="AC611" s="310" t="e">
        <f t="shared" ca="1" si="286"/>
        <v>#N/A</v>
      </c>
      <c r="AD611" s="323" t="e">
        <f t="shared" ca="1" si="287"/>
        <v>#N/A</v>
      </c>
      <c r="AE611" s="324" t="e">
        <f t="shared" ca="1" si="266"/>
        <v>#N/A</v>
      </c>
      <c r="AG611" s="306">
        <f t="shared" ca="1" si="288"/>
        <v>3.9958514049576621E-2</v>
      </c>
      <c r="AH611" s="304">
        <f t="shared" ca="1" si="289"/>
        <v>-9.7647121570883417</v>
      </c>
    </row>
    <row r="612" spans="1:34" x14ac:dyDescent="0.25">
      <c r="A612" s="347">
        <f t="shared" ca="1" si="267"/>
        <v>1E-4</v>
      </c>
      <c r="B612" s="304">
        <f t="shared" ca="1" si="268"/>
        <v>47.101400000000417</v>
      </c>
      <c r="D612" s="306">
        <f t="shared" ca="1" si="269"/>
        <v>-0.32182093797995137</v>
      </c>
      <c r="E612" s="307">
        <f t="shared" ca="1" si="270"/>
        <v>-5.0579889242014175E-2</v>
      </c>
      <c r="F612" s="304">
        <f t="shared" ca="1" si="271"/>
        <v>0.32577145565262483</v>
      </c>
      <c r="G612" s="306">
        <f t="shared" ca="1" si="272"/>
        <v>4.0405984634857006</v>
      </c>
      <c r="H612" s="307">
        <f t="shared" ca="1" si="273"/>
        <v>-122.5346425807666</v>
      </c>
      <c r="I612" s="304">
        <f t="shared" ca="1" si="274"/>
        <v>122.60124415494055</v>
      </c>
      <c r="J612" s="306">
        <f t="shared" ca="1" si="275"/>
        <v>677.64536374242232</v>
      </c>
      <c r="K612" s="307">
        <f t="shared" ca="1" si="276"/>
        <v>-9.8652111405346741</v>
      </c>
      <c r="L612" s="304">
        <f t="shared" ca="1" si="261"/>
        <v>677.71716917342974</v>
      </c>
      <c r="M612" s="306">
        <f t="shared" ca="1" si="277"/>
        <v>-1.5378331189713705</v>
      </c>
      <c r="N612" s="304">
        <f t="shared" ca="1" si="278"/>
        <v>-88.111347312499348</v>
      </c>
      <c r="P612" s="310">
        <f t="shared" ca="1" si="279"/>
        <v>23</v>
      </c>
      <c r="Q612" s="304">
        <f t="shared" ca="1" si="280"/>
        <v>0</v>
      </c>
      <c r="R612" s="306">
        <f t="shared" ca="1" si="281"/>
        <v>0</v>
      </c>
      <c r="S612" s="307">
        <f t="shared" ca="1" si="282"/>
        <v>2.0842999999999985</v>
      </c>
      <c r="T612" s="304">
        <f t="shared" ca="1" si="262"/>
        <v>20.446982999999985</v>
      </c>
      <c r="U612" s="311">
        <f t="shared" ca="1" si="263"/>
        <v>0</v>
      </c>
      <c r="V612" s="306">
        <f t="shared" ca="1" si="264"/>
        <v>1.2262090847585372</v>
      </c>
      <c r="W612" s="304">
        <f t="shared" ca="1" si="265"/>
        <v>20.352642079977546</v>
      </c>
      <c r="Y612" s="314" t="str">
        <f t="shared" ca="1" si="283"/>
        <v/>
      </c>
      <c r="Z612" s="315" t="str">
        <f t="shared" ca="1" si="284"/>
        <v/>
      </c>
      <c r="AA612" s="316" t="str">
        <f t="shared" ca="1" si="285"/>
        <v/>
      </c>
      <c r="AC612" s="310" t="e">
        <f t="shared" ca="1" si="286"/>
        <v>#N/A</v>
      </c>
      <c r="AD612" s="323" t="e">
        <f t="shared" ca="1" si="287"/>
        <v>#N/A</v>
      </c>
      <c r="AE612" s="324" t="e">
        <f t="shared" ca="1" si="266"/>
        <v>#N/A</v>
      </c>
      <c r="AG612" s="306">
        <f t="shared" ca="1" si="288"/>
        <v>3.9945997637680364E-2</v>
      </c>
      <c r="AH612" s="304">
        <f t="shared" ca="1" si="289"/>
        <v>-9.7647247587625188</v>
      </c>
    </row>
    <row r="613" spans="1:34" x14ac:dyDescent="0.25">
      <c r="A613" s="347">
        <f t="shared" ca="1" si="267"/>
        <v>1E-4</v>
      </c>
      <c r="B613" s="304">
        <f t="shared" ca="1" si="268"/>
        <v>47.101500000000421</v>
      </c>
      <c r="D613" s="306">
        <f t="shared" ca="1" si="269"/>
        <v>-0.32181877962283278</v>
      </c>
      <c r="E613" s="307">
        <f t="shared" ca="1" si="270"/>
        <v>-5.0567209728646034E-2</v>
      </c>
      <c r="F613" s="304">
        <f t="shared" ca="1" si="271"/>
        <v>0.32576735505214499</v>
      </c>
      <c r="G613" s="306">
        <f t="shared" ca="1" si="272"/>
        <v>4.0405662816077381</v>
      </c>
      <c r="H613" s="307">
        <f t="shared" ca="1" si="273"/>
        <v>-122.53464763748758</v>
      </c>
      <c r="I613" s="304">
        <f t="shared" ca="1" si="274"/>
        <v>122.60124814829295</v>
      </c>
      <c r="J613" s="306">
        <f t="shared" ca="1" si="275"/>
        <v>677.64536374242232</v>
      </c>
      <c r="K613" s="307">
        <f t="shared" ca="1" si="276"/>
        <v>-9.8774646050455868</v>
      </c>
      <c r="L613" s="304">
        <f t="shared" ca="1" si="261"/>
        <v>677.71734765211943</v>
      </c>
      <c r="M613" s="306">
        <f t="shared" ca="1" si="277"/>
        <v>-1.537833382680359</v>
      </c>
      <c r="N613" s="304">
        <f t="shared" ca="1" si="278"/>
        <v>-88.111362421911394</v>
      </c>
      <c r="P613" s="310">
        <f t="shared" ca="1" si="279"/>
        <v>23</v>
      </c>
      <c r="Q613" s="304">
        <f t="shared" ca="1" si="280"/>
        <v>0</v>
      </c>
      <c r="R613" s="306">
        <f t="shared" ca="1" si="281"/>
        <v>0</v>
      </c>
      <c r="S613" s="307">
        <f t="shared" ca="1" si="282"/>
        <v>2.0842999999999985</v>
      </c>
      <c r="T613" s="304">
        <f t="shared" ca="1" si="262"/>
        <v>20.446982999999985</v>
      </c>
      <c r="U613" s="311">
        <f t="shared" ca="1" si="263"/>
        <v>0</v>
      </c>
      <c r="V613" s="306">
        <f t="shared" ca="1" si="264"/>
        <v>1.2262105872907738</v>
      </c>
      <c r="W613" s="304">
        <f t="shared" ca="1" si="265"/>
        <v>20.352668344885711</v>
      </c>
      <c r="Y613" s="314" t="str">
        <f t="shared" ca="1" si="283"/>
        <v/>
      </c>
      <c r="Z613" s="315" t="str">
        <f t="shared" ca="1" si="284"/>
        <v/>
      </c>
      <c r="AA613" s="316" t="str">
        <f t="shared" ca="1" si="285"/>
        <v/>
      </c>
      <c r="AC613" s="310" t="e">
        <f t="shared" ca="1" si="286"/>
        <v>#N/A</v>
      </c>
      <c r="AD613" s="323" t="e">
        <f t="shared" ca="1" si="287"/>
        <v>#N/A</v>
      </c>
      <c r="AE613" s="324" t="e">
        <f t="shared" ca="1" si="266"/>
        <v>#N/A</v>
      </c>
      <c r="AG613" s="306">
        <f t="shared" ca="1" si="288"/>
        <v>3.9933481407041782E-2</v>
      </c>
      <c r="AH613" s="304">
        <f t="shared" ca="1" si="289"/>
        <v>-9.7647373602540704</v>
      </c>
    </row>
    <row r="614" spans="1:34" x14ac:dyDescent="0.25">
      <c r="A614" s="347">
        <f t="shared" ca="1" si="267"/>
        <v>1E-4</v>
      </c>
      <c r="B614" s="304">
        <f t="shared" ca="1" si="268"/>
        <v>47.101600000000424</v>
      </c>
      <c r="D614" s="306">
        <f t="shared" ca="1" si="269"/>
        <v>-0.32181662127369681</v>
      </c>
      <c r="E614" s="307">
        <f t="shared" ca="1" si="270"/>
        <v>-5.0554530398962072E-2</v>
      </c>
      <c r="F614" s="304">
        <f t="shared" ca="1" si="271"/>
        <v>0.32576325494425795</v>
      </c>
      <c r="G614" s="306">
        <f t="shared" ca="1" si="272"/>
        <v>4.040534099945611</v>
      </c>
      <c r="H614" s="307">
        <f t="shared" ca="1" si="273"/>
        <v>-122.53465269294063</v>
      </c>
      <c r="I614" s="304">
        <f t="shared" ca="1" si="274"/>
        <v>122.60125214039375</v>
      </c>
      <c r="J614" s="306">
        <f t="shared" ca="1" si="275"/>
        <v>677.64536374242232</v>
      </c>
      <c r="K614" s="307">
        <f t="shared" ca="1" si="276"/>
        <v>-9.8897180700621075</v>
      </c>
      <c r="L614" s="304">
        <f t="shared" ca="1" si="261"/>
        <v>677.71752635231826</v>
      </c>
      <c r="M614" s="306">
        <f t="shared" ca="1" si="277"/>
        <v>-1.5378336463872297</v>
      </c>
      <c r="N614" s="304">
        <f t="shared" ca="1" si="278"/>
        <v>-88.111377531202123</v>
      </c>
      <c r="P614" s="310">
        <f t="shared" ca="1" si="279"/>
        <v>23</v>
      </c>
      <c r="Q614" s="304">
        <f t="shared" ca="1" si="280"/>
        <v>0</v>
      </c>
      <c r="R614" s="306">
        <f t="shared" ca="1" si="281"/>
        <v>0</v>
      </c>
      <c r="S614" s="307">
        <f t="shared" ca="1" si="282"/>
        <v>2.0842999999999985</v>
      </c>
      <c r="T614" s="304">
        <f t="shared" ca="1" si="262"/>
        <v>20.446982999999985</v>
      </c>
      <c r="U614" s="311">
        <f t="shared" ca="1" si="263"/>
        <v>0</v>
      </c>
      <c r="V614" s="306">
        <f t="shared" ca="1" si="264"/>
        <v>1.2262120898249149</v>
      </c>
      <c r="W614" s="304">
        <f t="shared" ca="1" si="265"/>
        <v>20.352694609413238</v>
      </c>
      <c r="Y614" s="314" t="str">
        <f t="shared" ca="1" si="283"/>
        <v/>
      </c>
      <c r="Z614" s="315" t="str">
        <f t="shared" ca="1" si="284"/>
        <v/>
      </c>
      <c r="AA614" s="316" t="str">
        <f t="shared" ca="1" si="285"/>
        <v/>
      </c>
      <c r="AC614" s="310" t="e">
        <f t="shared" ca="1" si="286"/>
        <v>#N/A</v>
      </c>
      <c r="AD614" s="323" t="e">
        <f t="shared" ca="1" si="287"/>
        <v>#N/A</v>
      </c>
      <c r="AE614" s="324" t="e">
        <f t="shared" ca="1" si="266"/>
        <v>#N/A</v>
      </c>
      <c r="AG614" s="306">
        <f t="shared" ca="1" si="288"/>
        <v>3.9920965357675087E-2</v>
      </c>
      <c r="AH614" s="304">
        <f t="shared" ca="1" si="289"/>
        <v>-9.7647499615629823</v>
      </c>
    </row>
    <row r="615" spans="1:34" x14ac:dyDescent="0.25">
      <c r="A615" s="347">
        <f t="shared" ca="1" si="267"/>
        <v>1E-4</v>
      </c>
      <c r="B615" s="304">
        <f t="shared" ca="1" si="268"/>
        <v>47.101700000000427</v>
      </c>
      <c r="D615" s="306">
        <f t="shared" ca="1" si="269"/>
        <v>-0.32181446293254434</v>
      </c>
      <c r="E615" s="307">
        <f t="shared" ca="1" si="270"/>
        <v>-5.054185125293742E-2</v>
      </c>
      <c r="F615" s="304">
        <f t="shared" ca="1" si="271"/>
        <v>0.32575915532895777</v>
      </c>
      <c r="G615" s="306">
        <f t="shared" ca="1" si="272"/>
        <v>4.0405019184993174</v>
      </c>
      <c r="H615" s="307">
        <f t="shared" ca="1" si="273"/>
        <v>-122.53465774712575</v>
      </c>
      <c r="I615" s="304">
        <f t="shared" ca="1" si="274"/>
        <v>122.60125613124296</v>
      </c>
      <c r="J615" s="306">
        <f t="shared" ca="1" si="275"/>
        <v>677.64536374242232</v>
      </c>
      <c r="K615" s="307">
        <f t="shared" ca="1" si="276"/>
        <v>-9.90197153558411</v>
      </c>
      <c r="L615" s="304">
        <f t="shared" ca="1" si="261"/>
        <v>677.71770527402589</v>
      </c>
      <c r="M615" s="306">
        <f t="shared" ca="1" si="277"/>
        <v>-1.5378339100919831</v>
      </c>
      <c r="N615" s="304">
        <f t="shared" ca="1" si="278"/>
        <v>-88.111392640371534</v>
      </c>
      <c r="P615" s="310">
        <f t="shared" ca="1" si="279"/>
        <v>23</v>
      </c>
      <c r="Q615" s="304">
        <f t="shared" ca="1" si="280"/>
        <v>0</v>
      </c>
      <c r="R615" s="306">
        <f t="shared" ca="1" si="281"/>
        <v>0</v>
      </c>
      <c r="S615" s="307">
        <f t="shared" ca="1" si="282"/>
        <v>2.0842999999999985</v>
      </c>
      <c r="T615" s="304">
        <f t="shared" ca="1" si="262"/>
        <v>20.446982999999985</v>
      </c>
      <c r="U615" s="311">
        <f t="shared" ca="1" si="263"/>
        <v>0</v>
      </c>
      <c r="V615" s="306">
        <f t="shared" ca="1" si="264"/>
        <v>1.2262135923609596</v>
      </c>
      <c r="W615" s="304">
        <f t="shared" ca="1" si="265"/>
        <v>20.352720873560099</v>
      </c>
      <c r="Y615" s="314" t="str">
        <f t="shared" ca="1" si="283"/>
        <v/>
      </c>
      <c r="Z615" s="315" t="str">
        <f t="shared" ca="1" si="284"/>
        <v/>
      </c>
      <c r="AA615" s="316" t="str">
        <f t="shared" ca="1" si="285"/>
        <v/>
      </c>
      <c r="AC615" s="310" t="e">
        <f t="shared" ca="1" si="286"/>
        <v>#N/A</v>
      </c>
      <c r="AD615" s="323" t="e">
        <f t="shared" ca="1" si="287"/>
        <v>#N/A</v>
      </c>
      <c r="AE615" s="324" t="e">
        <f t="shared" ca="1" si="266"/>
        <v>#N/A</v>
      </c>
      <c r="AG615" s="306">
        <f t="shared" ca="1" si="288"/>
        <v>3.9908449489566067E-2</v>
      </c>
      <c r="AH615" s="304">
        <f t="shared" ca="1" si="289"/>
        <v>-9.764762562689274</v>
      </c>
    </row>
    <row r="616" spans="1:34" x14ac:dyDescent="0.25">
      <c r="A616" s="347">
        <f t="shared" ca="1" si="267"/>
        <v>1E-4</v>
      </c>
      <c r="B616" s="304">
        <f t="shared" ca="1" si="268"/>
        <v>47.101800000000431</v>
      </c>
      <c r="D616" s="306">
        <f t="shared" ca="1" si="269"/>
        <v>-0.32181230459937304</v>
      </c>
      <c r="E616" s="307">
        <f t="shared" ca="1" si="270"/>
        <v>-5.0529172290591617E-2</v>
      </c>
      <c r="F616" s="304">
        <f t="shared" ca="1" si="271"/>
        <v>0.32575505620624212</v>
      </c>
      <c r="G616" s="306">
        <f t="shared" ca="1" si="272"/>
        <v>4.0404697372688574</v>
      </c>
      <c r="H616" s="307">
        <f t="shared" ca="1" si="273"/>
        <v>-122.53466280004298</v>
      </c>
      <c r="I616" s="304">
        <f t="shared" ca="1" si="274"/>
        <v>122.60126012084062</v>
      </c>
      <c r="J616" s="306">
        <f t="shared" ca="1" si="275"/>
        <v>677.64536374242232</v>
      </c>
      <c r="K616" s="307">
        <f t="shared" ca="1" si="276"/>
        <v>-9.9142250016114684</v>
      </c>
      <c r="L616" s="304">
        <f t="shared" ca="1" si="261"/>
        <v>677.7178844172422</v>
      </c>
      <c r="M616" s="306">
        <f t="shared" ca="1" si="277"/>
        <v>-1.5378341737946191</v>
      </c>
      <c r="N616" s="304">
        <f t="shared" ca="1" si="278"/>
        <v>-88.111407749419612</v>
      </c>
      <c r="P616" s="310">
        <f t="shared" ca="1" si="279"/>
        <v>23</v>
      </c>
      <c r="Q616" s="304">
        <f t="shared" ca="1" si="280"/>
        <v>0</v>
      </c>
      <c r="R616" s="306">
        <f t="shared" ca="1" si="281"/>
        <v>0</v>
      </c>
      <c r="S616" s="307">
        <f t="shared" ca="1" si="282"/>
        <v>2.0842999999999985</v>
      </c>
      <c r="T616" s="304">
        <f t="shared" ca="1" si="262"/>
        <v>20.446982999999985</v>
      </c>
      <c r="U616" s="311">
        <f t="shared" ca="1" si="263"/>
        <v>0</v>
      </c>
      <c r="V616" s="306">
        <f t="shared" ca="1" si="264"/>
        <v>1.2262150948989088</v>
      </c>
      <c r="W616" s="304">
        <f t="shared" ca="1" si="265"/>
        <v>20.352747137326325</v>
      </c>
      <c r="Y616" s="314" t="str">
        <f t="shared" ca="1" si="283"/>
        <v/>
      </c>
      <c r="Z616" s="315" t="str">
        <f t="shared" ca="1" si="284"/>
        <v/>
      </c>
      <c r="AA616" s="316" t="str">
        <f t="shared" ca="1" si="285"/>
        <v/>
      </c>
      <c r="AC616" s="310" t="e">
        <f t="shared" ca="1" si="286"/>
        <v>#N/A</v>
      </c>
      <c r="AD616" s="323" t="e">
        <f t="shared" ca="1" si="287"/>
        <v>#N/A</v>
      </c>
      <c r="AE616" s="324" t="e">
        <f t="shared" ca="1" si="266"/>
        <v>#N/A</v>
      </c>
      <c r="AG616" s="306">
        <f t="shared" ca="1" si="288"/>
        <v>3.9895933802723604E-2</v>
      </c>
      <c r="AH616" s="304">
        <f t="shared" ca="1" si="289"/>
        <v>-9.7647751636329296</v>
      </c>
    </row>
    <row r="617" spans="1:34" x14ac:dyDescent="0.25">
      <c r="A617" s="347">
        <f t="shared" ca="1" si="267"/>
        <v>1E-4</v>
      </c>
      <c r="B617" s="304">
        <f t="shared" ca="1" si="268"/>
        <v>47.101900000000434</v>
      </c>
      <c r="D617" s="306">
        <f t="shared" ca="1" si="269"/>
        <v>-0.32181014627418347</v>
      </c>
      <c r="E617" s="307">
        <f t="shared" ca="1" si="270"/>
        <v>-5.0516493511910454E-2</v>
      </c>
      <c r="F617" s="304">
        <f t="shared" ca="1" si="271"/>
        <v>0.32575095757610639</v>
      </c>
      <c r="G617" s="306">
        <f t="shared" ca="1" si="272"/>
        <v>4.0404375562542301</v>
      </c>
      <c r="H617" s="307">
        <f t="shared" ca="1" si="273"/>
        <v>-122.53466785169233</v>
      </c>
      <c r="I617" s="304">
        <f t="shared" ca="1" si="274"/>
        <v>122.6012641091867</v>
      </c>
      <c r="J617" s="306">
        <f t="shared" ca="1" si="275"/>
        <v>677.64536374242232</v>
      </c>
      <c r="K617" s="307">
        <f t="shared" ca="1" si="276"/>
        <v>-9.9264784681440545</v>
      </c>
      <c r="L617" s="304">
        <f t="shared" ca="1" si="261"/>
        <v>677.71806378196709</v>
      </c>
      <c r="M617" s="306">
        <f t="shared" ca="1" si="277"/>
        <v>-1.5378344374951374</v>
      </c>
      <c r="N617" s="304">
        <f t="shared" ca="1" si="278"/>
        <v>-88.111422858346373</v>
      </c>
      <c r="P617" s="310">
        <f t="shared" ca="1" si="279"/>
        <v>23</v>
      </c>
      <c r="Q617" s="304">
        <f t="shared" ca="1" si="280"/>
        <v>0</v>
      </c>
      <c r="R617" s="306">
        <f t="shared" ca="1" si="281"/>
        <v>0</v>
      </c>
      <c r="S617" s="307">
        <f t="shared" ca="1" si="282"/>
        <v>2.0842999999999985</v>
      </c>
      <c r="T617" s="304">
        <f t="shared" ca="1" si="262"/>
        <v>20.446982999999985</v>
      </c>
      <c r="U617" s="311">
        <f t="shared" ca="1" si="263"/>
        <v>0</v>
      </c>
      <c r="V617" s="306">
        <f t="shared" ca="1" si="264"/>
        <v>1.2262165974387615</v>
      </c>
      <c r="W617" s="304">
        <f t="shared" ca="1" si="265"/>
        <v>20.352773400711897</v>
      </c>
      <c r="Y617" s="314" t="str">
        <f t="shared" ca="1" si="283"/>
        <v/>
      </c>
      <c r="Z617" s="315" t="str">
        <f t="shared" ca="1" si="284"/>
        <v/>
      </c>
      <c r="AA617" s="316" t="str">
        <f t="shared" ca="1" si="285"/>
        <v/>
      </c>
      <c r="AC617" s="310" t="e">
        <f t="shared" ca="1" si="286"/>
        <v>#N/A</v>
      </c>
      <c r="AD617" s="323" t="e">
        <f t="shared" ca="1" si="287"/>
        <v>#N/A</v>
      </c>
      <c r="AE617" s="324" t="e">
        <f t="shared" ca="1" si="266"/>
        <v>#N/A</v>
      </c>
      <c r="AG617" s="306">
        <f t="shared" ca="1" si="288"/>
        <v>3.9883418297135265E-2</v>
      </c>
      <c r="AH617" s="304">
        <f t="shared" ca="1" si="289"/>
        <v>-9.7647877643939651</v>
      </c>
    </row>
    <row r="618" spans="1:34" x14ac:dyDescent="0.25">
      <c r="A618" s="347">
        <f t="shared" ca="1" si="267"/>
        <v>1E-4</v>
      </c>
      <c r="B618" s="304">
        <f t="shared" ca="1" si="268"/>
        <v>47.102000000000437</v>
      </c>
      <c r="D618" s="306">
        <f t="shared" ca="1" si="269"/>
        <v>-0.32180798795697774</v>
      </c>
      <c r="E618" s="307">
        <f t="shared" ca="1" si="270"/>
        <v>-5.0503814916899259E-2</v>
      </c>
      <c r="F618" s="304">
        <f t="shared" ca="1" si="271"/>
        <v>0.32574685943855047</v>
      </c>
      <c r="G618" s="306">
        <f t="shared" ca="1" si="272"/>
        <v>4.0404053754554345</v>
      </c>
      <c r="H618" s="307">
        <f t="shared" ca="1" si="273"/>
        <v>-122.53467290207382</v>
      </c>
      <c r="I618" s="304">
        <f t="shared" ca="1" si="274"/>
        <v>122.60126809628126</v>
      </c>
      <c r="J618" s="306">
        <f t="shared" ca="1" si="275"/>
        <v>677.64536374242232</v>
      </c>
      <c r="K618" s="307">
        <f t="shared" ca="1" si="276"/>
        <v>-9.9387319351817425</v>
      </c>
      <c r="L618" s="304">
        <f t="shared" ca="1" si="261"/>
        <v>677.71824336820032</v>
      </c>
      <c r="M618" s="306">
        <f t="shared" ca="1" si="277"/>
        <v>-1.5378347011935383</v>
      </c>
      <c r="N618" s="304">
        <f t="shared" ca="1" si="278"/>
        <v>-88.111437967151801</v>
      </c>
      <c r="P618" s="310">
        <f t="shared" ca="1" si="279"/>
        <v>23</v>
      </c>
      <c r="Q618" s="304">
        <f t="shared" ca="1" si="280"/>
        <v>0</v>
      </c>
      <c r="R618" s="306">
        <f t="shared" ca="1" si="281"/>
        <v>0</v>
      </c>
      <c r="S618" s="307">
        <f t="shared" ca="1" si="282"/>
        <v>2.0842999999999985</v>
      </c>
      <c r="T618" s="304">
        <f t="shared" ca="1" si="262"/>
        <v>20.446982999999985</v>
      </c>
      <c r="U618" s="311">
        <f t="shared" ca="1" si="263"/>
        <v>0</v>
      </c>
      <c r="V618" s="306">
        <f t="shared" ca="1" si="264"/>
        <v>1.2262180999805186</v>
      </c>
      <c r="W618" s="304">
        <f t="shared" ca="1" si="265"/>
        <v>20.35279966371683</v>
      </c>
      <c r="Y618" s="314" t="str">
        <f t="shared" ca="1" si="283"/>
        <v/>
      </c>
      <c r="Z618" s="315" t="str">
        <f t="shared" ca="1" si="284"/>
        <v/>
      </c>
      <c r="AA618" s="316" t="str">
        <f t="shared" ca="1" si="285"/>
        <v/>
      </c>
      <c r="AC618" s="310" t="e">
        <f t="shared" ca="1" si="286"/>
        <v>#N/A</v>
      </c>
      <c r="AD618" s="323" t="e">
        <f t="shared" ca="1" si="287"/>
        <v>#N/A</v>
      </c>
      <c r="AE618" s="324" t="e">
        <f t="shared" ca="1" si="266"/>
        <v>#N/A</v>
      </c>
      <c r="AG618" s="306">
        <f t="shared" ca="1" si="288"/>
        <v>3.9870902972811706E-2</v>
      </c>
      <c r="AH618" s="304">
        <f t="shared" ca="1" si="289"/>
        <v>-9.7648003649723698</v>
      </c>
    </row>
    <row r="619" spans="1:34" x14ac:dyDescent="0.25">
      <c r="A619" s="347">
        <f t="shared" ca="1" si="267"/>
        <v>1E-4</v>
      </c>
      <c r="B619" s="304">
        <f t="shared" ca="1" si="268"/>
        <v>47.102100000000441</v>
      </c>
      <c r="D619" s="306">
        <f t="shared" ca="1" si="269"/>
        <v>-0.32180582964775428</v>
      </c>
      <c r="E619" s="307">
        <f t="shared" ca="1" si="270"/>
        <v>-5.0491136505550926E-2</v>
      </c>
      <c r="F619" s="304">
        <f t="shared" ca="1" si="271"/>
        <v>0.32574276179356865</v>
      </c>
      <c r="G619" s="306">
        <f t="shared" ca="1" si="272"/>
        <v>4.0403731948724699</v>
      </c>
      <c r="H619" s="307">
        <f t="shared" ca="1" si="273"/>
        <v>-122.53467795118748</v>
      </c>
      <c r="I619" s="304">
        <f t="shared" ca="1" si="274"/>
        <v>122.60127208212431</v>
      </c>
      <c r="J619" s="306">
        <f t="shared" ca="1" si="275"/>
        <v>677.64536374242232</v>
      </c>
      <c r="K619" s="307">
        <f t="shared" ca="1" si="276"/>
        <v>-9.950985402724406</v>
      </c>
      <c r="L619" s="304">
        <f t="shared" ca="1" si="261"/>
        <v>677.71842317594189</v>
      </c>
      <c r="M619" s="306">
        <f t="shared" ca="1" si="277"/>
        <v>-1.537834964889822</v>
      </c>
      <c r="N619" s="304">
        <f t="shared" ca="1" si="278"/>
        <v>-88.111453075835939</v>
      </c>
      <c r="P619" s="310">
        <f t="shared" ca="1" si="279"/>
        <v>23</v>
      </c>
      <c r="Q619" s="304">
        <f t="shared" ca="1" si="280"/>
        <v>0</v>
      </c>
      <c r="R619" s="306">
        <f t="shared" ca="1" si="281"/>
        <v>0</v>
      </c>
      <c r="S619" s="307">
        <f t="shared" ca="1" si="282"/>
        <v>2.0842999999999985</v>
      </c>
      <c r="T619" s="304">
        <f t="shared" ca="1" si="262"/>
        <v>20.446982999999985</v>
      </c>
      <c r="U619" s="311">
        <f t="shared" ca="1" si="263"/>
        <v>0</v>
      </c>
      <c r="V619" s="306">
        <f t="shared" ca="1" si="264"/>
        <v>1.2262196025241796</v>
      </c>
      <c r="W619" s="304">
        <f t="shared" ca="1" si="265"/>
        <v>20.35282592634114</v>
      </c>
      <c r="Y619" s="314" t="str">
        <f t="shared" ca="1" si="283"/>
        <v/>
      </c>
      <c r="Z619" s="315" t="str">
        <f t="shared" ca="1" si="284"/>
        <v/>
      </c>
      <c r="AA619" s="316" t="str">
        <f t="shared" ca="1" si="285"/>
        <v/>
      </c>
      <c r="AC619" s="310" t="e">
        <f t="shared" ca="1" si="286"/>
        <v>#N/A</v>
      </c>
      <c r="AD619" s="323" t="e">
        <f t="shared" ca="1" si="287"/>
        <v>#N/A</v>
      </c>
      <c r="AE619" s="324" t="e">
        <f t="shared" ca="1" si="266"/>
        <v>#N/A</v>
      </c>
      <c r="AG619" s="306">
        <f t="shared" ca="1" si="288"/>
        <v>3.9858387829744046E-2</v>
      </c>
      <c r="AH619" s="304">
        <f t="shared" ca="1" si="289"/>
        <v>-9.7648129653681544</v>
      </c>
    </row>
    <row r="620" spans="1:34" x14ac:dyDescent="0.25">
      <c r="A620" s="347">
        <f t="shared" ca="1" si="267"/>
        <v>1E-4</v>
      </c>
      <c r="B620" s="304">
        <f t="shared" ca="1" si="268"/>
        <v>47.102200000000444</v>
      </c>
      <c r="D620" s="306">
        <f t="shared" ca="1" si="269"/>
        <v>-0.32180367134651133</v>
      </c>
      <c r="E620" s="307">
        <f t="shared" ca="1" si="270"/>
        <v>-5.0478458277858351E-2</v>
      </c>
      <c r="F620" s="304">
        <f t="shared" ca="1" si="271"/>
        <v>0.3257386646411552</v>
      </c>
      <c r="G620" s="306">
        <f t="shared" ca="1" si="272"/>
        <v>4.0403410145053353</v>
      </c>
      <c r="H620" s="307">
        <f t="shared" ca="1" si="273"/>
        <v>-122.53468299903331</v>
      </c>
      <c r="I620" s="304">
        <f t="shared" ca="1" si="274"/>
        <v>122.60127606671587</v>
      </c>
      <c r="J620" s="306">
        <f t="shared" ca="1" si="275"/>
        <v>677.64536374242232</v>
      </c>
      <c r="K620" s="307">
        <f t="shared" ca="1" si="276"/>
        <v>-9.9632388707719173</v>
      </c>
      <c r="L620" s="304">
        <f t="shared" ca="1" si="261"/>
        <v>677.71860320519158</v>
      </c>
      <c r="M620" s="306">
        <f t="shared" ca="1" si="277"/>
        <v>-1.537835228583988</v>
      </c>
      <c r="N620" s="304">
        <f t="shared" ca="1" si="278"/>
        <v>-88.111468184398731</v>
      </c>
      <c r="P620" s="310">
        <f t="shared" ca="1" si="279"/>
        <v>23</v>
      </c>
      <c r="Q620" s="304">
        <f t="shared" ca="1" si="280"/>
        <v>0</v>
      </c>
      <c r="R620" s="306">
        <f t="shared" ca="1" si="281"/>
        <v>0</v>
      </c>
      <c r="S620" s="307">
        <f t="shared" ca="1" si="282"/>
        <v>2.0842999999999985</v>
      </c>
      <c r="T620" s="304">
        <f t="shared" ca="1" si="262"/>
        <v>20.446982999999985</v>
      </c>
      <c r="U620" s="311">
        <f t="shared" ca="1" si="263"/>
        <v>0</v>
      </c>
      <c r="V620" s="306">
        <f t="shared" ca="1" si="264"/>
        <v>1.2262211050697445</v>
      </c>
      <c r="W620" s="304">
        <f t="shared" ca="1" si="265"/>
        <v>20.352852188584819</v>
      </c>
      <c r="Y620" s="314" t="str">
        <f t="shared" ca="1" si="283"/>
        <v/>
      </c>
      <c r="Z620" s="315" t="str">
        <f t="shared" ca="1" si="284"/>
        <v/>
      </c>
      <c r="AA620" s="316" t="str">
        <f t="shared" ca="1" si="285"/>
        <v/>
      </c>
      <c r="AC620" s="310" t="e">
        <f t="shared" ca="1" si="286"/>
        <v>#N/A</v>
      </c>
      <c r="AD620" s="323" t="e">
        <f t="shared" ca="1" si="287"/>
        <v>#N/A</v>
      </c>
      <c r="AE620" s="324" t="e">
        <f t="shared" ca="1" si="266"/>
        <v>#N/A</v>
      </c>
      <c r="AG620" s="306">
        <f t="shared" ca="1" si="288"/>
        <v>3.9845872867921628E-2</v>
      </c>
      <c r="AH620" s="304">
        <f t="shared" ca="1" si="289"/>
        <v>-9.7648255655813241</v>
      </c>
    </row>
    <row r="621" spans="1:34" x14ac:dyDescent="0.25">
      <c r="A621" s="347">
        <f t="shared" ca="1" si="267"/>
        <v>1E-4</v>
      </c>
      <c r="B621" s="304">
        <f t="shared" ca="1" si="268"/>
        <v>47.102300000000447</v>
      </c>
      <c r="D621" s="306">
        <f t="shared" ca="1" si="269"/>
        <v>-0.32180151305325339</v>
      </c>
      <c r="E621" s="307">
        <f t="shared" ca="1" si="270"/>
        <v>-5.0465780233825086E-2</v>
      </c>
      <c r="F621" s="304">
        <f t="shared" ca="1" si="271"/>
        <v>0.32573456798131195</v>
      </c>
      <c r="G621" s="306">
        <f t="shared" ca="1" si="272"/>
        <v>4.0403088343540299</v>
      </c>
      <c r="H621" s="307">
        <f t="shared" ca="1" si="273"/>
        <v>-122.53468804561133</v>
      </c>
      <c r="I621" s="304">
        <f t="shared" ca="1" si="274"/>
        <v>122.60128005005593</v>
      </c>
      <c r="J621" s="306">
        <f t="shared" ca="1" si="275"/>
        <v>677.64536374242232</v>
      </c>
      <c r="K621" s="307">
        <f t="shared" ca="1" si="276"/>
        <v>-9.9754923393241501</v>
      </c>
      <c r="L621" s="304">
        <f t="shared" ca="1" si="261"/>
        <v>677.71878345594916</v>
      </c>
      <c r="M621" s="306">
        <f t="shared" ca="1" si="277"/>
        <v>-1.5378354922760369</v>
      </c>
      <c r="N621" s="304">
        <f t="shared" ca="1" si="278"/>
        <v>-88.111483292840219</v>
      </c>
      <c r="P621" s="310">
        <f t="shared" ca="1" si="279"/>
        <v>23</v>
      </c>
      <c r="Q621" s="304">
        <f t="shared" ca="1" si="280"/>
        <v>0</v>
      </c>
      <c r="R621" s="306">
        <f t="shared" ca="1" si="281"/>
        <v>0</v>
      </c>
      <c r="S621" s="307">
        <f t="shared" ca="1" si="282"/>
        <v>2.0842999999999985</v>
      </c>
      <c r="T621" s="304">
        <f t="shared" ca="1" si="262"/>
        <v>20.446982999999985</v>
      </c>
      <c r="U621" s="311">
        <f t="shared" ca="1" si="263"/>
        <v>0</v>
      </c>
      <c r="V621" s="306">
        <f t="shared" ca="1" si="264"/>
        <v>1.2262226076172131</v>
      </c>
      <c r="W621" s="304">
        <f t="shared" ca="1" si="265"/>
        <v>20.352878450447864</v>
      </c>
      <c r="Y621" s="314" t="str">
        <f t="shared" ca="1" si="283"/>
        <v/>
      </c>
      <c r="Z621" s="315" t="str">
        <f t="shared" ca="1" si="284"/>
        <v/>
      </c>
      <c r="AA621" s="316" t="str">
        <f t="shared" ca="1" si="285"/>
        <v/>
      </c>
      <c r="AC621" s="310" t="e">
        <f t="shared" ca="1" si="286"/>
        <v>#N/A</v>
      </c>
      <c r="AD621" s="323" t="e">
        <f t="shared" ca="1" si="287"/>
        <v>#N/A</v>
      </c>
      <c r="AE621" s="324" t="e">
        <f t="shared" ca="1" si="266"/>
        <v>#N/A</v>
      </c>
      <c r="AG621" s="306">
        <f t="shared" ca="1" si="288"/>
        <v>3.9833358087349779E-2</v>
      </c>
      <c r="AH621" s="304">
        <f t="shared" ca="1" si="289"/>
        <v>-9.7648381656118772</v>
      </c>
    </row>
    <row r="622" spans="1:34" x14ac:dyDescent="0.25">
      <c r="A622" s="347">
        <f t="shared" ca="1" si="267"/>
        <v>1E-4</v>
      </c>
      <c r="B622" s="304">
        <f t="shared" ca="1" si="268"/>
        <v>47.102400000000451</v>
      </c>
      <c r="D622" s="306">
        <f t="shared" ca="1" si="269"/>
        <v>-0.32179935476797616</v>
      </c>
      <c r="E622" s="307">
        <f t="shared" ca="1" si="270"/>
        <v>-5.0453102373454684E-2</v>
      </c>
      <c r="F622" s="304">
        <f t="shared" ca="1" si="271"/>
        <v>0.32573047181403231</v>
      </c>
      <c r="G622" s="306">
        <f t="shared" ca="1" si="272"/>
        <v>4.0402766544185527</v>
      </c>
      <c r="H622" s="307">
        <f t="shared" ca="1" si="273"/>
        <v>-122.53469309092156</v>
      </c>
      <c r="I622" s="304">
        <f t="shared" ca="1" si="274"/>
        <v>122.60128403214455</v>
      </c>
      <c r="J622" s="306">
        <f t="shared" ca="1" si="275"/>
        <v>677.64536374242232</v>
      </c>
      <c r="K622" s="307">
        <f t="shared" ca="1" si="276"/>
        <v>-9.9877458083809767</v>
      </c>
      <c r="L622" s="304">
        <f t="shared" ca="1" si="261"/>
        <v>677.71896392821463</v>
      </c>
      <c r="M622" s="306">
        <f t="shared" ca="1" si="277"/>
        <v>-1.5378357559659683</v>
      </c>
      <c r="N622" s="304">
        <f t="shared" ca="1" si="278"/>
        <v>-88.111498401160389</v>
      </c>
      <c r="P622" s="310">
        <f t="shared" ca="1" si="279"/>
        <v>23</v>
      </c>
      <c r="Q622" s="304">
        <f t="shared" ca="1" si="280"/>
        <v>0</v>
      </c>
      <c r="R622" s="306">
        <f t="shared" ca="1" si="281"/>
        <v>0</v>
      </c>
      <c r="S622" s="307">
        <f t="shared" ca="1" si="282"/>
        <v>2.0842999999999985</v>
      </c>
      <c r="T622" s="304">
        <f t="shared" ca="1" si="262"/>
        <v>20.446982999999985</v>
      </c>
      <c r="U622" s="311">
        <f t="shared" ca="1" si="263"/>
        <v>0</v>
      </c>
      <c r="V622" s="306">
        <f t="shared" ca="1" si="264"/>
        <v>1.2262241101665858</v>
      </c>
      <c r="W622" s="304">
        <f t="shared" ca="1" si="265"/>
        <v>20.352904711930293</v>
      </c>
      <c r="Y622" s="314" t="str">
        <f t="shared" ca="1" si="283"/>
        <v/>
      </c>
      <c r="Z622" s="315" t="str">
        <f t="shared" ca="1" si="284"/>
        <v/>
      </c>
      <c r="AA622" s="316" t="str">
        <f t="shared" ca="1" si="285"/>
        <v/>
      </c>
      <c r="AC622" s="310" t="e">
        <f t="shared" ca="1" si="286"/>
        <v>#N/A</v>
      </c>
      <c r="AD622" s="323" t="e">
        <f t="shared" ca="1" si="287"/>
        <v>#N/A</v>
      </c>
      <c r="AE622" s="324" t="e">
        <f t="shared" ca="1" si="266"/>
        <v>#N/A</v>
      </c>
      <c r="AG622" s="306">
        <f t="shared" ca="1" si="288"/>
        <v>3.9820843488035607E-2</v>
      </c>
      <c r="AH622" s="304">
        <f t="shared" ca="1" si="289"/>
        <v>-9.7648507654598085</v>
      </c>
    </row>
    <row r="623" spans="1:34" x14ac:dyDescent="0.25">
      <c r="A623" s="347">
        <f t="shared" ca="1" si="267"/>
        <v>1E-4</v>
      </c>
      <c r="B623" s="304">
        <f t="shared" ca="1" si="268"/>
        <v>47.102500000000454</v>
      </c>
      <c r="D623" s="306">
        <f t="shared" ca="1" si="269"/>
        <v>-0.32179719649068239</v>
      </c>
      <c r="E623" s="307">
        <f t="shared" ca="1" si="270"/>
        <v>-5.0440424696736486E-2</v>
      </c>
      <c r="F623" s="304">
        <f t="shared" ca="1" si="271"/>
        <v>0.32572637613931421</v>
      </c>
      <c r="G623" s="306">
        <f t="shared" ca="1" si="272"/>
        <v>4.0402444746989037</v>
      </c>
      <c r="H623" s="307">
        <f t="shared" ca="1" si="273"/>
        <v>-122.53469813496403</v>
      </c>
      <c r="I623" s="304">
        <f t="shared" ca="1" si="274"/>
        <v>122.60128801298171</v>
      </c>
      <c r="J623" s="306">
        <f t="shared" ca="1" si="275"/>
        <v>677.64536374242232</v>
      </c>
      <c r="K623" s="307">
        <f t="shared" ca="1" si="276"/>
        <v>-9.9999992779422708</v>
      </c>
      <c r="L623" s="304">
        <f t="shared" ca="1" si="261"/>
        <v>677.71914462198777</v>
      </c>
      <c r="M623" s="306">
        <f t="shared" ca="1" si="277"/>
        <v>-1.5378360196537824</v>
      </c>
      <c r="N623" s="304">
        <f t="shared" ca="1" si="278"/>
        <v>-88.111513509359241</v>
      </c>
      <c r="P623" s="310">
        <f t="shared" ca="1" si="279"/>
        <v>23</v>
      </c>
      <c r="Q623" s="304">
        <f t="shared" ca="1" si="280"/>
        <v>0</v>
      </c>
      <c r="R623" s="306">
        <f t="shared" ca="1" si="281"/>
        <v>0</v>
      </c>
      <c r="S623" s="307">
        <f t="shared" ca="1" si="282"/>
        <v>2.0842999999999985</v>
      </c>
      <c r="T623" s="304">
        <f t="shared" ca="1" si="262"/>
        <v>20.446982999999985</v>
      </c>
      <c r="U623" s="311">
        <f t="shared" ca="1" si="263"/>
        <v>0</v>
      </c>
      <c r="V623" s="306">
        <f t="shared" ca="1" si="264"/>
        <v>1.2262256127178626</v>
      </c>
      <c r="W623" s="304">
        <f t="shared" ca="1" si="265"/>
        <v>20.352930973032102</v>
      </c>
      <c r="Y623" s="314" t="str">
        <f t="shared" ca="1" si="283"/>
        <v/>
      </c>
      <c r="Z623" s="315" t="str">
        <f t="shared" ca="1" si="284"/>
        <v/>
      </c>
      <c r="AA623" s="316" t="str">
        <f t="shared" ca="1" si="285"/>
        <v/>
      </c>
      <c r="AC623" s="310" t="e">
        <f t="shared" ca="1" si="286"/>
        <v>#N/A</v>
      </c>
      <c r="AD623" s="323" t="e">
        <f t="shared" ca="1" si="287"/>
        <v>#N/A</v>
      </c>
      <c r="AE623" s="324" t="e">
        <f t="shared" ca="1" si="266"/>
        <v>#N/A</v>
      </c>
      <c r="AG623" s="306">
        <f t="shared" ca="1" si="288"/>
        <v>3.9808329069963122E-2</v>
      </c>
      <c r="AH623" s="304">
        <f t="shared" ca="1" si="289"/>
        <v>-9.7648633651251302</v>
      </c>
    </row>
    <row r="624" spans="1:34" x14ac:dyDescent="0.25">
      <c r="A624" s="347">
        <f t="shared" ca="1" si="267"/>
        <v>1E-4</v>
      </c>
      <c r="B624" s="304">
        <f t="shared" ca="1" si="268"/>
        <v>47.102600000000457</v>
      </c>
      <c r="D624" s="306">
        <f t="shared" ca="1" si="269"/>
        <v>-0.32179503822137223</v>
      </c>
      <c r="E624" s="307">
        <f t="shared" ca="1" si="270"/>
        <v>-5.0427747203674045E-2</v>
      </c>
      <c r="F624" s="304">
        <f t="shared" ca="1" si="271"/>
        <v>0.32572228095715539</v>
      </c>
      <c r="G624" s="306">
        <f t="shared" ca="1" si="272"/>
        <v>4.0402122951950812</v>
      </c>
      <c r="H624" s="307">
        <f t="shared" ca="1" si="273"/>
        <v>-122.53470317773875</v>
      </c>
      <c r="I624" s="304">
        <f t="shared" ca="1" si="274"/>
        <v>122.60129199256745</v>
      </c>
      <c r="J624" s="306">
        <f t="shared" ca="1" si="275"/>
        <v>677.64536374242232</v>
      </c>
      <c r="K624" s="307">
        <f t="shared" ca="1" si="276"/>
        <v>-10.012252748007906</v>
      </c>
      <c r="L624" s="304">
        <f t="shared" ca="1" si="261"/>
        <v>677.71932553726833</v>
      </c>
      <c r="M624" s="306">
        <f t="shared" ca="1" si="277"/>
        <v>-1.537836283339479</v>
      </c>
      <c r="N624" s="304">
        <f t="shared" ca="1" si="278"/>
        <v>-88.111528617436775</v>
      </c>
      <c r="P624" s="310">
        <f t="shared" ca="1" si="279"/>
        <v>23</v>
      </c>
      <c r="Q624" s="304">
        <f t="shared" ca="1" si="280"/>
        <v>0</v>
      </c>
      <c r="R624" s="306">
        <f t="shared" ca="1" si="281"/>
        <v>0</v>
      </c>
      <c r="S624" s="307">
        <f t="shared" ca="1" si="282"/>
        <v>2.0842999999999985</v>
      </c>
      <c r="T624" s="304">
        <f t="shared" ca="1" si="262"/>
        <v>20.446982999999985</v>
      </c>
      <c r="U624" s="311">
        <f t="shared" ca="1" si="263"/>
        <v>0</v>
      </c>
      <c r="V624" s="306">
        <f t="shared" ca="1" si="264"/>
        <v>1.2262271152710433</v>
      </c>
      <c r="W624" s="304">
        <f t="shared" ca="1" si="265"/>
        <v>20.352957233753305</v>
      </c>
      <c r="Y624" s="314" t="str">
        <f t="shared" ca="1" si="283"/>
        <v/>
      </c>
      <c r="Z624" s="315" t="str">
        <f t="shared" ca="1" si="284"/>
        <v/>
      </c>
      <c r="AA624" s="316" t="str">
        <f t="shared" ca="1" si="285"/>
        <v/>
      </c>
      <c r="AC624" s="310" t="e">
        <f t="shared" ca="1" si="286"/>
        <v>#N/A</v>
      </c>
      <c r="AD624" s="323" t="e">
        <f t="shared" ca="1" si="287"/>
        <v>#N/A</v>
      </c>
      <c r="AE624" s="324" t="e">
        <f t="shared" ca="1" si="266"/>
        <v>#N/A</v>
      </c>
      <c r="AG624" s="306">
        <f t="shared" ca="1" si="288"/>
        <v>3.9795814833141208E-2</v>
      </c>
      <c r="AH624" s="304">
        <f t="shared" ca="1" si="289"/>
        <v>-9.7648759646078371</v>
      </c>
    </row>
    <row r="625" spans="1:34" x14ac:dyDescent="0.25">
      <c r="A625" s="347">
        <f t="shared" ca="1" si="267"/>
        <v>1E-4</v>
      </c>
      <c r="B625" s="304">
        <f t="shared" ca="1" si="268"/>
        <v>47.102700000000461</v>
      </c>
      <c r="D625" s="306">
        <f t="shared" ca="1" si="269"/>
        <v>-0.32179287996004624</v>
      </c>
      <c r="E625" s="307">
        <f t="shared" ca="1" si="270"/>
        <v>-5.0415069894260256E-2</v>
      </c>
      <c r="F625" s="304">
        <f t="shared" ca="1" si="271"/>
        <v>0.32571818626755228</v>
      </c>
      <c r="G625" s="306">
        <f t="shared" ca="1" si="272"/>
        <v>4.0401801159070851</v>
      </c>
      <c r="H625" s="307">
        <f t="shared" ca="1" si="273"/>
        <v>-122.53470821924574</v>
      </c>
      <c r="I625" s="304">
        <f t="shared" ca="1" si="274"/>
        <v>122.6012959709018</v>
      </c>
      <c r="J625" s="306">
        <f t="shared" ca="1" si="275"/>
        <v>677.64536374242232</v>
      </c>
      <c r="K625" s="307">
        <f t="shared" ca="1" si="276"/>
        <v>-10.024506218577756</v>
      </c>
      <c r="L625" s="304">
        <f t="shared" ca="1" si="261"/>
        <v>677.71950667405622</v>
      </c>
      <c r="M625" s="306">
        <f t="shared" ca="1" si="277"/>
        <v>-1.5378365470230586</v>
      </c>
      <c r="N625" s="304">
        <f t="shared" ca="1" si="278"/>
        <v>-88.11154372539302</v>
      </c>
      <c r="P625" s="310">
        <f t="shared" ca="1" si="279"/>
        <v>23</v>
      </c>
      <c r="Q625" s="304">
        <f t="shared" ca="1" si="280"/>
        <v>0</v>
      </c>
      <c r="R625" s="306">
        <f t="shared" ca="1" si="281"/>
        <v>0</v>
      </c>
      <c r="S625" s="307">
        <f t="shared" ca="1" si="282"/>
        <v>2.0842999999999985</v>
      </c>
      <c r="T625" s="304">
        <f t="shared" ca="1" si="262"/>
        <v>20.446982999999985</v>
      </c>
      <c r="U625" s="311">
        <f t="shared" ca="1" si="263"/>
        <v>0</v>
      </c>
      <c r="V625" s="306">
        <f t="shared" ca="1" si="264"/>
        <v>1.2262286178261279</v>
      </c>
      <c r="W625" s="304">
        <f t="shared" ca="1" si="265"/>
        <v>20.352983494093895</v>
      </c>
      <c r="Y625" s="314" t="str">
        <f t="shared" ca="1" si="283"/>
        <v/>
      </c>
      <c r="Z625" s="315" t="str">
        <f t="shared" ca="1" si="284"/>
        <v/>
      </c>
      <c r="AA625" s="316" t="str">
        <f t="shared" ca="1" si="285"/>
        <v/>
      </c>
      <c r="AC625" s="310" t="e">
        <f t="shared" ca="1" si="286"/>
        <v>#N/A</v>
      </c>
      <c r="AD625" s="323" t="e">
        <f t="shared" ca="1" si="287"/>
        <v>#N/A</v>
      </c>
      <c r="AE625" s="324" t="e">
        <f t="shared" ca="1" si="266"/>
        <v>#N/A</v>
      </c>
      <c r="AG625" s="306">
        <f t="shared" ca="1" si="288"/>
        <v>3.9783300777553876E-2</v>
      </c>
      <c r="AH625" s="304">
        <f t="shared" ca="1" si="289"/>
        <v>-9.7648885639079399</v>
      </c>
    </row>
    <row r="626" spans="1:34" x14ac:dyDescent="0.25">
      <c r="A626" s="347">
        <f t="shared" ca="1" si="267"/>
        <v>1E-4</v>
      </c>
      <c r="B626" s="304">
        <f t="shared" ca="1" si="268"/>
        <v>47.102800000000464</v>
      </c>
      <c r="D626" s="306">
        <f t="shared" ca="1" si="269"/>
        <v>-0.32179072170670003</v>
      </c>
      <c r="E626" s="307">
        <f t="shared" ca="1" si="270"/>
        <v>-5.0402392768495119E-2</v>
      </c>
      <c r="F626" s="304">
        <f t="shared" ca="1" si="271"/>
        <v>0.32571409207049751</v>
      </c>
      <c r="G626" s="306">
        <f t="shared" ca="1" si="272"/>
        <v>4.0401479368349147</v>
      </c>
      <c r="H626" s="307">
        <f t="shared" ca="1" si="273"/>
        <v>-122.53471325948502</v>
      </c>
      <c r="I626" s="304">
        <f t="shared" ca="1" si="274"/>
        <v>122.60129994798474</v>
      </c>
      <c r="J626" s="306">
        <f t="shared" ca="1" si="275"/>
        <v>677.64536374242232</v>
      </c>
      <c r="K626" s="307">
        <f t="shared" ca="1" si="276"/>
        <v>-10.036759689651692</v>
      </c>
      <c r="L626" s="304">
        <f t="shared" ca="1" si="261"/>
        <v>677.71968803235131</v>
      </c>
      <c r="M626" s="306">
        <f t="shared" ca="1" si="277"/>
        <v>-1.5378368107045206</v>
      </c>
      <c r="N626" s="304">
        <f t="shared" ca="1" si="278"/>
        <v>-88.111558833227932</v>
      </c>
      <c r="P626" s="310">
        <f t="shared" ca="1" si="279"/>
        <v>23</v>
      </c>
      <c r="Q626" s="304">
        <f t="shared" ca="1" si="280"/>
        <v>0</v>
      </c>
      <c r="R626" s="306">
        <f t="shared" ca="1" si="281"/>
        <v>0</v>
      </c>
      <c r="S626" s="307">
        <f t="shared" ca="1" si="282"/>
        <v>2.0842999999999985</v>
      </c>
      <c r="T626" s="304">
        <f t="shared" ca="1" si="262"/>
        <v>20.446982999999985</v>
      </c>
      <c r="U626" s="311">
        <f t="shared" ca="1" si="263"/>
        <v>0</v>
      </c>
      <c r="V626" s="306">
        <f t="shared" ca="1" si="264"/>
        <v>1.2262301203831159</v>
      </c>
      <c r="W626" s="304">
        <f t="shared" ca="1" si="265"/>
        <v>20.353009754053872</v>
      </c>
      <c r="Y626" s="314" t="str">
        <f t="shared" ca="1" si="283"/>
        <v/>
      </c>
      <c r="Z626" s="315" t="str">
        <f t="shared" ca="1" si="284"/>
        <v/>
      </c>
      <c r="AA626" s="316" t="str">
        <f t="shared" ca="1" si="285"/>
        <v/>
      </c>
      <c r="AC626" s="310" t="e">
        <f t="shared" ca="1" si="286"/>
        <v>#N/A</v>
      </c>
      <c r="AD626" s="323" t="e">
        <f t="shared" ca="1" si="287"/>
        <v>#N/A</v>
      </c>
      <c r="AE626" s="324" t="e">
        <f t="shared" ca="1" si="266"/>
        <v>#N/A</v>
      </c>
      <c r="AG626" s="306">
        <f t="shared" ca="1" si="288"/>
        <v>3.9770786903211786E-2</v>
      </c>
      <c r="AH626" s="304">
        <f t="shared" ca="1" si="289"/>
        <v>-9.7649011630254332</v>
      </c>
    </row>
    <row r="627" spans="1:34" x14ac:dyDescent="0.25">
      <c r="A627" s="347">
        <f t="shared" ca="1" si="267"/>
        <v>1E-4</v>
      </c>
      <c r="B627" s="304">
        <f t="shared" ca="1" si="268"/>
        <v>47.102900000000467</v>
      </c>
      <c r="D627" s="306">
        <f t="shared" ca="1" si="269"/>
        <v>-0.32178856346134033</v>
      </c>
      <c r="E627" s="307">
        <f t="shared" ca="1" si="270"/>
        <v>-5.0389715826382186E-2</v>
      </c>
      <c r="F627" s="304">
        <f t="shared" ca="1" si="271"/>
        <v>0.32570999836599523</v>
      </c>
      <c r="G627" s="306">
        <f t="shared" ca="1" si="272"/>
        <v>4.0401157579785689</v>
      </c>
      <c r="H627" s="307">
        <f t="shared" ca="1" si="273"/>
        <v>-122.5347182984566</v>
      </c>
      <c r="I627" s="304">
        <f t="shared" ca="1" si="274"/>
        <v>122.60130392381633</v>
      </c>
      <c r="J627" s="306">
        <f t="shared" ca="1" si="275"/>
        <v>677.64536374242232</v>
      </c>
      <c r="K627" s="307">
        <f t="shared" ca="1" si="276"/>
        <v>-10.04901316122959</v>
      </c>
      <c r="L627" s="304">
        <f t="shared" ca="1" si="261"/>
        <v>677.7198696121535</v>
      </c>
      <c r="M627" s="306">
        <f t="shared" ca="1" si="277"/>
        <v>-1.5378370743838656</v>
      </c>
      <c r="N627" s="304">
        <f t="shared" ca="1" si="278"/>
        <v>-88.11157394094154</v>
      </c>
      <c r="P627" s="310">
        <f t="shared" ca="1" si="279"/>
        <v>23</v>
      </c>
      <c r="Q627" s="304">
        <f t="shared" ca="1" si="280"/>
        <v>0</v>
      </c>
      <c r="R627" s="306">
        <f t="shared" ca="1" si="281"/>
        <v>0</v>
      </c>
      <c r="S627" s="307">
        <f t="shared" ca="1" si="282"/>
        <v>2.0842999999999985</v>
      </c>
      <c r="T627" s="304">
        <f t="shared" ca="1" si="262"/>
        <v>20.446982999999985</v>
      </c>
      <c r="U627" s="311">
        <f t="shared" ca="1" si="263"/>
        <v>0</v>
      </c>
      <c r="V627" s="306">
        <f t="shared" ca="1" si="264"/>
        <v>1.2262316229420083</v>
      </c>
      <c r="W627" s="304">
        <f t="shared" ca="1" si="265"/>
        <v>20.353036013633258</v>
      </c>
      <c r="Y627" s="314" t="str">
        <f t="shared" ca="1" si="283"/>
        <v/>
      </c>
      <c r="Z627" s="315" t="str">
        <f t="shared" ca="1" si="284"/>
        <v/>
      </c>
      <c r="AA627" s="316" t="str">
        <f t="shared" ca="1" si="285"/>
        <v/>
      </c>
      <c r="AC627" s="310" t="e">
        <f t="shared" ca="1" si="286"/>
        <v>#N/A</v>
      </c>
      <c r="AD627" s="323" t="e">
        <f t="shared" ca="1" si="287"/>
        <v>#N/A</v>
      </c>
      <c r="AE627" s="324" t="e">
        <f t="shared" ca="1" si="266"/>
        <v>#N/A</v>
      </c>
      <c r="AG627" s="306">
        <f t="shared" ca="1" si="288"/>
        <v>3.9758273210114936E-2</v>
      </c>
      <c r="AH627" s="304">
        <f t="shared" ca="1" si="289"/>
        <v>-9.7649137619603152</v>
      </c>
    </row>
    <row r="628" spans="1:34" x14ac:dyDescent="0.25">
      <c r="A628" s="347">
        <f t="shared" ca="1" si="267"/>
        <v>1E-4</v>
      </c>
      <c r="B628" s="304">
        <f t="shared" ca="1" si="268"/>
        <v>47.10300000000047</v>
      </c>
      <c r="D628" s="306">
        <f t="shared" ca="1" si="269"/>
        <v>-0.3217864052239614</v>
      </c>
      <c r="E628" s="307">
        <f t="shared" ca="1" si="270"/>
        <v>-5.03770390679108E-2</v>
      </c>
      <c r="F628" s="304">
        <f t="shared" ca="1" si="271"/>
        <v>0.32570590515403514</v>
      </c>
      <c r="G628" s="306">
        <f t="shared" ca="1" si="272"/>
        <v>4.040083579338047</v>
      </c>
      <c r="H628" s="307">
        <f t="shared" ca="1" si="273"/>
        <v>-122.5347233361605</v>
      </c>
      <c r="I628" s="304">
        <f t="shared" ca="1" si="274"/>
        <v>122.60130789839656</v>
      </c>
      <c r="J628" s="306">
        <f t="shared" ca="1" si="275"/>
        <v>677.64536374242232</v>
      </c>
      <c r="K628" s="307">
        <f t="shared" ca="1" si="276"/>
        <v>-10.061266633311321</v>
      </c>
      <c r="L628" s="304">
        <f t="shared" ca="1" si="261"/>
        <v>677.72005141346267</v>
      </c>
      <c r="M628" s="306">
        <f t="shared" ca="1" si="277"/>
        <v>-1.5378373380610932</v>
      </c>
      <c r="N628" s="304">
        <f t="shared" ca="1" si="278"/>
        <v>-88.111589048533844</v>
      </c>
      <c r="P628" s="310">
        <f t="shared" ca="1" si="279"/>
        <v>23</v>
      </c>
      <c r="Q628" s="304">
        <f t="shared" ca="1" si="280"/>
        <v>0</v>
      </c>
      <c r="R628" s="306">
        <f t="shared" ca="1" si="281"/>
        <v>0</v>
      </c>
      <c r="S628" s="307">
        <f t="shared" ca="1" si="282"/>
        <v>2.0842999999999985</v>
      </c>
      <c r="T628" s="304">
        <f t="shared" ca="1" si="262"/>
        <v>20.446982999999985</v>
      </c>
      <c r="U628" s="311">
        <f t="shared" ca="1" si="263"/>
        <v>0</v>
      </c>
      <c r="V628" s="306">
        <f t="shared" ca="1" si="264"/>
        <v>1.2262331255028045</v>
      </c>
      <c r="W628" s="304">
        <f t="shared" ca="1" si="265"/>
        <v>20.353062272832048</v>
      </c>
      <c r="Y628" s="314" t="str">
        <f t="shared" ca="1" si="283"/>
        <v/>
      </c>
      <c r="Z628" s="315" t="str">
        <f t="shared" ca="1" si="284"/>
        <v/>
      </c>
      <c r="AA628" s="316" t="str">
        <f t="shared" ca="1" si="285"/>
        <v/>
      </c>
      <c r="AC628" s="310" t="e">
        <f t="shared" ca="1" si="286"/>
        <v>#N/A</v>
      </c>
      <c r="AD628" s="323" t="e">
        <f t="shared" ca="1" si="287"/>
        <v>#N/A</v>
      </c>
      <c r="AE628" s="324" t="e">
        <f t="shared" ca="1" si="266"/>
        <v>#N/A</v>
      </c>
      <c r="AG628" s="306">
        <f t="shared" ca="1" si="288"/>
        <v>3.9745759698249117E-2</v>
      </c>
      <c r="AH628" s="304">
        <f t="shared" ca="1" si="289"/>
        <v>-9.7649263607126002</v>
      </c>
    </row>
    <row r="629" spans="1:34" x14ac:dyDescent="0.25">
      <c r="A629" s="347">
        <f t="shared" ca="1" si="267"/>
        <v>1E-4</v>
      </c>
      <c r="B629" s="304">
        <f t="shared" ca="1" si="268"/>
        <v>47.103100000000474</v>
      </c>
      <c r="D629" s="306">
        <f t="shared" ca="1" si="269"/>
        <v>-0.32178424699456759</v>
      </c>
      <c r="E629" s="307">
        <f t="shared" ca="1" si="270"/>
        <v>-5.0364362493080961E-2</v>
      </c>
      <c r="F629" s="304">
        <f t="shared" ca="1" si="271"/>
        <v>0.32570181243461838</v>
      </c>
      <c r="G629" s="306">
        <f t="shared" ca="1" si="272"/>
        <v>4.0400514009133479</v>
      </c>
      <c r="H629" s="307">
        <f t="shared" ca="1" si="273"/>
        <v>-122.53472837259675</v>
      </c>
      <c r="I629" s="304">
        <f t="shared" ca="1" si="274"/>
        <v>122.60131187172546</v>
      </c>
      <c r="J629" s="306">
        <f t="shared" ca="1" si="275"/>
        <v>677.64536374242232</v>
      </c>
      <c r="K629" s="307">
        <f t="shared" ca="1" si="276"/>
        <v>-10.07352010589676</v>
      </c>
      <c r="L629" s="304">
        <f t="shared" ca="1" si="261"/>
        <v>677.72023343627848</v>
      </c>
      <c r="M629" s="306">
        <f t="shared" ca="1" si="277"/>
        <v>-1.5378376017362037</v>
      </c>
      <c r="N629" s="304">
        <f t="shared" ca="1" si="278"/>
        <v>-88.11160415600483</v>
      </c>
      <c r="P629" s="310">
        <f t="shared" ca="1" si="279"/>
        <v>23</v>
      </c>
      <c r="Q629" s="304">
        <f t="shared" ca="1" si="280"/>
        <v>0</v>
      </c>
      <c r="R629" s="306">
        <f t="shared" ca="1" si="281"/>
        <v>0</v>
      </c>
      <c r="S629" s="307">
        <f t="shared" ca="1" si="282"/>
        <v>2.0842999999999985</v>
      </c>
      <c r="T629" s="304">
        <f t="shared" ca="1" si="262"/>
        <v>20.446982999999985</v>
      </c>
      <c r="U629" s="311">
        <f t="shared" ca="1" si="263"/>
        <v>0</v>
      </c>
      <c r="V629" s="306">
        <f t="shared" ca="1" si="264"/>
        <v>1.2262346280655045</v>
      </c>
      <c r="W629" s="304">
        <f t="shared" ca="1" si="265"/>
        <v>20.353088531650251</v>
      </c>
      <c r="Y629" s="314" t="str">
        <f t="shared" ca="1" si="283"/>
        <v/>
      </c>
      <c r="Z629" s="315" t="str">
        <f t="shared" ca="1" si="284"/>
        <v/>
      </c>
      <c r="AA629" s="316" t="str">
        <f t="shared" ca="1" si="285"/>
        <v/>
      </c>
      <c r="AC629" s="310" t="e">
        <f t="shared" ca="1" si="286"/>
        <v>#N/A</v>
      </c>
      <c r="AD629" s="323" t="e">
        <f t="shared" ca="1" si="287"/>
        <v>#N/A</v>
      </c>
      <c r="AE629" s="324" t="e">
        <f t="shared" ca="1" si="266"/>
        <v>#N/A</v>
      </c>
      <c r="AG629" s="306">
        <f t="shared" ca="1" si="288"/>
        <v>3.973324636761788E-2</v>
      </c>
      <c r="AH629" s="304">
        <f t="shared" ca="1" si="289"/>
        <v>-9.7649389592822828</v>
      </c>
    </row>
    <row r="630" spans="1:34" x14ac:dyDescent="0.25">
      <c r="A630" s="347">
        <f t="shared" ca="1" si="267"/>
        <v>1E-4</v>
      </c>
      <c r="B630" s="304">
        <f t="shared" ca="1" si="268"/>
        <v>47.103200000000477</v>
      </c>
      <c r="D630" s="306">
        <f t="shared" ca="1" si="269"/>
        <v>-0.321782088773157</v>
      </c>
      <c r="E630" s="307">
        <f t="shared" ca="1" si="270"/>
        <v>-5.0351686101890891E-2</v>
      </c>
      <c r="F630" s="304">
        <f t="shared" ca="1" si="271"/>
        <v>0.3256977202077399</v>
      </c>
      <c r="G630" s="306">
        <f t="shared" ca="1" si="272"/>
        <v>4.0400192227044709</v>
      </c>
      <c r="H630" s="307">
        <f t="shared" ca="1" si="273"/>
        <v>-122.53473340776536</v>
      </c>
      <c r="I630" s="304">
        <f t="shared" ca="1" si="274"/>
        <v>122.60131584380304</v>
      </c>
      <c r="J630" s="306">
        <f t="shared" ca="1" si="275"/>
        <v>677.64536374242232</v>
      </c>
      <c r="K630" s="307">
        <f t="shared" ca="1" si="276"/>
        <v>-10.085773578985778</v>
      </c>
      <c r="L630" s="304">
        <f t="shared" ca="1" si="261"/>
        <v>677.72041568060081</v>
      </c>
      <c r="M630" s="306">
        <f t="shared" ca="1" si="277"/>
        <v>-1.5378378654091969</v>
      </c>
      <c r="N630" s="304">
        <f t="shared" ca="1" si="278"/>
        <v>-88.111619263354513</v>
      </c>
      <c r="P630" s="310">
        <f t="shared" ca="1" si="279"/>
        <v>23</v>
      </c>
      <c r="Q630" s="304">
        <f t="shared" ca="1" si="280"/>
        <v>0</v>
      </c>
      <c r="R630" s="306">
        <f t="shared" ca="1" si="281"/>
        <v>0</v>
      </c>
      <c r="S630" s="307">
        <f t="shared" ca="1" si="282"/>
        <v>2.0842999999999985</v>
      </c>
      <c r="T630" s="304">
        <f t="shared" ca="1" si="262"/>
        <v>20.446982999999985</v>
      </c>
      <c r="U630" s="311">
        <f t="shared" ca="1" si="263"/>
        <v>0</v>
      </c>
      <c r="V630" s="306">
        <f t="shared" ca="1" si="264"/>
        <v>1.2262361306301086</v>
      </c>
      <c r="W630" s="304">
        <f t="shared" ca="1" si="265"/>
        <v>20.353114790087862</v>
      </c>
      <c r="Y630" s="314" t="str">
        <f t="shared" ca="1" si="283"/>
        <v/>
      </c>
      <c r="Z630" s="315" t="str">
        <f t="shared" ca="1" si="284"/>
        <v/>
      </c>
      <c r="AA630" s="316" t="str">
        <f t="shared" ca="1" si="285"/>
        <v/>
      </c>
      <c r="AC630" s="310" t="e">
        <f t="shared" ca="1" si="286"/>
        <v>#N/A</v>
      </c>
      <c r="AD630" s="323" t="e">
        <f t="shared" ca="1" si="287"/>
        <v>#N/A</v>
      </c>
      <c r="AE630" s="324" t="e">
        <f t="shared" ca="1" si="266"/>
        <v>#N/A</v>
      </c>
      <c r="AG630" s="306">
        <f t="shared" ca="1" si="288"/>
        <v>3.9720733218221227E-2</v>
      </c>
      <c r="AH630" s="304">
        <f t="shared" ca="1" si="289"/>
        <v>-9.7649515576693684</v>
      </c>
    </row>
    <row r="631" spans="1:34" x14ac:dyDescent="0.25">
      <c r="A631" s="347">
        <f t="shared" ca="1" si="267"/>
        <v>1E-4</v>
      </c>
      <c r="B631" s="304">
        <f t="shared" ca="1" si="268"/>
        <v>47.10330000000048</v>
      </c>
      <c r="D631" s="306">
        <f t="shared" ca="1" si="269"/>
        <v>-0.32177993055972998</v>
      </c>
      <c r="E631" s="307">
        <f t="shared" ca="1" si="270"/>
        <v>-5.0339009894340592E-2</v>
      </c>
      <c r="F631" s="304">
        <f t="shared" ca="1" si="271"/>
        <v>0.325693628473397</v>
      </c>
      <c r="G631" s="306">
        <f t="shared" ca="1" si="272"/>
        <v>4.039987044711415</v>
      </c>
      <c r="H631" s="307">
        <f t="shared" ca="1" si="273"/>
        <v>-122.53473844166635</v>
      </c>
      <c r="I631" s="304">
        <f t="shared" ca="1" si="274"/>
        <v>122.60131981462932</v>
      </c>
      <c r="J631" s="306">
        <f t="shared" ca="1" si="275"/>
        <v>677.64536374242232</v>
      </c>
      <c r="K631" s="307">
        <f t="shared" ca="1" si="276"/>
        <v>-10.098027052578249</v>
      </c>
      <c r="L631" s="304">
        <f t="shared" ca="1" si="261"/>
        <v>677.72059814642967</v>
      </c>
      <c r="M631" s="306">
        <f t="shared" ca="1" si="277"/>
        <v>-1.5378381290800729</v>
      </c>
      <c r="N631" s="304">
        <f t="shared" ca="1" si="278"/>
        <v>-88.111634370582891</v>
      </c>
      <c r="P631" s="310">
        <f t="shared" ca="1" si="279"/>
        <v>23</v>
      </c>
      <c r="Q631" s="304">
        <f t="shared" ca="1" si="280"/>
        <v>0</v>
      </c>
      <c r="R631" s="306">
        <f t="shared" ca="1" si="281"/>
        <v>0</v>
      </c>
      <c r="S631" s="307">
        <f t="shared" ca="1" si="282"/>
        <v>2.0842999999999985</v>
      </c>
      <c r="T631" s="304">
        <f t="shared" ca="1" si="262"/>
        <v>20.446982999999985</v>
      </c>
      <c r="U631" s="311">
        <f t="shared" ca="1" si="263"/>
        <v>0</v>
      </c>
      <c r="V631" s="306">
        <f t="shared" ca="1" si="264"/>
        <v>1.2262376331966163</v>
      </c>
      <c r="W631" s="304">
        <f t="shared" ca="1" si="265"/>
        <v>20.353141048144892</v>
      </c>
      <c r="Y631" s="314" t="str">
        <f t="shared" ca="1" si="283"/>
        <v/>
      </c>
      <c r="Z631" s="315" t="str">
        <f t="shared" ca="1" si="284"/>
        <v/>
      </c>
      <c r="AA631" s="316" t="str">
        <f t="shared" ca="1" si="285"/>
        <v/>
      </c>
      <c r="AC631" s="310" t="e">
        <f t="shared" ca="1" si="286"/>
        <v>#N/A</v>
      </c>
      <c r="AD631" s="323" t="e">
        <f t="shared" ca="1" si="287"/>
        <v>#N/A</v>
      </c>
      <c r="AE631" s="324" t="e">
        <f t="shared" ca="1" si="266"/>
        <v>#N/A</v>
      </c>
      <c r="AG631" s="306">
        <f t="shared" ca="1" si="288"/>
        <v>3.9708220250053827E-2</v>
      </c>
      <c r="AH631" s="304">
        <f t="shared" ca="1" si="289"/>
        <v>-9.7649641558738551</v>
      </c>
    </row>
    <row r="632" spans="1:34" x14ac:dyDescent="0.25">
      <c r="A632" s="347">
        <f t="shared" ca="1" si="267"/>
        <v>1E-4</v>
      </c>
      <c r="B632" s="304">
        <f t="shared" ca="1" si="268"/>
        <v>47.103400000000484</v>
      </c>
      <c r="D632" s="306">
        <f t="shared" ca="1" si="269"/>
        <v>-0.32177777235428678</v>
      </c>
      <c r="E632" s="307">
        <f t="shared" ca="1" si="270"/>
        <v>-5.0326333870428286E-2</v>
      </c>
      <c r="F632" s="304">
        <f t="shared" ca="1" si="271"/>
        <v>0.32568953723158656</v>
      </c>
      <c r="G632" s="306">
        <f t="shared" ca="1" si="272"/>
        <v>4.0399548669341794</v>
      </c>
      <c r="H632" s="307">
        <f t="shared" ca="1" si="273"/>
        <v>-122.53474347429973</v>
      </c>
      <c r="I632" s="304">
        <f t="shared" ca="1" si="274"/>
        <v>122.60132378420433</v>
      </c>
      <c r="J632" s="306">
        <f t="shared" ca="1" si="275"/>
        <v>677.64536374242232</v>
      </c>
      <c r="K632" s="307">
        <f t="shared" ca="1" si="276"/>
        <v>-10.110280526674048</v>
      </c>
      <c r="L632" s="304">
        <f t="shared" ca="1" si="261"/>
        <v>677.72078083376482</v>
      </c>
      <c r="M632" s="306">
        <f t="shared" ca="1" si="277"/>
        <v>-1.5378383927488317</v>
      </c>
      <c r="N632" s="304">
        <f t="shared" ca="1" si="278"/>
        <v>-88.111649477689966</v>
      </c>
      <c r="P632" s="310">
        <f t="shared" ca="1" si="279"/>
        <v>23</v>
      </c>
      <c r="Q632" s="304">
        <f t="shared" ca="1" si="280"/>
        <v>0</v>
      </c>
      <c r="R632" s="306">
        <f t="shared" ca="1" si="281"/>
        <v>0</v>
      </c>
      <c r="S632" s="307">
        <f t="shared" ca="1" si="282"/>
        <v>2.0842999999999985</v>
      </c>
      <c r="T632" s="304">
        <f t="shared" ca="1" si="262"/>
        <v>20.446982999999985</v>
      </c>
      <c r="U632" s="311">
        <f t="shared" ca="1" si="263"/>
        <v>0</v>
      </c>
      <c r="V632" s="306">
        <f t="shared" ca="1" si="264"/>
        <v>1.2262391357650275</v>
      </c>
      <c r="W632" s="304">
        <f t="shared" ca="1" si="265"/>
        <v>20.353167305821334</v>
      </c>
      <c r="Y632" s="314" t="str">
        <f t="shared" ca="1" si="283"/>
        <v/>
      </c>
      <c r="Z632" s="315" t="str">
        <f t="shared" ca="1" si="284"/>
        <v/>
      </c>
      <c r="AA632" s="316" t="str">
        <f t="shared" ca="1" si="285"/>
        <v/>
      </c>
      <c r="AC632" s="310" t="e">
        <f t="shared" ca="1" si="286"/>
        <v>#N/A</v>
      </c>
      <c r="AD632" s="323" t="e">
        <f t="shared" ca="1" si="287"/>
        <v>#N/A</v>
      </c>
      <c r="AE632" s="324" t="e">
        <f t="shared" ca="1" si="266"/>
        <v>#N/A</v>
      </c>
      <c r="AG632" s="306">
        <f t="shared" ca="1" si="288"/>
        <v>3.9695707463117458E-2</v>
      </c>
      <c r="AH632" s="304">
        <f t="shared" ca="1" si="289"/>
        <v>-9.7649767538957466</v>
      </c>
    </row>
    <row r="633" spans="1:34" x14ac:dyDescent="0.25">
      <c r="A633" s="347">
        <f t="shared" ca="1" si="267"/>
        <v>1E-4</v>
      </c>
      <c r="B633" s="304">
        <f t="shared" ca="1" si="268"/>
        <v>47.103500000000487</v>
      </c>
      <c r="D633" s="306">
        <f t="shared" ca="1" si="269"/>
        <v>-0.32177561415682765</v>
      </c>
      <c r="E633" s="307">
        <f t="shared" ca="1" si="270"/>
        <v>-5.0313658030153974E-2</v>
      </c>
      <c r="F633" s="304">
        <f t="shared" ca="1" si="271"/>
        <v>0.32568544648230585</v>
      </c>
      <c r="G633" s="306">
        <f t="shared" ca="1" si="272"/>
        <v>4.039922689372764</v>
      </c>
      <c r="H633" s="307">
        <f t="shared" ca="1" si="273"/>
        <v>-122.53474850566553</v>
      </c>
      <c r="I633" s="304">
        <f t="shared" ca="1" si="274"/>
        <v>122.60132775252808</v>
      </c>
      <c r="J633" s="306">
        <f t="shared" ca="1" si="275"/>
        <v>677.64536374242232</v>
      </c>
      <c r="K633" s="307">
        <f t="shared" ca="1" si="276"/>
        <v>-10.122534001273046</v>
      </c>
      <c r="L633" s="304">
        <f t="shared" ca="1" si="261"/>
        <v>677.72096374260605</v>
      </c>
      <c r="M633" s="306">
        <f t="shared" ca="1" si="277"/>
        <v>-1.5378386564154733</v>
      </c>
      <c r="N633" s="304">
        <f t="shared" ca="1" si="278"/>
        <v>-88.111664584675722</v>
      </c>
      <c r="P633" s="310">
        <f t="shared" ca="1" si="279"/>
        <v>23</v>
      </c>
      <c r="Q633" s="304">
        <f t="shared" ca="1" si="280"/>
        <v>0</v>
      </c>
      <c r="R633" s="306">
        <f t="shared" ca="1" si="281"/>
        <v>0</v>
      </c>
      <c r="S633" s="307">
        <f t="shared" ca="1" si="282"/>
        <v>2.0842999999999985</v>
      </c>
      <c r="T633" s="304">
        <f t="shared" ca="1" si="262"/>
        <v>20.446982999999985</v>
      </c>
      <c r="U633" s="311">
        <f t="shared" ca="1" si="263"/>
        <v>0</v>
      </c>
      <c r="V633" s="306">
        <f t="shared" ca="1" si="264"/>
        <v>1.2262406383353424</v>
      </c>
      <c r="W633" s="304">
        <f t="shared" ca="1" si="265"/>
        <v>20.353193563117205</v>
      </c>
      <c r="Y633" s="314" t="str">
        <f t="shared" ca="1" si="283"/>
        <v/>
      </c>
      <c r="Z633" s="315" t="str">
        <f t="shared" ca="1" si="284"/>
        <v/>
      </c>
      <c r="AA633" s="316" t="str">
        <f t="shared" ca="1" si="285"/>
        <v/>
      </c>
      <c r="AC633" s="310" t="e">
        <f t="shared" ca="1" si="286"/>
        <v>#N/A</v>
      </c>
      <c r="AD633" s="323" t="e">
        <f t="shared" ca="1" si="287"/>
        <v>#N/A</v>
      </c>
      <c r="AE633" s="324" t="e">
        <f t="shared" ca="1" si="266"/>
        <v>#N/A</v>
      </c>
      <c r="AG633" s="306">
        <f t="shared" ca="1" si="288"/>
        <v>3.9683194857408566E-2</v>
      </c>
      <c r="AH633" s="304">
        <f t="shared" ca="1" si="289"/>
        <v>-9.7649893517350428</v>
      </c>
    </row>
    <row r="634" spans="1:34" x14ac:dyDescent="0.25">
      <c r="A634" s="347">
        <f t="shared" ca="1" si="267"/>
        <v>1E-4</v>
      </c>
      <c r="B634" s="304">
        <f t="shared" ca="1" si="268"/>
        <v>47.10360000000049</v>
      </c>
      <c r="D634" s="306">
        <f t="shared" ca="1" si="269"/>
        <v>-0.32177345596735296</v>
      </c>
      <c r="E634" s="307">
        <f t="shared" ca="1" si="270"/>
        <v>-5.0300982373512326E-2</v>
      </c>
      <c r="F634" s="304">
        <f t="shared" ca="1" si="271"/>
        <v>0.32568135622555128</v>
      </c>
      <c r="G634" s="306">
        <f t="shared" ca="1" si="272"/>
        <v>4.0398905120271671</v>
      </c>
      <c r="H634" s="307">
        <f t="shared" ca="1" si="273"/>
        <v>-122.53475353576377</v>
      </c>
      <c r="I634" s="304">
        <f t="shared" ca="1" si="274"/>
        <v>122.60133171960058</v>
      </c>
      <c r="J634" s="306">
        <f t="shared" ca="1" si="275"/>
        <v>677.64536374242232</v>
      </c>
      <c r="K634" s="307">
        <f t="shared" ca="1" si="276"/>
        <v>-10.134787476375116</v>
      </c>
      <c r="L634" s="304">
        <f t="shared" ca="1" si="261"/>
        <v>677.72114687295334</v>
      </c>
      <c r="M634" s="306">
        <f t="shared" ca="1" si="277"/>
        <v>-1.537838920079998</v>
      </c>
      <c r="N634" s="304">
        <f t="shared" ca="1" si="278"/>
        <v>-88.111679691540189</v>
      </c>
      <c r="P634" s="310">
        <f t="shared" ca="1" si="279"/>
        <v>23</v>
      </c>
      <c r="Q634" s="304">
        <f t="shared" ca="1" si="280"/>
        <v>0</v>
      </c>
      <c r="R634" s="306">
        <f t="shared" ca="1" si="281"/>
        <v>0</v>
      </c>
      <c r="S634" s="307">
        <f t="shared" ca="1" si="282"/>
        <v>2.0842999999999985</v>
      </c>
      <c r="T634" s="304">
        <f t="shared" ca="1" si="262"/>
        <v>20.446982999999985</v>
      </c>
      <c r="U634" s="311">
        <f t="shared" ca="1" si="263"/>
        <v>0</v>
      </c>
      <c r="V634" s="306">
        <f t="shared" ca="1" si="264"/>
        <v>1.2262421409075617</v>
      </c>
      <c r="W634" s="304">
        <f t="shared" ca="1" si="265"/>
        <v>20.353219820032514</v>
      </c>
      <c r="Y634" s="314" t="str">
        <f t="shared" ca="1" si="283"/>
        <v/>
      </c>
      <c r="Z634" s="315" t="str">
        <f t="shared" ca="1" si="284"/>
        <v/>
      </c>
      <c r="AA634" s="316" t="str">
        <f t="shared" ca="1" si="285"/>
        <v/>
      </c>
      <c r="AC634" s="310" t="e">
        <f t="shared" ca="1" si="286"/>
        <v>#N/A</v>
      </c>
      <c r="AD634" s="323" t="e">
        <f t="shared" ca="1" si="287"/>
        <v>#N/A</v>
      </c>
      <c r="AE634" s="324" t="e">
        <f t="shared" ca="1" si="266"/>
        <v>#N/A</v>
      </c>
      <c r="AG634" s="306">
        <f t="shared" ca="1" si="288"/>
        <v>3.9670682432925375E-2</v>
      </c>
      <c r="AH634" s="304">
        <f t="shared" ca="1" si="289"/>
        <v>-9.7650019493917473</v>
      </c>
    </row>
    <row r="635" spans="1:34" x14ac:dyDescent="0.25">
      <c r="A635" s="347">
        <f t="shared" ca="1" si="267"/>
        <v>1E-4</v>
      </c>
      <c r="B635" s="304">
        <f t="shared" ca="1" si="268"/>
        <v>47.103700000000494</v>
      </c>
      <c r="D635" s="306">
        <f t="shared" ca="1" si="269"/>
        <v>-0.32177129778586094</v>
      </c>
      <c r="E635" s="307">
        <f t="shared" ca="1" si="270"/>
        <v>-5.0288306900494462E-2</v>
      </c>
      <c r="F635" s="304">
        <f t="shared" ca="1" si="271"/>
        <v>0.32567726646131678</v>
      </c>
      <c r="G635" s="306">
        <f t="shared" ca="1" si="272"/>
        <v>4.0398583348973887</v>
      </c>
      <c r="H635" s="307">
        <f t="shared" ca="1" si="273"/>
        <v>-122.53475856459445</v>
      </c>
      <c r="I635" s="304">
        <f t="shared" ca="1" si="274"/>
        <v>122.60133568542184</v>
      </c>
      <c r="J635" s="306">
        <f t="shared" ca="1" si="275"/>
        <v>677.64536374242232</v>
      </c>
      <c r="K635" s="307">
        <f t="shared" ca="1" si="276"/>
        <v>-10.147040951980134</v>
      </c>
      <c r="L635" s="304">
        <f t="shared" ca="1" si="261"/>
        <v>677.72133022480637</v>
      </c>
      <c r="M635" s="306">
        <f t="shared" ca="1" si="277"/>
        <v>-1.5378391837424055</v>
      </c>
      <c r="N635" s="304">
        <f t="shared" ca="1" si="278"/>
        <v>-88.111694798283352</v>
      </c>
      <c r="P635" s="310">
        <f t="shared" ca="1" si="279"/>
        <v>23</v>
      </c>
      <c r="Q635" s="304">
        <f t="shared" ca="1" si="280"/>
        <v>0</v>
      </c>
      <c r="R635" s="306">
        <f t="shared" ca="1" si="281"/>
        <v>0</v>
      </c>
      <c r="S635" s="307">
        <f t="shared" ca="1" si="282"/>
        <v>2.0842999999999985</v>
      </c>
      <c r="T635" s="304">
        <f t="shared" ca="1" si="262"/>
        <v>20.446982999999985</v>
      </c>
      <c r="U635" s="311">
        <f t="shared" ca="1" si="263"/>
        <v>0</v>
      </c>
      <c r="V635" s="306">
        <f t="shared" ca="1" si="264"/>
        <v>1.2262436434816844</v>
      </c>
      <c r="W635" s="304">
        <f t="shared" ca="1" si="265"/>
        <v>20.353246076567242</v>
      </c>
      <c r="Y635" s="314" t="str">
        <f t="shared" ca="1" si="283"/>
        <v/>
      </c>
      <c r="Z635" s="315" t="str">
        <f t="shared" ca="1" si="284"/>
        <v/>
      </c>
      <c r="AA635" s="316" t="str">
        <f t="shared" ca="1" si="285"/>
        <v/>
      </c>
      <c r="AC635" s="310" t="e">
        <f t="shared" ca="1" si="286"/>
        <v>#N/A</v>
      </c>
      <c r="AD635" s="323" t="e">
        <f t="shared" ca="1" si="287"/>
        <v>#N/A</v>
      </c>
      <c r="AE635" s="324" t="e">
        <f t="shared" ca="1" si="266"/>
        <v>#N/A</v>
      </c>
      <c r="AG635" s="306">
        <f t="shared" ca="1" si="288"/>
        <v>3.9658170189662556E-2</v>
      </c>
      <c r="AH635" s="304">
        <f t="shared" ca="1" si="289"/>
        <v>-9.7650145468658689</v>
      </c>
    </row>
    <row r="636" spans="1:34" x14ac:dyDescent="0.25">
      <c r="A636" s="347">
        <f t="shared" ca="1" si="267"/>
        <v>1E-4</v>
      </c>
      <c r="B636" s="304">
        <f t="shared" ca="1" si="268"/>
        <v>47.103800000000497</v>
      </c>
      <c r="D636" s="306">
        <f t="shared" ca="1" si="269"/>
        <v>-0.32176913961235371</v>
      </c>
      <c r="E636" s="307">
        <f t="shared" ca="1" si="270"/>
        <v>-5.0275631611114591E-2</v>
      </c>
      <c r="F636" s="304">
        <f t="shared" ca="1" si="271"/>
        <v>0.32567317718960348</v>
      </c>
      <c r="G636" s="306">
        <f t="shared" ca="1" si="272"/>
        <v>4.0398261579834278</v>
      </c>
      <c r="H636" s="307">
        <f t="shared" ca="1" si="273"/>
        <v>-122.53476359215762</v>
      </c>
      <c r="I636" s="304">
        <f t="shared" ca="1" si="274"/>
        <v>122.60133964999193</v>
      </c>
      <c r="J636" s="306">
        <f t="shared" ca="1" si="275"/>
        <v>677.64536374242232</v>
      </c>
      <c r="K636" s="307">
        <f t="shared" ca="1" si="276"/>
        <v>-10.159294428087971</v>
      </c>
      <c r="L636" s="304">
        <f t="shared" ca="1" si="261"/>
        <v>677.72151379816501</v>
      </c>
      <c r="M636" s="306">
        <f t="shared" ca="1" si="277"/>
        <v>-1.537839447402696</v>
      </c>
      <c r="N636" s="304">
        <f t="shared" ca="1" si="278"/>
        <v>-88.111709904905226</v>
      </c>
      <c r="P636" s="310">
        <f t="shared" ca="1" si="279"/>
        <v>23</v>
      </c>
      <c r="Q636" s="304">
        <f t="shared" ca="1" si="280"/>
        <v>0</v>
      </c>
      <c r="R636" s="306">
        <f t="shared" ca="1" si="281"/>
        <v>0</v>
      </c>
      <c r="S636" s="307">
        <f t="shared" ca="1" si="282"/>
        <v>2.0842999999999985</v>
      </c>
      <c r="T636" s="304">
        <f t="shared" ca="1" si="262"/>
        <v>20.446982999999985</v>
      </c>
      <c r="U636" s="311">
        <f t="shared" ca="1" si="263"/>
        <v>0</v>
      </c>
      <c r="V636" s="306">
        <f t="shared" ca="1" si="264"/>
        <v>1.2262451460577113</v>
      </c>
      <c r="W636" s="304">
        <f t="shared" ca="1" si="265"/>
        <v>20.353272332721428</v>
      </c>
      <c r="Y636" s="314" t="str">
        <f t="shared" ca="1" si="283"/>
        <v/>
      </c>
      <c r="Z636" s="315" t="str">
        <f t="shared" ca="1" si="284"/>
        <v/>
      </c>
      <c r="AA636" s="316" t="str">
        <f t="shared" ca="1" si="285"/>
        <v/>
      </c>
      <c r="AC636" s="310" t="e">
        <f t="shared" ca="1" si="286"/>
        <v>#N/A</v>
      </c>
      <c r="AD636" s="323" t="e">
        <f t="shared" ca="1" si="287"/>
        <v>#N/A</v>
      </c>
      <c r="AE636" s="324" t="e">
        <f t="shared" ca="1" si="266"/>
        <v>#N/A</v>
      </c>
      <c r="AG636" s="306">
        <f t="shared" ca="1" si="288"/>
        <v>3.9645658127627215E-2</v>
      </c>
      <c r="AH636" s="304">
        <f t="shared" ca="1" si="289"/>
        <v>-9.7650271441573935</v>
      </c>
    </row>
    <row r="637" spans="1:34" x14ac:dyDescent="0.25">
      <c r="A637" s="347">
        <f t="shared" ca="1" si="267"/>
        <v>1E-4</v>
      </c>
      <c r="B637" s="304">
        <f t="shared" ca="1" si="268"/>
        <v>47.1039000000005</v>
      </c>
      <c r="D637" s="306">
        <f t="shared" ca="1" si="269"/>
        <v>-0.32176698144682986</v>
      </c>
      <c r="E637" s="307">
        <f t="shared" ca="1" si="270"/>
        <v>-5.0262956505351397E-2</v>
      </c>
      <c r="F637" s="304">
        <f t="shared" ca="1" si="271"/>
        <v>0.32566908841040382</v>
      </c>
      <c r="G637" s="306">
        <f t="shared" ca="1" si="272"/>
        <v>4.0397939812852828</v>
      </c>
      <c r="H637" s="307">
        <f t="shared" ca="1" si="273"/>
        <v>-122.53476861845327</v>
      </c>
      <c r="I637" s="304">
        <f t="shared" ca="1" si="274"/>
        <v>122.60134361331082</v>
      </c>
      <c r="J637" s="306">
        <f t="shared" ca="1" si="275"/>
        <v>677.64536374242232</v>
      </c>
      <c r="K637" s="307">
        <f t="shared" ca="1" si="276"/>
        <v>-10.171547904698501</v>
      </c>
      <c r="L637" s="304">
        <f t="shared" ca="1" si="261"/>
        <v>677.72169759302926</v>
      </c>
      <c r="M637" s="306">
        <f t="shared" ca="1" si="277"/>
        <v>-1.5378397110608693</v>
      </c>
      <c r="N637" s="304">
        <f t="shared" ca="1" si="278"/>
        <v>-88.111725011405795</v>
      </c>
      <c r="P637" s="310">
        <f t="shared" ca="1" si="279"/>
        <v>23</v>
      </c>
      <c r="Q637" s="304">
        <f t="shared" ca="1" si="280"/>
        <v>0</v>
      </c>
      <c r="R637" s="306">
        <f t="shared" ca="1" si="281"/>
        <v>0</v>
      </c>
      <c r="S637" s="307">
        <f t="shared" ca="1" si="282"/>
        <v>2.0842999999999985</v>
      </c>
      <c r="T637" s="304">
        <f t="shared" ca="1" si="262"/>
        <v>20.446982999999985</v>
      </c>
      <c r="U637" s="311">
        <f t="shared" ca="1" si="263"/>
        <v>0</v>
      </c>
      <c r="V637" s="306">
        <f t="shared" ca="1" si="264"/>
        <v>1.2262466486356416</v>
      </c>
      <c r="W637" s="304">
        <f t="shared" ca="1" si="265"/>
        <v>20.353298588495047</v>
      </c>
      <c r="Y637" s="314" t="str">
        <f t="shared" ca="1" si="283"/>
        <v/>
      </c>
      <c r="Z637" s="315" t="str">
        <f t="shared" ca="1" si="284"/>
        <v/>
      </c>
      <c r="AA637" s="316" t="str">
        <f t="shared" ca="1" si="285"/>
        <v/>
      </c>
      <c r="AC637" s="310" t="e">
        <f t="shared" ca="1" si="286"/>
        <v>#N/A</v>
      </c>
      <c r="AD637" s="323" t="e">
        <f t="shared" ca="1" si="287"/>
        <v>#N/A</v>
      </c>
      <c r="AE637" s="324" t="e">
        <f t="shared" ca="1" si="266"/>
        <v>#N/A</v>
      </c>
      <c r="AG637" s="306">
        <f t="shared" ca="1" si="288"/>
        <v>3.9633146246799811E-2</v>
      </c>
      <c r="AH637" s="304">
        <f t="shared" ca="1" si="289"/>
        <v>-9.7650397412663441</v>
      </c>
    </row>
    <row r="638" spans="1:34" x14ac:dyDescent="0.25">
      <c r="A638" s="347">
        <f t="shared" ca="1" si="267"/>
        <v>1E-4</v>
      </c>
      <c r="B638" s="304">
        <f t="shared" ca="1" si="268"/>
        <v>47.104000000000504</v>
      </c>
      <c r="D638" s="306">
        <f t="shared" ca="1" si="269"/>
        <v>-0.32176482328929162</v>
      </c>
      <c r="E638" s="307">
        <f t="shared" ca="1" si="270"/>
        <v>-5.0250281583217316E-2</v>
      </c>
      <c r="F638" s="304">
        <f t="shared" ca="1" si="271"/>
        <v>0.32566500012371868</v>
      </c>
      <c r="G638" s="306">
        <f t="shared" ca="1" si="272"/>
        <v>4.0397618048029535</v>
      </c>
      <c r="H638" s="307">
        <f t="shared" ca="1" si="273"/>
        <v>-122.53477364348143</v>
      </c>
      <c r="I638" s="304">
        <f t="shared" ca="1" si="274"/>
        <v>122.60134757537853</v>
      </c>
      <c r="J638" s="306">
        <f t="shared" ca="1" si="275"/>
        <v>677.64536374242232</v>
      </c>
      <c r="K638" s="307">
        <f t="shared" ca="1" si="276"/>
        <v>-10.183801381811598</v>
      </c>
      <c r="L638" s="304">
        <f t="shared" ca="1" si="261"/>
        <v>677.72188160939891</v>
      </c>
      <c r="M638" s="306">
        <f t="shared" ca="1" si="277"/>
        <v>-1.5378399747169256</v>
      </c>
      <c r="N638" s="304">
        <f t="shared" ca="1" si="278"/>
        <v>-88.111740117785061</v>
      </c>
      <c r="P638" s="310">
        <f t="shared" ca="1" si="279"/>
        <v>23</v>
      </c>
      <c r="Q638" s="304">
        <f t="shared" ca="1" si="280"/>
        <v>0</v>
      </c>
      <c r="R638" s="306">
        <f t="shared" ca="1" si="281"/>
        <v>0</v>
      </c>
      <c r="S638" s="307">
        <f t="shared" ca="1" si="282"/>
        <v>2.0842999999999985</v>
      </c>
      <c r="T638" s="304">
        <f t="shared" ca="1" si="262"/>
        <v>20.446982999999985</v>
      </c>
      <c r="U638" s="311">
        <f t="shared" ca="1" si="263"/>
        <v>0</v>
      </c>
      <c r="V638" s="306">
        <f t="shared" ca="1" si="264"/>
        <v>1.2262481512154757</v>
      </c>
      <c r="W638" s="304">
        <f t="shared" ca="1" si="265"/>
        <v>20.353324843888114</v>
      </c>
      <c r="Y638" s="314" t="str">
        <f t="shared" ca="1" si="283"/>
        <v/>
      </c>
      <c r="Z638" s="315" t="str">
        <f t="shared" ca="1" si="284"/>
        <v/>
      </c>
      <c r="AA638" s="316" t="str">
        <f t="shared" ca="1" si="285"/>
        <v/>
      </c>
      <c r="AC638" s="310" t="e">
        <f t="shared" ca="1" si="286"/>
        <v>#N/A</v>
      </c>
      <c r="AD638" s="323" t="e">
        <f t="shared" ca="1" si="287"/>
        <v>#N/A</v>
      </c>
      <c r="AE638" s="324" t="e">
        <f t="shared" ca="1" si="266"/>
        <v>#N/A</v>
      </c>
      <c r="AG638" s="306">
        <f t="shared" ca="1" si="288"/>
        <v>3.9620634547196332E-2</v>
      </c>
      <c r="AH638" s="304">
        <f t="shared" ca="1" si="289"/>
        <v>-9.7650523381927083</v>
      </c>
    </row>
    <row r="639" spans="1:34" x14ac:dyDescent="0.25">
      <c r="A639" s="347">
        <f t="shared" ca="1" si="267"/>
        <v>1E-4</v>
      </c>
      <c r="B639" s="304">
        <f t="shared" ca="1" si="268"/>
        <v>47.104100000000507</v>
      </c>
      <c r="D639" s="306">
        <f t="shared" ca="1" si="269"/>
        <v>-0.321762665139737</v>
      </c>
      <c r="E639" s="307">
        <f t="shared" ca="1" si="270"/>
        <v>-5.0237606844703464E-2</v>
      </c>
      <c r="F639" s="304">
        <f t="shared" ca="1" si="271"/>
        <v>0.32566091232954181</v>
      </c>
      <c r="G639" s="306">
        <f t="shared" ca="1" si="272"/>
        <v>4.0397296285364392</v>
      </c>
      <c r="H639" s="307">
        <f t="shared" ca="1" si="273"/>
        <v>-122.53477866724211</v>
      </c>
      <c r="I639" s="304">
        <f t="shared" ca="1" si="274"/>
        <v>122.6013515361951</v>
      </c>
      <c r="J639" s="306">
        <f t="shared" ca="1" si="275"/>
        <v>677.64536374242232</v>
      </c>
      <c r="K639" s="307">
        <f t="shared" ca="1" si="276"/>
        <v>-10.196054859427134</v>
      </c>
      <c r="L639" s="304">
        <f t="shared" ca="1" si="261"/>
        <v>677.7220658472736</v>
      </c>
      <c r="M639" s="306">
        <f t="shared" ca="1" si="277"/>
        <v>-1.5378402383708647</v>
      </c>
      <c r="N639" s="304">
        <f t="shared" ca="1" si="278"/>
        <v>-88.111755224043023</v>
      </c>
      <c r="P639" s="310">
        <f t="shared" ca="1" si="279"/>
        <v>23</v>
      </c>
      <c r="Q639" s="304">
        <f t="shared" ca="1" si="280"/>
        <v>0</v>
      </c>
      <c r="R639" s="306">
        <f t="shared" ca="1" si="281"/>
        <v>0</v>
      </c>
      <c r="S639" s="307">
        <f t="shared" ca="1" si="282"/>
        <v>2.0842999999999985</v>
      </c>
      <c r="T639" s="304">
        <f t="shared" ca="1" si="262"/>
        <v>20.446982999999985</v>
      </c>
      <c r="U639" s="311">
        <f t="shared" ca="1" si="263"/>
        <v>0</v>
      </c>
      <c r="V639" s="306">
        <f t="shared" ca="1" si="264"/>
        <v>1.2262496537972138</v>
      </c>
      <c r="W639" s="304">
        <f t="shared" ca="1" si="265"/>
        <v>20.353351098900635</v>
      </c>
      <c r="Y639" s="314" t="str">
        <f t="shared" ca="1" si="283"/>
        <v/>
      </c>
      <c r="Z639" s="315" t="str">
        <f t="shared" ca="1" si="284"/>
        <v/>
      </c>
      <c r="AA639" s="316" t="str">
        <f t="shared" ca="1" si="285"/>
        <v/>
      </c>
      <c r="AC639" s="310" t="e">
        <f t="shared" ca="1" si="286"/>
        <v>#N/A</v>
      </c>
      <c r="AD639" s="323" t="e">
        <f t="shared" ca="1" si="287"/>
        <v>#N/A</v>
      </c>
      <c r="AE639" s="324" t="e">
        <f t="shared" ca="1" si="266"/>
        <v>#N/A</v>
      </c>
      <c r="AG639" s="306">
        <f t="shared" ca="1" si="288"/>
        <v>3.9608123028804343E-2</v>
      </c>
      <c r="AH639" s="304">
        <f t="shared" ca="1" si="289"/>
        <v>-9.7650649349364915</v>
      </c>
    </row>
    <row r="640" spans="1:34" x14ac:dyDescent="0.25">
      <c r="A640" s="347">
        <f t="shared" ca="1" si="267"/>
        <v>1E-4</v>
      </c>
      <c r="B640" s="304">
        <f t="shared" ca="1" si="268"/>
        <v>47.10420000000051</v>
      </c>
      <c r="D640" s="306">
        <f t="shared" ca="1" si="269"/>
        <v>-0.32176050699816855</v>
      </c>
      <c r="E640" s="307">
        <f t="shared" ca="1" si="270"/>
        <v>-5.0224932289809843E-2</v>
      </c>
      <c r="F640" s="304">
        <f t="shared" ca="1" si="271"/>
        <v>0.32565682502787263</v>
      </c>
      <c r="G640" s="306">
        <f t="shared" ca="1" si="272"/>
        <v>4.0396974524857399</v>
      </c>
      <c r="H640" s="307">
        <f t="shared" ca="1" si="273"/>
        <v>-122.53478368973533</v>
      </c>
      <c r="I640" s="304">
        <f t="shared" ca="1" si="274"/>
        <v>122.60135549576052</v>
      </c>
      <c r="J640" s="306">
        <f t="shared" ca="1" si="275"/>
        <v>677.64536374242232</v>
      </c>
      <c r="K640" s="307">
        <f t="shared" ca="1" si="276"/>
        <v>-10.208308337544983</v>
      </c>
      <c r="L640" s="304">
        <f t="shared" ca="1" si="261"/>
        <v>677.72225030665345</v>
      </c>
      <c r="M640" s="306">
        <f t="shared" ca="1" si="277"/>
        <v>-1.5378405020226871</v>
      </c>
      <c r="N640" s="304">
        <f t="shared" ca="1" si="278"/>
        <v>-88.111770330179709</v>
      </c>
      <c r="P640" s="310">
        <f t="shared" ca="1" si="279"/>
        <v>23</v>
      </c>
      <c r="Q640" s="304">
        <f t="shared" ca="1" si="280"/>
        <v>0</v>
      </c>
      <c r="R640" s="306">
        <f t="shared" ca="1" si="281"/>
        <v>0</v>
      </c>
      <c r="S640" s="307">
        <f t="shared" ca="1" si="282"/>
        <v>2.0842999999999985</v>
      </c>
      <c r="T640" s="304">
        <f t="shared" ca="1" si="262"/>
        <v>20.446982999999985</v>
      </c>
      <c r="U640" s="311">
        <f t="shared" ca="1" si="263"/>
        <v>0</v>
      </c>
      <c r="V640" s="306">
        <f t="shared" ca="1" si="264"/>
        <v>1.2262511563808549</v>
      </c>
      <c r="W640" s="304">
        <f t="shared" ca="1" si="265"/>
        <v>20.353377353532597</v>
      </c>
      <c r="Y640" s="314" t="str">
        <f t="shared" ca="1" si="283"/>
        <v/>
      </c>
      <c r="Z640" s="315" t="str">
        <f t="shared" ca="1" si="284"/>
        <v/>
      </c>
      <c r="AA640" s="316" t="str">
        <f t="shared" ca="1" si="285"/>
        <v/>
      </c>
      <c r="AC640" s="310" t="e">
        <f t="shared" ca="1" si="286"/>
        <v>#N/A</v>
      </c>
      <c r="AD640" s="323" t="e">
        <f t="shared" ca="1" si="287"/>
        <v>#N/A</v>
      </c>
      <c r="AE640" s="324" t="e">
        <f t="shared" ca="1" si="266"/>
        <v>#N/A</v>
      </c>
      <c r="AG640" s="306">
        <f t="shared" ca="1" si="288"/>
        <v>3.9595611691627397E-2</v>
      </c>
      <c r="AH640" s="304">
        <f t="shared" ca="1" si="289"/>
        <v>-9.7650775314976972</v>
      </c>
    </row>
    <row r="641" spans="1:34" x14ac:dyDescent="0.25">
      <c r="A641" s="347">
        <f t="shared" ca="1" si="267"/>
        <v>1E-4</v>
      </c>
      <c r="B641" s="304">
        <f t="shared" ca="1" si="268"/>
        <v>47.104300000000514</v>
      </c>
      <c r="D641" s="306">
        <f t="shared" ca="1" si="269"/>
        <v>-0.3217583488645821</v>
      </c>
      <c r="E641" s="307">
        <f t="shared" ca="1" si="270"/>
        <v>-5.0212257918543557E-2</v>
      </c>
      <c r="F641" s="304">
        <f t="shared" ca="1" si="271"/>
        <v>0.32565273821870505</v>
      </c>
      <c r="G641" s="306">
        <f t="shared" ca="1" si="272"/>
        <v>4.0396652766508536</v>
      </c>
      <c r="H641" s="307">
        <f t="shared" ca="1" si="273"/>
        <v>-122.53478871096112</v>
      </c>
      <c r="I641" s="304">
        <f t="shared" ca="1" si="274"/>
        <v>122.60135945407482</v>
      </c>
      <c r="J641" s="306">
        <f t="shared" ca="1" si="275"/>
        <v>677.64536374242232</v>
      </c>
      <c r="K641" s="307">
        <f t="shared" ca="1" si="276"/>
        <v>-10.220561816165018</v>
      </c>
      <c r="L641" s="304">
        <f t="shared" ca="1" si="261"/>
        <v>677.72243498753824</v>
      </c>
      <c r="M641" s="306">
        <f t="shared" ca="1" si="277"/>
        <v>-1.5378407656723923</v>
      </c>
      <c r="N641" s="304">
        <f t="shared" ca="1" si="278"/>
        <v>-88.111785436195092</v>
      </c>
      <c r="P641" s="310">
        <f t="shared" ca="1" si="279"/>
        <v>23</v>
      </c>
      <c r="Q641" s="304">
        <f t="shared" ca="1" si="280"/>
        <v>0</v>
      </c>
      <c r="R641" s="306">
        <f t="shared" ca="1" si="281"/>
        <v>0</v>
      </c>
      <c r="S641" s="307">
        <f t="shared" ca="1" si="282"/>
        <v>2.0842999999999985</v>
      </c>
      <c r="T641" s="304">
        <f t="shared" ca="1" si="262"/>
        <v>20.446982999999985</v>
      </c>
      <c r="U641" s="311">
        <f t="shared" ca="1" si="263"/>
        <v>0</v>
      </c>
      <c r="V641" s="306">
        <f t="shared" ca="1" si="264"/>
        <v>1.2262526589664002</v>
      </c>
      <c r="W641" s="304">
        <f t="shared" ca="1" si="265"/>
        <v>20.353403607784028</v>
      </c>
      <c r="Y641" s="314" t="str">
        <f t="shared" ca="1" si="283"/>
        <v/>
      </c>
      <c r="Z641" s="315" t="str">
        <f t="shared" ca="1" si="284"/>
        <v/>
      </c>
      <c r="AA641" s="316" t="str">
        <f t="shared" ca="1" si="285"/>
        <v/>
      </c>
      <c r="AC641" s="310" t="e">
        <f t="shared" ca="1" si="286"/>
        <v>#N/A</v>
      </c>
      <c r="AD641" s="323" t="e">
        <f t="shared" ca="1" si="287"/>
        <v>#N/A</v>
      </c>
      <c r="AE641" s="324" t="e">
        <f t="shared" ca="1" si="266"/>
        <v>#N/A</v>
      </c>
      <c r="AG641" s="306">
        <f t="shared" ca="1" si="288"/>
        <v>3.9583100535663718E-2</v>
      </c>
      <c r="AH641" s="304">
        <f t="shared" ca="1" si="289"/>
        <v>-9.7650901278763182</v>
      </c>
    </row>
    <row r="642" spans="1:34" x14ac:dyDescent="0.25">
      <c r="A642" s="347">
        <f t="shared" ca="1" si="267"/>
        <v>1E-4</v>
      </c>
      <c r="B642" s="304">
        <f t="shared" ca="1" si="268"/>
        <v>47.104400000000517</v>
      </c>
      <c r="D642" s="306">
        <f t="shared" ca="1" si="269"/>
        <v>-0.32175619073898254</v>
      </c>
      <c r="E642" s="307">
        <f t="shared" ca="1" si="270"/>
        <v>-5.0199583730886843E-2</v>
      </c>
      <c r="F642" s="304">
        <f t="shared" ca="1" si="271"/>
        <v>0.32564865190203818</v>
      </c>
      <c r="G642" s="306">
        <f t="shared" ca="1" si="272"/>
        <v>4.0396331010317796</v>
      </c>
      <c r="H642" s="307">
        <f t="shared" ca="1" si="273"/>
        <v>-122.5347937309195</v>
      </c>
      <c r="I642" s="304">
        <f t="shared" ca="1" si="274"/>
        <v>122.60136341113805</v>
      </c>
      <c r="J642" s="306">
        <f t="shared" ca="1" si="275"/>
        <v>677.64536374242232</v>
      </c>
      <c r="K642" s="307">
        <f t="shared" ca="1" si="276"/>
        <v>-10.232815295287113</v>
      </c>
      <c r="L642" s="304">
        <f t="shared" ca="1" si="261"/>
        <v>677.72261988992761</v>
      </c>
      <c r="M642" s="306">
        <f t="shared" ca="1" si="277"/>
        <v>-1.5378410293199807</v>
      </c>
      <c r="N642" s="304">
        <f t="shared" ca="1" si="278"/>
        <v>-88.111800542089185</v>
      </c>
      <c r="P642" s="310">
        <f t="shared" ca="1" si="279"/>
        <v>23</v>
      </c>
      <c r="Q642" s="304">
        <f t="shared" ca="1" si="280"/>
        <v>0</v>
      </c>
      <c r="R642" s="306">
        <f t="shared" ca="1" si="281"/>
        <v>0</v>
      </c>
      <c r="S642" s="307">
        <f t="shared" ca="1" si="282"/>
        <v>2.0842999999999985</v>
      </c>
      <c r="T642" s="304">
        <f t="shared" ca="1" si="262"/>
        <v>20.446982999999985</v>
      </c>
      <c r="U642" s="311">
        <f t="shared" ca="1" si="263"/>
        <v>0</v>
      </c>
      <c r="V642" s="306">
        <f t="shared" ca="1" si="264"/>
        <v>1.2262541615538494</v>
      </c>
      <c r="W642" s="304">
        <f t="shared" ca="1" si="265"/>
        <v>20.353429861654927</v>
      </c>
      <c r="Y642" s="314" t="str">
        <f t="shared" ca="1" si="283"/>
        <v/>
      </c>
      <c r="Z642" s="315" t="str">
        <f t="shared" ca="1" si="284"/>
        <v/>
      </c>
      <c r="AA642" s="316" t="str">
        <f t="shared" ca="1" si="285"/>
        <v/>
      </c>
      <c r="AC642" s="310" t="e">
        <f t="shared" ca="1" si="286"/>
        <v>#N/A</v>
      </c>
      <c r="AD642" s="323" t="e">
        <f t="shared" ca="1" si="287"/>
        <v>#N/A</v>
      </c>
      <c r="AE642" s="324" t="e">
        <f t="shared" ca="1" si="266"/>
        <v>#N/A</v>
      </c>
      <c r="AG642" s="306">
        <f t="shared" ca="1" si="288"/>
        <v>3.9570589560909752E-2</v>
      </c>
      <c r="AH642" s="304">
        <f t="shared" ca="1" si="289"/>
        <v>-9.7651027240723707</v>
      </c>
    </row>
    <row r="643" spans="1:34" x14ac:dyDescent="0.25">
      <c r="A643" s="347">
        <f t="shared" ca="1" si="267"/>
        <v>1E-4</v>
      </c>
      <c r="B643" s="304">
        <f t="shared" ca="1" si="268"/>
        <v>47.10450000000052</v>
      </c>
      <c r="D643" s="306">
        <f t="shared" ca="1" si="269"/>
        <v>-0.32175403262136582</v>
      </c>
      <c r="E643" s="307">
        <f t="shared" ca="1" si="270"/>
        <v>-5.0186909726841478E-2</v>
      </c>
      <c r="F643" s="304">
        <f t="shared" ca="1" si="271"/>
        <v>0.32564456607786513</v>
      </c>
      <c r="G643" s="306">
        <f t="shared" ca="1" si="272"/>
        <v>4.0396009256285179</v>
      </c>
      <c r="H643" s="307">
        <f t="shared" ca="1" si="273"/>
        <v>-122.53479874961047</v>
      </c>
      <c r="I643" s="304">
        <f t="shared" ca="1" si="274"/>
        <v>122.6013673669502</v>
      </c>
      <c r="J643" s="306">
        <f t="shared" ca="1" si="275"/>
        <v>677.64536374242232</v>
      </c>
      <c r="K643" s="307">
        <f t="shared" ca="1" si="276"/>
        <v>-10.24506877491114</v>
      </c>
      <c r="L643" s="304">
        <f t="shared" ca="1" si="261"/>
        <v>677.7228050138217</v>
      </c>
      <c r="M643" s="306">
        <f t="shared" ca="1" si="277"/>
        <v>-1.5378412929654519</v>
      </c>
      <c r="N643" s="304">
        <f t="shared" ca="1" si="278"/>
        <v>-88.111815647861974</v>
      </c>
      <c r="P643" s="310">
        <f t="shared" ca="1" si="279"/>
        <v>23</v>
      </c>
      <c r="Q643" s="304">
        <f t="shared" ca="1" si="280"/>
        <v>0</v>
      </c>
      <c r="R643" s="306">
        <f t="shared" ca="1" si="281"/>
        <v>0</v>
      </c>
      <c r="S643" s="307">
        <f t="shared" ca="1" si="282"/>
        <v>2.0842999999999985</v>
      </c>
      <c r="T643" s="304">
        <f t="shared" ca="1" si="262"/>
        <v>20.446982999999985</v>
      </c>
      <c r="U643" s="311">
        <f t="shared" ca="1" si="263"/>
        <v>0</v>
      </c>
      <c r="V643" s="306">
        <f t="shared" ca="1" si="264"/>
        <v>1.2262556641432021</v>
      </c>
      <c r="W643" s="304">
        <f t="shared" ca="1" si="265"/>
        <v>20.353456115145299</v>
      </c>
      <c r="Y643" s="314" t="str">
        <f t="shared" ca="1" si="283"/>
        <v/>
      </c>
      <c r="Z643" s="315" t="str">
        <f t="shared" ca="1" si="284"/>
        <v/>
      </c>
      <c r="AA643" s="316" t="str">
        <f t="shared" ca="1" si="285"/>
        <v/>
      </c>
      <c r="AC643" s="310" t="e">
        <f t="shared" ca="1" si="286"/>
        <v>#N/A</v>
      </c>
      <c r="AD643" s="323" t="e">
        <f t="shared" ca="1" si="287"/>
        <v>#N/A</v>
      </c>
      <c r="AE643" s="324" t="e">
        <f t="shared" ca="1" si="266"/>
        <v>#N/A</v>
      </c>
      <c r="AG643" s="306">
        <f t="shared" ca="1" si="288"/>
        <v>3.9558078767356619E-2</v>
      </c>
      <c r="AH643" s="304">
        <f t="shared" ca="1" si="289"/>
        <v>-9.7651153200858527</v>
      </c>
    </row>
    <row r="644" spans="1:34" x14ac:dyDescent="0.25">
      <c r="A644" s="347">
        <f t="shared" ca="1" si="267"/>
        <v>1E-4</v>
      </c>
      <c r="B644" s="304">
        <f t="shared" ca="1" si="268"/>
        <v>47.104600000000524</v>
      </c>
      <c r="D644" s="306">
        <f t="shared" ca="1" si="269"/>
        <v>-0.32175187451173654</v>
      </c>
      <c r="E644" s="307">
        <f t="shared" ca="1" si="270"/>
        <v>-5.0174235906407461E-2</v>
      </c>
      <c r="F644" s="304">
        <f t="shared" ca="1" si="271"/>
        <v>0.32564048074618746</v>
      </c>
      <c r="G644" s="306">
        <f t="shared" ca="1" si="272"/>
        <v>4.0395687504410667</v>
      </c>
      <c r="H644" s="307">
        <f t="shared" ca="1" si="273"/>
        <v>-122.53480376703406</v>
      </c>
      <c r="I644" s="304">
        <f t="shared" ca="1" si="274"/>
        <v>122.60137132151127</v>
      </c>
      <c r="J644" s="306">
        <f t="shared" ca="1" si="275"/>
        <v>677.64536374242232</v>
      </c>
      <c r="K644" s="307">
        <f t="shared" ca="1" si="276"/>
        <v>-10.257322255036971</v>
      </c>
      <c r="L644" s="304">
        <f t="shared" ref="L644:L707" ca="1" si="290">SQRT(pos_x^2+pos_z^2)</f>
        <v>677.72299035922003</v>
      </c>
      <c r="M644" s="306">
        <f t="shared" ca="1" si="277"/>
        <v>-1.5378415566088064</v>
      </c>
      <c r="N644" s="304">
        <f t="shared" ca="1" si="278"/>
        <v>-88.111830753513473</v>
      </c>
      <c r="P644" s="310">
        <f t="shared" ca="1" si="279"/>
        <v>23</v>
      </c>
      <c r="Q644" s="304">
        <f t="shared" ca="1" si="280"/>
        <v>0</v>
      </c>
      <c r="R644" s="306">
        <f t="shared" ca="1" si="281"/>
        <v>0</v>
      </c>
      <c r="S644" s="307">
        <f t="shared" ca="1" si="282"/>
        <v>2.0842999999999985</v>
      </c>
      <c r="T644" s="304">
        <f t="shared" ref="T644:T707" ca="1" si="291">m*g</f>
        <v>20.446982999999985</v>
      </c>
      <c r="U644" s="311">
        <f t="shared" ref="U644:U707" ca="1" si="292">IF(pos_xz&lt;L_rampe,Poids*COS(Beta),0)</f>
        <v>0</v>
      </c>
      <c r="V644" s="306">
        <f t="shared" ref="V644:V707" ca="1" si="293">Rho_moyen*(20000-Alt_rampe-pos_z)/(20000+Alt_rampe+pos_z)</f>
        <v>1.2262571667344584</v>
      </c>
      <c r="W644" s="304">
        <f t="shared" ref="W644:W707" ca="1" si="294">1/2*Rho*Sref*Cx*vit_xz^2</f>
        <v>20.353482368255129</v>
      </c>
      <c r="Y644" s="314" t="str">
        <f t="shared" ca="1" si="283"/>
        <v/>
      </c>
      <c r="Z644" s="315" t="str">
        <f t="shared" ca="1" si="284"/>
        <v/>
      </c>
      <c r="AA644" s="316" t="str">
        <f t="shared" ca="1" si="285"/>
        <v/>
      </c>
      <c r="AC644" s="310" t="e">
        <f t="shared" ca="1" si="286"/>
        <v>#N/A</v>
      </c>
      <c r="AD644" s="323" t="e">
        <f t="shared" ca="1" si="287"/>
        <v>#N/A</v>
      </c>
      <c r="AE644" s="324" t="e">
        <f t="shared" ref="AE644:AE707" ca="1" si="295">IF(t&lt;T_para, pos_z, NA())</f>
        <v>#N/A</v>
      </c>
      <c r="AG644" s="306">
        <f t="shared" ca="1" si="288"/>
        <v>3.9545568155006094E-2</v>
      </c>
      <c r="AH644" s="304">
        <f t="shared" ca="1" si="289"/>
        <v>-9.7651279159167661</v>
      </c>
    </row>
    <row r="645" spans="1:34" x14ac:dyDescent="0.25">
      <c r="A645" s="347">
        <f t="shared" ref="A645:A708" ca="1" si="296">IF(B644+0.01&lt;=T_ini+ROUNDUP(Temps_fin_propu,0), 0.01, IF(K644&gt;0, 0.1, 0.0001))</f>
        <v>1E-4</v>
      </c>
      <c r="B645" s="304">
        <f t="shared" ref="B645:B708" ca="1" si="297">B644+pas</f>
        <v>47.104700000000527</v>
      </c>
      <c r="D645" s="306">
        <f t="shared" ref="D645:D708" ca="1" si="298">IF(AND(L644&lt;L_rampe,Poussee&lt;Poids*SIN(M644)),0,(-W644+Poussee)/m*COS(M644)-U644/m*SIN(M644))</f>
        <v>-0.3217497164100902</v>
      </c>
      <c r="E645" s="307">
        <f t="shared" ref="E645:E708" ca="1" si="299">IF(AND(L644&lt;L_rampe,Poussee&lt;Poids*SIN(M644)),0,(-W644+Poussee)/m*SIN(M644)+U644/m*COS(M644)-Poids/m)</f>
        <v>-5.0161562269590121E-2</v>
      </c>
      <c r="F645" s="304">
        <f t="shared" ref="F645:F708" ca="1" si="300">SQRT(acc_x^2+acc_z^2)</f>
        <v>0.32563639590699844</v>
      </c>
      <c r="G645" s="306">
        <f t="shared" ref="G645:G708" ca="1" si="301">G644+acc_x*pas</f>
        <v>4.0395365754694259</v>
      </c>
      <c r="H645" s="307">
        <f t="shared" ref="H645:H708" ca="1" si="302">H644+acc_z*pas</f>
        <v>-122.53480878319029</v>
      </c>
      <c r="I645" s="304">
        <f t="shared" ref="I645:I708" ca="1" si="303">SQRT(vit_x^2+vit_z^2)</f>
        <v>122.60137527482129</v>
      </c>
      <c r="J645" s="306">
        <f t="shared" ref="J645:J708" ca="1" si="304">J644+0.5*(vit_x+G644)*pas*(K644&gt;=0)</f>
        <v>677.64536374242232</v>
      </c>
      <c r="K645" s="307">
        <f t="shared" ref="K645:K708" ca="1" si="305">K644+0.5*(vit_z+H644)*pas</f>
        <v>-10.269575735664482</v>
      </c>
      <c r="L645" s="304">
        <f t="shared" ca="1" si="290"/>
        <v>677.72317592612285</v>
      </c>
      <c r="M645" s="306">
        <f t="shared" ref="M645:M708" ca="1" si="306">IF(AND(L644&gt;L_rampe,G645&gt;0),ATAN2(G645,H645),$M$4)</f>
        <v>-1.5378418202500439</v>
      </c>
      <c r="N645" s="304">
        <f t="shared" ref="N645:N708" ca="1" si="307">DEGREES(Beta)</f>
        <v>-88.111845859043697</v>
      </c>
      <c r="P645" s="310">
        <f t="shared" ref="P645:P708" ca="1" si="308">MATCH(t-pas/2-T_ini,CdP_t)</f>
        <v>23</v>
      </c>
      <c r="Q645" s="304">
        <f t="shared" ref="Q645:Q708" ca="1" si="309">(INDEX(CdP,2,i_P+1)-INDEX(CdP,2,i_P+0))/(INDEX(CdP,1,i_P+1)-INDEX(CdP,1,i_P+0))*(t-pas/2-T_ini-INDEX(CdP,1,i_P+0))+INDEX(CdP,2,i_P+0)</f>
        <v>0</v>
      </c>
      <c r="R645" s="306">
        <f t="shared" ref="R645:R708" ca="1" si="310">Poussee/(g*ISP)</f>
        <v>0</v>
      </c>
      <c r="S645" s="307">
        <f t="shared" ref="S645:S708" ca="1" si="311">S644-Débit*pas</f>
        <v>2.0842999999999985</v>
      </c>
      <c r="T645" s="304">
        <f t="shared" ca="1" si="291"/>
        <v>20.446982999999985</v>
      </c>
      <c r="U645" s="311">
        <f t="shared" ca="1" si="292"/>
        <v>0</v>
      </c>
      <c r="V645" s="306">
        <f t="shared" ca="1" si="293"/>
        <v>1.2262586693276181</v>
      </c>
      <c r="W645" s="304">
        <f t="shared" ca="1" si="294"/>
        <v>20.353508620984439</v>
      </c>
      <c r="Y645" s="314" t="str">
        <f t="shared" ref="Y645:Y708" ca="1" si="312">IF(AND(pos_z&lt;=0,K644&gt;0),"Impact balistique","") &amp; IF(AND(H646&lt;0,vit_z&gt;=0),"Apogée","") &amp; IF(AND(Poussee=0,Q644&gt;0),"Fin de propulsion","") &amp; IF(AND(L646&gt;L_rampe,pos_xz&lt;=L_rampe),"Sortie de rampe","")</f>
        <v/>
      </c>
      <c r="Z645" s="315" t="str">
        <f t="shared" ref="Z645:Z708" ca="1" si="313">IF(ABS(t-T_para)&lt;pas/2,"Para","")</f>
        <v/>
      </c>
      <c r="AA645" s="316" t="str">
        <f t="shared" ref="AA645:AA708" ca="1" si="314">IF(ABS(t-T_satellite)&lt;pas/2,"Satellite","")</f>
        <v/>
      </c>
      <c r="AC645" s="310" t="e">
        <f t="shared" ref="AC645:AC708" ca="1" si="315">IF(ABS(t-ROUND(t,0))&lt;0.001,t,NA())</f>
        <v>#N/A</v>
      </c>
      <c r="AD645" s="323" t="e">
        <f t="shared" ref="AD645:AD708" ca="1" si="316">IF(ABS(t-ROUND(t,0))&lt;0.001,pos_x,NA())</f>
        <v>#N/A</v>
      </c>
      <c r="AE645" s="324" t="e">
        <f t="shared" ca="1" si="295"/>
        <v>#N/A</v>
      </c>
      <c r="AG645" s="306">
        <f t="shared" ref="AG645:AG708" ca="1" si="317">IF(AND(L644&lt;L_rampe,Poussee&lt;Poids*SIN(M644)),0,(-W644+Poussee)/m-Poids*SIN(M644)/m)</f>
        <v>3.953305772386706E-2</v>
      </c>
      <c r="AH645" s="304">
        <f t="shared" ref="AH645:AH708" ca="1" si="318">IF(AND(L644&lt;L_rampe,Poussee&lt;Poids*SIN(M644)), g*SIN(M644), (-W644+Poussee)/m)</f>
        <v>-9.765140511565102</v>
      </c>
    </row>
    <row r="646" spans="1:34" x14ac:dyDescent="0.25">
      <c r="A646" s="347">
        <f t="shared" ca="1" si="296"/>
        <v>1E-4</v>
      </c>
      <c r="B646" s="304">
        <f t="shared" ca="1" si="297"/>
        <v>47.10480000000053</v>
      </c>
      <c r="D646" s="306">
        <f t="shared" ca="1" si="298"/>
        <v>-0.32174755831642982</v>
      </c>
      <c r="E646" s="307">
        <f t="shared" ca="1" si="299"/>
        <v>-5.0148888816380577E-2</v>
      </c>
      <c r="F646" s="304">
        <f t="shared" ca="1" si="300"/>
        <v>0.32563231156029665</v>
      </c>
      <c r="G646" s="306">
        <f t="shared" ca="1" si="301"/>
        <v>4.0395044007135938</v>
      </c>
      <c r="H646" s="307">
        <f t="shared" ca="1" si="302"/>
        <v>-122.53481379807917</v>
      </c>
      <c r="I646" s="304">
        <f t="shared" ca="1" si="303"/>
        <v>122.6013792268803</v>
      </c>
      <c r="J646" s="306">
        <f t="shared" ca="1" si="304"/>
        <v>677.64536374242232</v>
      </c>
      <c r="K646" s="307">
        <f t="shared" ca="1" si="305"/>
        <v>-10.281829216793545</v>
      </c>
      <c r="L646" s="304">
        <f t="shared" ca="1" si="290"/>
        <v>677.72336171452957</v>
      </c>
      <c r="M646" s="306">
        <f t="shared" ca="1" si="306"/>
        <v>-1.5378420838891644</v>
      </c>
      <c r="N646" s="304">
        <f t="shared" ca="1" si="307"/>
        <v>-88.111860964452617</v>
      </c>
      <c r="P646" s="310">
        <f t="shared" ca="1" si="308"/>
        <v>23</v>
      </c>
      <c r="Q646" s="304">
        <f t="shared" ca="1" si="309"/>
        <v>0</v>
      </c>
      <c r="R646" s="306">
        <f t="shared" ca="1" si="310"/>
        <v>0</v>
      </c>
      <c r="S646" s="307">
        <f t="shared" ca="1" si="311"/>
        <v>2.0842999999999985</v>
      </c>
      <c r="T646" s="304">
        <f t="shared" ca="1" si="291"/>
        <v>20.446982999999985</v>
      </c>
      <c r="U646" s="311">
        <f t="shared" ca="1" si="292"/>
        <v>0</v>
      </c>
      <c r="V646" s="306">
        <f t="shared" ca="1" si="293"/>
        <v>1.226260171922682</v>
      </c>
      <c r="W646" s="304">
        <f t="shared" ca="1" si="294"/>
        <v>20.353534873333231</v>
      </c>
      <c r="Y646" s="314" t="str">
        <f t="shared" ca="1" si="312"/>
        <v/>
      </c>
      <c r="Z646" s="315" t="str">
        <f t="shared" ca="1" si="313"/>
        <v/>
      </c>
      <c r="AA646" s="316" t="str">
        <f t="shared" ca="1" si="314"/>
        <v/>
      </c>
      <c r="AC646" s="310" t="e">
        <f t="shared" ca="1" si="315"/>
        <v>#N/A</v>
      </c>
      <c r="AD646" s="323" t="e">
        <f t="shared" ca="1" si="316"/>
        <v>#N/A</v>
      </c>
      <c r="AE646" s="324" t="e">
        <f t="shared" ca="1" si="295"/>
        <v>#N/A</v>
      </c>
      <c r="AG646" s="306">
        <f t="shared" ca="1" si="317"/>
        <v>3.9520547473927081E-2</v>
      </c>
      <c r="AH646" s="304">
        <f t="shared" ca="1" si="318"/>
        <v>-9.7651531070308746</v>
      </c>
    </row>
    <row r="647" spans="1:34" x14ac:dyDescent="0.25">
      <c r="A647" s="347">
        <f t="shared" ca="1" si="296"/>
        <v>1E-4</v>
      </c>
      <c r="B647" s="304">
        <f t="shared" ca="1" si="297"/>
        <v>47.104900000000534</v>
      </c>
      <c r="D647" s="306">
        <f t="shared" ca="1" si="298"/>
        <v>-0.32174540023075543</v>
      </c>
      <c r="E647" s="307">
        <f t="shared" ca="1" si="299"/>
        <v>-5.0136215546773499E-2</v>
      </c>
      <c r="F647" s="304">
        <f t="shared" ca="1" si="300"/>
        <v>0.32562822770607824</v>
      </c>
      <c r="G647" s="306">
        <f t="shared" ca="1" si="301"/>
        <v>4.0394722261735705</v>
      </c>
      <c r="H647" s="307">
        <f t="shared" ca="1" si="302"/>
        <v>-122.53481881170073</v>
      </c>
      <c r="I647" s="304">
        <f t="shared" ca="1" si="303"/>
        <v>122.60138317768832</v>
      </c>
      <c r="J647" s="306">
        <f t="shared" ca="1" si="304"/>
        <v>677.64536374242232</v>
      </c>
      <c r="K647" s="307">
        <f t="shared" ca="1" si="305"/>
        <v>-10.294082698424035</v>
      </c>
      <c r="L647" s="304">
        <f t="shared" ca="1" si="290"/>
        <v>677.72354772444044</v>
      </c>
      <c r="M647" s="306">
        <f t="shared" ca="1" si="306"/>
        <v>-1.5378423475261682</v>
      </c>
      <c r="N647" s="304">
        <f t="shared" ca="1" si="307"/>
        <v>-88.111876069740248</v>
      </c>
      <c r="P647" s="310">
        <f t="shared" ca="1" si="308"/>
        <v>23</v>
      </c>
      <c r="Q647" s="304">
        <f t="shared" ca="1" si="309"/>
        <v>0</v>
      </c>
      <c r="R647" s="306">
        <f t="shared" ca="1" si="310"/>
        <v>0</v>
      </c>
      <c r="S647" s="307">
        <f t="shared" ca="1" si="311"/>
        <v>2.0842999999999985</v>
      </c>
      <c r="T647" s="304">
        <f t="shared" ca="1" si="291"/>
        <v>20.446982999999985</v>
      </c>
      <c r="U647" s="311">
        <f t="shared" ca="1" si="292"/>
        <v>0</v>
      </c>
      <c r="V647" s="306">
        <f t="shared" ca="1" si="293"/>
        <v>1.2262616745196491</v>
      </c>
      <c r="W647" s="304">
        <f t="shared" ca="1" si="294"/>
        <v>20.353561125301518</v>
      </c>
      <c r="Y647" s="314" t="str">
        <f t="shared" ca="1" si="312"/>
        <v/>
      </c>
      <c r="Z647" s="315" t="str">
        <f t="shared" ca="1" si="313"/>
        <v/>
      </c>
      <c r="AA647" s="316" t="str">
        <f t="shared" ca="1" si="314"/>
        <v/>
      </c>
      <c r="AC647" s="310" t="e">
        <f t="shared" ca="1" si="315"/>
        <v>#N/A</v>
      </c>
      <c r="AD647" s="323" t="e">
        <f t="shared" ca="1" si="316"/>
        <v>#N/A</v>
      </c>
      <c r="AE647" s="324" t="e">
        <f t="shared" ca="1" si="295"/>
        <v>#N/A</v>
      </c>
      <c r="AG647" s="306">
        <f t="shared" ca="1" si="317"/>
        <v>3.9508037405182606E-2</v>
      </c>
      <c r="AH647" s="304">
        <f t="shared" ca="1" si="318"/>
        <v>-9.7651657023140839</v>
      </c>
    </row>
    <row r="648" spans="1:34" x14ac:dyDescent="0.25">
      <c r="A648" s="347">
        <f t="shared" ca="1" si="296"/>
        <v>1E-4</v>
      </c>
      <c r="B648" s="304">
        <f t="shared" ca="1" si="297"/>
        <v>47.105000000000537</v>
      </c>
      <c r="D648" s="306">
        <f t="shared" ca="1" si="298"/>
        <v>-0.32174324215306543</v>
      </c>
      <c r="E648" s="307">
        <f t="shared" ca="1" si="299"/>
        <v>-5.0123542460767112E-2</v>
      </c>
      <c r="F648" s="304">
        <f t="shared" ca="1" si="300"/>
        <v>0.32562414434433823</v>
      </c>
      <c r="G648" s="306">
        <f t="shared" ca="1" si="301"/>
        <v>4.039440051849355</v>
      </c>
      <c r="H648" s="307">
        <f t="shared" ca="1" si="302"/>
        <v>-122.53482382405498</v>
      </c>
      <c r="I648" s="304">
        <f t="shared" ca="1" si="303"/>
        <v>122.60138712724533</v>
      </c>
      <c r="J648" s="306">
        <f t="shared" ca="1" si="304"/>
        <v>677.64536374242232</v>
      </c>
      <c r="K648" s="307">
        <f t="shared" ca="1" si="305"/>
        <v>-10.306336180555823</v>
      </c>
      <c r="L648" s="304">
        <f t="shared" ca="1" si="290"/>
        <v>677.72373395585498</v>
      </c>
      <c r="M648" s="306">
        <f t="shared" ca="1" si="306"/>
        <v>-1.537842611161055</v>
      </c>
      <c r="N648" s="304">
        <f t="shared" ca="1" si="307"/>
        <v>-88.111891174906603</v>
      </c>
      <c r="P648" s="310">
        <f t="shared" ca="1" si="308"/>
        <v>23</v>
      </c>
      <c r="Q648" s="304">
        <f t="shared" ca="1" si="309"/>
        <v>0</v>
      </c>
      <c r="R648" s="306">
        <f t="shared" ca="1" si="310"/>
        <v>0</v>
      </c>
      <c r="S648" s="307">
        <f t="shared" ca="1" si="311"/>
        <v>2.0842999999999985</v>
      </c>
      <c r="T648" s="304">
        <f t="shared" ca="1" si="291"/>
        <v>20.446982999999985</v>
      </c>
      <c r="U648" s="311">
        <f t="shared" ca="1" si="292"/>
        <v>0</v>
      </c>
      <c r="V648" s="306">
        <f t="shared" ca="1" si="293"/>
        <v>1.22626317711852</v>
      </c>
      <c r="W648" s="304">
        <f t="shared" ca="1" si="294"/>
        <v>20.353587376889283</v>
      </c>
      <c r="Y648" s="314" t="str">
        <f t="shared" ca="1" si="312"/>
        <v/>
      </c>
      <c r="Z648" s="315" t="str">
        <f t="shared" ca="1" si="313"/>
        <v/>
      </c>
      <c r="AA648" s="316" t="str">
        <f t="shared" ca="1" si="314"/>
        <v/>
      </c>
      <c r="AC648" s="310" t="e">
        <f t="shared" ca="1" si="315"/>
        <v>#N/A</v>
      </c>
      <c r="AD648" s="323" t="e">
        <f t="shared" ca="1" si="316"/>
        <v>#N/A</v>
      </c>
      <c r="AE648" s="324" t="e">
        <f t="shared" ca="1" si="295"/>
        <v>#N/A</v>
      </c>
      <c r="AG648" s="306">
        <f t="shared" ca="1" si="317"/>
        <v>3.9495527517633633E-2</v>
      </c>
      <c r="AH648" s="304">
        <f t="shared" ca="1" si="318"/>
        <v>-9.7651782974147352</v>
      </c>
    </row>
    <row r="649" spans="1:34" x14ac:dyDescent="0.25">
      <c r="A649" s="347">
        <f t="shared" ca="1" si="296"/>
        <v>1E-4</v>
      </c>
      <c r="B649" s="304">
        <f t="shared" ca="1" si="297"/>
        <v>47.10510000000054</v>
      </c>
      <c r="D649" s="306">
        <f t="shared" ca="1" si="298"/>
        <v>-0.32174108408336194</v>
      </c>
      <c r="E649" s="307">
        <f t="shared" ca="1" si="299"/>
        <v>-5.0110869558366744E-2</v>
      </c>
      <c r="F649" s="304">
        <f t="shared" ca="1" si="300"/>
        <v>0.32562006147507655</v>
      </c>
      <c r="G649" s="306">
        <f t="shared" ca="1" si="301"/>
        <v>4.0394078777409463</v>
      </c>
      <c r="H649" s="307">
        <f t="shared" ca="1" si="302"/>
        <v>-122.53482883514194</v>
      </c>
      <c r="I649" s="304">
        <f t="shared" ca="1" si="303"/>
        <v>122.60139107555138</v>
      </c>
      <c r="J649" s="306">
        <f t="shared" ca="1" si="304"/>
        <v>677.64536374242232</v>
      </c>
      <c r="K649" s="307">
        <f t="shared" ca="1" si="305"/>
        <v>-10.318589663188783</v>
      </c>
      <c r="L649" s="304">
        <f t="shared" ca="1" si="290"/>
        <v>677.72392040877321</v>
      </c>
      <c r="M649" s="306">
        <f t="shared" ca="1" si="306"/>
        <v>-1.5378428747938251</v>
      </c>
      <c r="N649" s="304">
        <f t="shared" ca="1" si="307"/>
        <v>-88.111906279951668</v>
      </c>
      <c r="P649" s="310">
        <f t="shared" ca="1" si="308"/>
        <v>23</v>
      </c>
      <c r="Q649" s="304">
        <f t="shared" ca="1" si="309"/>
        <v>0</v>
      </c>
      <c r="R649" s="306">
        <f t="shared" ca="1" si="310"/>
        <v>0</v>
      </c>
      <c r="S649" s="307">
        <f t="shared" ca="1" si="311"/>
        <v>2.0842999999999985</v>
      </c>
      <c r="T649" s="304">
        <f t="shared" ca="1" si="291"/>
        <v>20.446982999999985</v>
      </c>
      <c r="U649" s="311">
        <f t="shared" ca="1" si="292"/>
        <v>0</v>
      </c>
      <c r="V649" s="306">
        <f t="shared" ca="1" si="293"/>
        <v>1.2262646797192944</v>
      </c>
      <c r="W649" s="304">
        <f t="shared" ca="1" si="294"/>
        <v>20.353613628096547</v>
      </c>
      <c r="Y649" s="314" t="str">
        <f t="shared" ca="1" si="312"/>
        <v/>
      </c>
      <c r="Z649" s="315" t="str">
        <f t="shared" ca="1" si="313"/>
        <v/>
      </c>
      <c r="AA649" s="316" t="str">
        <f t="shared" ca="1" si="314"/>
        <v/>
      </c>
      <c r="AC649" s="310" t="e">
        <f t="shared" ca="1" si="315"/>
        <v>#N/A</v>
      </c>
      <c r="AD649" s="323" t="e">
        <f t="shared" ca="1" si="316"/>
        <v>#N/A</v>
      </c>
      <c r="AE649" s="324" t="e">
        <f t="shared" ca="1" si="295"/>
        <v>#N/A</v>
      </c>
      <c r="AG649" s="306">
        <f t="shared" ca="1" si="317"/>
        <v>3.948301781128194E-2</v>
      </c>
      <c r="AH649" s="304">
        <f t="shared" ca="1" si="318"/>
        <v>-9.7651908923328214</v>
      </c>
    </row>
    <row r="650" spans="1:34" x14ac:dyDescent="0.25">
      <c r="A650" s="347">
        <f t="shared" ca="1" si="296"/>
        <v>1E-4</v>
      </c>
      <c r="B650" s="304">
        <f t="shared" ca="1" si="297"/>
        <v>47.105200000000544</v>
      </c>
      <c r="D650" s="306">
        <f t="shared" ca="1" si="298"/>
        <v>-0.32173892602164322</v>
      </c>
      <c r="E650" s="307">
        <f t="shared" ca="1" si="299"/>
        <v>-5.0098196839567066E-2</v>
      </c>
      <c r="F650" s="304">
        <f t="shared" ca="1" si="300"/>
        <v>0.32561597909828754</v>
      </c>
      <c r="G650" s="306">
        <f t="shared" ca="1" si="301"/>
        <v>4.0393757038483438</v>
      </c>
      <c r="H650" s="307">
        <f t="shared" ca="1" si="302"/>
        <v>-122.53483384496163</v>
      </c>
      <c r="I650" s="304">
        <f t="shared" ca="1" si="303"/>
        <v>122.60139502260647</v>
      </c>
      <c r="J650" s="306">
        <f t="shared" ca="1" si="304"/>
        <v>677.64536374242232</v>
      </c>
      <c r="K650" s="307">
        <f t="shared" ca="1" si="305"/>
        <v>-10.330843146322788</v>
      </c>
      <c r="L650" s="304">
        <f t="shared" ca="1" si="290"/>
        <v>677.72410708319489</v>
      </c>
      <c r="M650" s="306">
        <f t="shared" ca="1" si="306"/>
        <v>-1.5378431384244784</v>
      </c>
      <c r="N650" s="304">
        <f t="shared" ca="1" si="307"/>
        <v>-88.111921384875458</v>
      </c>
      <c r="P650" s="310">
        <f t="shared" ca="1" si="308"/>
        <v>23</v>
      </c>
      <c r="Q650" s="304">
        <f t="shared" ca="1" si="309"/>
        <v>0</v>
      </c>
      <c r="R650" s="306">
        <f t="shared" ca="1" si="310"/>
        <v>0</v>
      </c>
      <c r="S650" s="307">
        <f t="shared" ca="1" si="311"/>
        <v>2.0842999999999985</v>
      </c>
      <c r="T650" s="304">
        <f t="shared" ca="1" si="291"/>
        <v>20.446982999999985</v>
      </c>
      <c r="U650" s="311">
        <f t="shared" ca="1" si="292"/>
        <v>0</v>
      </c>
      <c r="V650" s="306">
        <f t="shared" ca="1" si="293"/>
        <v>1.2262661823219729</v>
      </c>
      <c r="W650" s="304">
        <f t="shared" ca="1" si="294"/>
        <v>20.353639878923314</v>
      </c>
      <c r="Y650" s="314" t="str">
        <f t="shared" ca="1" si="312"/>
        <v/>
      </c>
      <c r="Z650" s="315" t="str">
        <f t="shared" ca="1" si="313"/>
        <v/>
      </c>
      <c r="AA650" s="316" t="str">
        <f t="shared" ca="1" si="314"/>
        <v/>
      </c>
      <c r="AC650" s="310" t="e">
        <f t="shared" ca="1" si="315"/>
        <v>#N/A</v>
      </c>
      <c r="AD650" s="323" t="e">
        <f t="shared" ca="1" si="316"/>
        <v>#N/A</v>
      </c>
      <c r="AE650" s="324" t="e">
        <f t="shared" ca="1" si="295"/>
        <v>#N/A</v>
      </c>
      <c r="AG650" s="306">
        <f t="shared" ca="1" si="317"/>
        <v>3.9470508286122197E-2</v>
      </c>
      <c r="AH650" s="304">
        <f t="shared" ca="1" si="318"/>
        <v>-9.7652034870683497</v>
      </c>
    </row>
    <row r="651" spans="1:34" x14ac:dyDescent="0.25">
      <c r="A651" s="347">
        <f t="shared" ca="1" si="296"/>
        <v>1E-4</v>
      </c>
      <c r="B651" s="304">
        <f t="shared" ca="1" si="297"/>
        <v>47.105300000000547</v>
      </c>
      <c r="D651" s="306">
        <f t="shared" ca="1" si="298"/>
        <v>-0.32173676796790968</v>
      </c>
      <c r="E651" s="307">
        <f t="shared" ca="1" si="299"/>
        <v>-5.0085524304359197E-2</v>
      </c>
      <c r="F651" s="304">
        <f t="shared" ca="1" si="300"/>
        <v>0.32561189721396716</v>
      </c>
      <c r="G651" s="306">
        <f t="shared" ca="1" si="301"/>
        <v>4.0393435301715472</v>
      </c>
      <c r="H651" s="307">
        <f t="shared" ca="1" si="302"/>
        <v>-122.53483885351406</v>
      </c>
      <c r="I651" s="304">
        <f t="shared" ca="1" si="303"/>
        <v>122.60139896841062</v>
      </c>
      <c r="J651" s="306">
        <f t="shared" ca="1" si="304"/>
        <v>677.64536374242232</v>
      </c>
      <c r="K651" s="307">
        <f t="shared" ca="1" si="305"/>
        <v>-10.343096629957712</v>
      </c>
      <c r="L651" s="304">
        <f t="shared" ca="1" si="290"/>
        <v>677.72429397911992</v>
      </c>
      <c r="M651" s="306">
        <f t="shared" ca="1" si="306"/>
        <v>-1.537843402053015</v>
      </c>
      <c r="N651" s="304">
        <f t="shared" ca="1" si="307"/>
        <v>-88.111936489677959</v>
      </c>
      <c r="P651" s="310">
        <f t="shared" ca="1" si="308"/>
        <v>23</v>
      </c>
      <c r="Q651" s="304">
        <f t="shared" ca="1" si="309"/>
        <v>0</v>
      </c>
      <c r="R651" s="306">
        <f t="shared" ca="1" si="310"/>
        <v>0</v>
      </c>
      <c r="S651" s="307">
        <f t="shared" ca="1" si="311"/>
        <v>2.0842999999999985</v>
      </c>
      <c r="T651" s="304">
        <f t="shared" ca="1" si="291"/>
        <v>20.446982999999985</v>
      </c>
      <c r="U651" s="311">
        <f t="shared" ca="1" si="292"/>
        <v>0</v>
      </c>
      <c r="V651" s="306">
        <f t="shared" ca="1" si="293"/>
        <v>1.2262676849265544</v>
      </c>
      <c r="W651" s="304">
        <f t="shared" ca="1" si="294"/>
        <v>20.353666129369572</v>
      </c>
      <c r="Y651" s="314" t="str">
        <f t="shared" ca="1" si="312"/>
        <v/>
      </c>
      <c r="Z651" s="315" t="str">
        <f t="shared" ca="1" si="313"/>
        <v/>
      </c>
      <c r="AA651" s="316" t="str">
        <f t="shared" ca="1" si="314"/>
        <v/>
      </c>
      <c r="AC651" s="310" t="e">
        <f t="shared" ca="1" si="315"/>
        <v>#N/A</v>
      </c>
      <c r="AD651" s="323" t="e">
        <f t="shared" ca="1" si="316"/>
        <v>#N/A</v>
      </c>
      <c r="AE651" s="324" t="e">
        <f t="shared" ca="1" si="295"/>
        <v>#N/A</v>
      </c>
      <c r="AG651" s="306">
        <f t="shared" ca="1" si="317"/>
        <v>3.9457998942150851E-2</v>
      </c>
      <c r="AH651" s="304">
        <f t="shared" ca="1" si="318"/>
        <v>-9.7652160816213254</v>
      </c>
    </row>
    <row r="652" spans="1:34" x14ac:dyDescent="0.25">
      <c r="A652" s="347">
        <f t="shared" ca="1" si="296"/>
        <v>1E-4</v>
      </c>
      <c r="B652" s="304">
        <f t="shared" ca="1" si="297"/>
        <v>47.10540000000055</v>
      </c>
      <c r="D652" s="306">
        <f t="shared" ca="1" si="298"/>
        <v>-0.3217346099221613</v>
      </c>
      <c r="E652" s="307">
        <f t="shared" ca="1" si="299"/>
        <v>-5.0072851952753794E-2</v>
      </c>
      <c r="F652" s="304">
        <f t="shared" ca="1" si="300"/>
        <v>0.32560781582211396</v>
      </c>
      <c r="G652" s="306">
        <f t="shared" ca="1" si="301"/>
        <v>4.039311356710555</v>
      </c>
      <c r="H652" s="307">
        <f t="shared" ca="1" si="302"/>
        <v>-122.53484386079926</v>
      </c>
      <c r="I652" s="304">
        <f t="shared" ca="1" si="303"/>
        <v>122.60140291296386</v>
      </c>
      <c r="J652" s="306">
        <f t="shared" ca="1" si="304"/>
        <v>677.64536374242232</v>
      </c>
      <c r="K652" s="307">
        <f t="shared" ca="1" si="305"/>
        <v>-10.355350114093428</v>
      </c>
      <c r="L652" s="304">
        <f t="shared" ca="1" si="290"/>
        <v>677.72448109654806</v>
      </c>
      <c r="M652" s="306">
        <f t="shared" ca="1" si="306"/>
        <v>-1.5378436656794345</v>
      </c>
      <c r="N652" s="304">
        <f t="shared" ca="1" si="307"/>
        <v>-88.111951594359169</v>
      </c>
      <c r="P652" s="310">
        <f t="shared" ca="1" si="308"/>
        <v>23</v>
      </c>
      <c r="Q652" s="304">
        <f t="shared" ca="1" si="309"/>
        <v>0</v>
      </c>
      <c r="R652" s="306">
        <f t="shared" ca="1" si="310"/>
        <v>0</v>
      </c>
      <c r="S652" s="307">
        <f t="shared" ca="1" si="311"/>
        <v>2.0842999999999985</v>
      </c>
      <c r="T652" s="304">
        <f t="shared" ca="1" si="291"/>
        <v>20.446982999999985</v>
      </c>
      <c r="U652" s="311">
        <f t="shared" ca="1" si="292"/>
        <v>0</v>
      </c>
      <c r="V652" s="306">
        <f t="shared" ca="1" si="293"/>
        <v>1.2262691875330396</v>
      </c>
      <c r="W652" s="304">
        <f t="shared" ca="1" si="294"/>
        <v>20.353692379435341</v>
      </c>
      <c r="Y652" s="314" t="str">
        <f t="shared" ca="1" si="312"/>
        <v/>
      </c>
      <c r="Z652" s="315" t="str">
        <f t="shared" ca="1" si="313"/>
        <v/>
      </c>
      <c r="AA652" s="316" t="str">
        <f t="shared" ca="1" si="314"/>
        <v/>
      </c>
      <c r="AC652" s="310" t="e">
        <f t="shared" ca="1" si="315"/>
        <v>#N/A</v>
      </c>
      <c r="AD652" s="323" t="e">
        <f t="shared" ca="1" si="316"/>
        <v>#N/A</v>
      </c>
      <c r="AE652" s="324" t="e">
        <f t="shared" ca="1" si="295"/>
        <v>#N/A</v>
      </c>
      <c r="AG652" s="306">
        <f t="shared" ca="1" si="317"/>
        <v>3.9445489779373233E-2</v>
      </c>
      <c r="AH652" s="304">
        <f t="shared" ca="1" si="318"/>
        <v>-9.7652286759917413</v>
      </c>
    </row>
    <row r="653" spans="1:34" x14ac:dyDescent="0.25">
      <c r="A653" s="347">
        <f t="shared" ca="1" si="296"/>
        <v>1E-4</v>
      </c>
      <c r="B653" s="304">
        <f t="shared" ca="1" si="297"/>
        <v>47.105500000000553</v>
      </c>
      <c r="D653" s="306">
        <f t="shared" ca="1" si="298"/>
        <v>-0.32173245188440086</v>
      </c>
      <c r="E653" s="307">
        <f t="shared" ca="1" si="299"/>
        <v>-5.00601797847402E-2</v>
      </c>
      <c r="F653" s="304">
        <f t="shared" ca="1" si="300"/>
        <v>0.32560373492272598</v>
      </c>
      <c r="G653" s="306">
        <f t="shared" ca="1" si="301"/>
        <v>4.039279183465367</v>
      </c>
      <c r="H653" s="307">
        <f t="shared" ca="1" si="302"/>
        <v>-122.53484886681723</v>
      </c>
      <c r="I653" s="304">
        <f t="shared" ca="1" si="303"/>
        <v>122.60140685626619</v>
      </c>
      <c r="J653" s="306">
        <f t="shared" ca="1" si="304"/>
        <v>677.64536374242232</v>
      </c>
      <c r="K653" s="307">
        <f t="shared" ca="1" si="305"/>
        <v>-10.367603598729808</v>
      </c>
      <c r="L653" s="304">
        <f t="shared" ca="1" si="290"/>
        <v>677.7246684354792</v>
      </c>
      <c r="M653" s="306">
        <f t="shared" ca="1" si="306"/>
        <v>-1.5378439293037376</v>
      </c>
      <c r="N653" s="304">
        <f t="shared" ca="1" si="307"/>
        <v>-88.111966698919105</v>
      </c>
      <c r="P653" s="310">
        <f t="shared" ca="1" si="308"/>
        <v>23</v>
      </c>
      <c r="Q653" s="304">
        <f t="shared" ca="1" si="309"/>
        <v>0</v>
      </c>
      <c r="R653" s="306">
        <f t="shared" ca="1" si="310"/>
        <v>0</v>
      </c>
      <c r="S653" s="307">
        <f t="shared" ca="1" si="311"/>
        <v>2.0842999999999985</v>
      </c>
      <c r="T653" s="304">
        <f t="shared" ca="1" si="291"/>
        <v>20.446982999999985</v>
      </c>
      <c r="U653" s="311">
        <f t="shared" ca="1" si="292"/>
        <v>0</v>
      </c>
      <c r="V653" s="306">
        <f t="shared" ca="1" si="293"/>
        <v>1.2262706901414286</v>
      </c>
      <c r="W653" s="304">
        <f t="shared" ca="1" si="294"/>
        <v>20.353718629120618</v>
      </c>
      <c r="Y653" s="314" t="str">
        <f t="shared" ca="1" si="312"/>
        <v/>
      </c>
      <c r="Z653" s="315" t="str">
        <f t="shared" ca="1" si="313"/>
        <v/>
      </c>
      <c r="AA653" s="316" t="str">
        <f t="shared" ca="1" si="314"/>
        <v/>
      </c>
      <c r="AC653" s="310" t="e">
        <f t="shared" ca="1" si="315"/>
        <v>#N/A</v>
      </c>
      <c r="AD653" s="323" t="e">
        <f t="shared" ca="1" si="316"/>
        <v>#N/A</v>
      </c>
      <c r="AE653" s="324" t="e">
        <f t="shared" ca="1" si="295"/>
        <v>#N/A</v>
      </c>
      <c r="AG653" s="306">
        <f t="shared" ca="1" si="317"/>
        <v>3.9432980797776906E-2</v>
      </c>
      <c r="AH653" s="304">
        <f t="shared" ca="1" si="318"/>
        <v>-9.7652412701796081</v>
      </c>
    </row>
    <row r="654" spans="1:34" x14ac:dyDescent="0.25">
      <c r="A654" s="347">
        <f t="shared" ca="1" si="296"/>
        <v>1E-4</v>
      </c>
      <c r="B654" s="304">
        <f t="shared" ca="1" si="297"/>
        <v>47.105600000000557</v>
      </c>
      <c r="D654" s="306">
        <f t="shared" ca="1" si="298"/>
        <v>-0.32173029385462409</v>
      </c>
      <c r="E654" s="307">
        <f t="shared" ca="1" si="299"/>
        <v>-5.0047507800318414E-2</v>
      </c>
      <c r="F654" s="304">
        <f t="shared" ca="1" si="300"/>
        <v>0.32559965451579598</v>
      </c>
      <c r="G654" s="306">
        <f t="shared" ca="1" si="301"/>
        <v>4.0392470104359814</v>
      </c>
      <c r="H654" s="307">
        <f t="shared" ca="1" si="302"/>
        <v>-122.534853871568</v>
      </c>
      <c r="I654" s="304">
        <f t="shared" ca="1" si="303"/>
        <v>122.60141079831764</v>
      </c>
      <c r="J654" s="306">
        <f t="shared" ca="1" si="304"/>
        <v>677.64536374242232</v>
      </c>
      <c r="K654" s="307">
        <f t="shared" ca="1" si="305"/>
        <v>-10.379857083866726</v>
      </c>
      <c r="L654" s="304">
        <f t="shared" ca="1" si="290"/>
        <v>677.72485599591323</v>
      </c>
      <c r="M654" s="306">
        <f t="shared" ca="1" si="306"/>
        <v>-1.5378441929259237</v>
      </c>
      <c r="N654" s="304">
        <f t="shared" ca="1" si="307"/>
        <v>-88.11198180335775</v>
      </c>
      <c r="P654" s="310">
        <f t="shared" ca="1" si="308"/>
        <v>23</v>
      </c>
      <c r="Q654" s="304">
        <f t="shared" ca="1" si="309"/>
        <v>0</v>
      </c>
      <c r="R654" s="306">
        <f t="shared" ca="1" si="310"/>
        <v>0</v>
      </c>
      <c r="S654" s="307">
        <f t="shared" ca="1" si="311"/>
        <v>2.0842999999999985</v>
      </c>
      <c r="T654" s="304">
        <f t="shared" ca="1" si="291"/>
        <v>20.446982999999985</v>
      </c>
      <c r="U654" s="311">
        <f t="shared" ca="1" si="292"/>
        <v>0</v>
      </c>
      <c r="V654" s="306">
        <f t="shared" ca="1" si="293"/>
        <v>1.2262721927517208</v>
      </c>
      <c r="W654" s="304">
        <f t="shared" ca="1" si="294"/>
        <v>20.353744878425406</v>
      </c>
      <c r="Y654" s="314" t="str">
        <f t="shared" ca="1" si="312"/>
        <v/>
      </c>
      <c r="Z654" s="315" t="str">
        <f t="shared" ca="1" si="313"/>
        <v/>
      </c>
      <c r="AA654" s="316" t="str">
        <f t="shared" ca="1" si="314"/>
        <v/>
      </c>
      <c r="AC654" s="310" t="e">
        <f t="shared" ca="1" si="315"/>
        <v>#N/A</v>
      </c>
      <c r="AD654" s="323" t="e">
        <f t="shared" ca="1" si="316"/>
        <v>#N/A</v>
      </c>
      <c r="AE654" s="324" t="e">
        <f t="shared" ca="1" si="295"/>
        <v>#N/A</v>
      </c>
      <c r="AG654" s="306">
        <f t="shared" ca="1" si="317"/>
        <v>3.9420471997370754E-2</v>
      </c>
      <c r="AH654" s="304">
        <f t="shared" ca="1" si="318"/>
        <v>-9.7652538641849223</v>
      </c>
    </row>
    <row r="655" spans="1:34" x14ac:dyDescent="0.25">
      <c r="A655" s="347">
        <f t="shared" ca="1" si="296"/>
        <v>1E-4</v>
      </c>
      <c r="B655" s="304">
        <f t="shared" ca="1" si="297"/>
        <v>47.10570000000056</v>
      </c>
      <c r="D655" s="306">
        <f t="shared" ca="1" si="298"/>
        <v>-0.3217281358328356</v>
      </c>
      <c r="E655" s="307">
        <f t="shared" ca="1" si="299"/>
        <v>-5.0034835999491989E-2</v>
      </c>
      <c r="F655" s="304">
        <f t="shared" ca="1" si="300"/>
        <v>0.32559557460132588</v>
      </c>
      <c r="G655" s="306">
        <f t="shared" ca="1" si="301"/>
        <v>4.0392148376223984</v>
      </c>
      <c r="H655" s="307">
        <f t="shared" ca="1" si="302"/>
        <v>-122.5348588750516</v>
      </c>
      <c r="I655" s="304">
        <f t="shared" ca="1" si="303"/>
        <v>122.60141473911825</v>
      </c>
      <c r="J655" s="306">
        <f t="shared" ca="1" si="304"/>
        <v>677.64536374242232</v>
      </c>
      <c r="K655" s="307">
        <f t="shared" ca="1" si="305"/>
        <v>-10.392110569504057</v>
      </c>
      <c r="L655" s="304">
        <f t="shared" ca="1" si="290"/>
        <v>677.72504377784992</v>
      </c>
      <c r="M655" s="306">
        <f t="shared" ca="1" si="306"/>
        <v>-1.5378444565459932</v>
      </c>
      <c r="N655" s="304">
        <f t="shared" ca="1" si="307"/>
        <v>-88.111996907675135</v>
      </c>
      <c r="P655" s="310">
        <f t="shared" ca="1" si="308"/>
        <v>23</v>
      </c>
      <c r="Q655" s="304">
        <f t="shared" ca="1" si="309"/>
        <v>0</v>
      </c>
      <c r="R655" s="306">
        <f t="shared" ca="1" si="310"/>
        <v>0</v>
      </c>
      <c r="S655" s="307">
        <f t="shared" ca="1" si="311"/>
        <v>2.0842999999999985</v>
      </c>
      <c r="T655" s="304">
        <f t="shared" ca="1" si="291"/>
        <v>20.446982999999985</v>
      </c>
      <c r="U655" s="311">
        <f t="shared" ca="1" si="292"/>
        <v>0</v>
      </c>
      <c r="V655" s="306">
        <f t="shared" ca="1" si="293"/>
        <v>1.2262736953639171</v>
      </c>
      <c r="W655" s="304">
        <f t="shared" ca="1" si="294"/>
        <v>20.353771127349727</v>
      </c>
      <c r="Y655" s="314" t="str">
        <f t="shared" ca="1" si="312"/>
        <v/>
      </c>
      <c r="Z655" s="315" t="str">
        <f t="shared" ca="1" si="313"/>
        <v/>
      </c>
      <c r="AA655" s="316" t="str">
        <f t="shared" ca="1" si="314"/>
        <v/>
      </c>
      <c r="AC655" s="310" t="e">
        <f t="shared" ca="1" si="315"/>
        <v>#N/A</v>
      </c>
      <c r="AD655" s="323" t="e">
        <f t="shared" ca="1" si="316"/>
        <v>#N/A</v>
      </c>
      <c r="AE655" s="324" t="e">
        <f t="shared" ca="1" si="295"/>
        <v>#N/A</v>
      </c>
      <c r="AG655" s="306">
        <f t="shared" ca="1" si="317"/>
        <v>3.9407963378149446E-2</v>
      </c>
      <c r="AH655" s="304">
        <f t="shared" ca="1" si="318"/>
        <v>-9.7652664580076856</v>
      </c>
    </row>
    <row r="656" spans="1:34" x14ac:dyDescent="0.25">
      <c r="A656" s="347">
        <f t="shared" ca="1" si="296"/>
        <v>1E-4</v>
      </c>
      <c r="B656" s="304">
        <f t="shared" ca="1" si="297"/>
        <v>47.105800000000563</v>
      </c>
      <c r="D656" s="306">
        <f t="shared" ca="1" si="298"/>
        <v>-0.32172597781903178</v>
      </c>
      <c r="E656" s="307">
        <f t="shared" ca="1" si="299"/>
        <v>-5.0022164382241385E-2</v>
      </c>
      <c r="F656" s="304">
        <f t="shared" ca="1" si="300"/>
        <v>0.32559149517930608</v>
      </c>
      <c r="G656" s="306">
        <f t="shared" ca="1" si="301"/>
        <v>4.0391826650246161</v>
      </c>
      <c r="H656" s="307">
        <f t="shared" ca="1" si="302"/>
        <v>-122.53486387726804</v>
      </c>
      <c r="I656" s="304">
        <f t="shared" ca="1" si="303"/>
        <v>122.601418678668</v>
      </c>
      <c r="J656" s="306">
        <f t="shared" ca="1" si="304"/>
        <v>677.64536374242232</v>
      </c>
      <c r="K656" s="307">
        <f t="shared" ca="1" si="305"/>
        <v>-10.404364055641674</v>
      </c>
      <c r="L656" s="304">
        <f t="shared" ca="1" si="290"/>
        <v>677.72523178128915</v>
      </c>
      <c r="M656" s="306">
        <f t="shared" ca="1" si="306"/>
        <v>-1.537844720163946</v>
      </c>
      <c r="N656" s="304">
        <f t="shared" ca="1" si="307"/>
        <v>-88.112012011871229</v>
      </c>
      <c r="P656" s="310">
        <f t="shared" ca="1" si="308"/>
        <v>23</v>
      </c>
      <c r="Q656" s="304">
        <f t="shared" ca="1" si="309"/>
        <v>0</v>
      </c>
      <c r="R656" s="306">
        <f t="shared" ca="1" si="310"/>
        <v>0</v>
      </c>
      <c r="S656" s="307">
        <f t="shared" ca="1" si="311"/>
        <v>2.0842999999999985</v>
      </c>
      <c r="T656" s="304">
        <f t="shared" ca="1" si="291"/>
        <v>20.446982999999985</v>
      </c>
      <c r="U656" s="311">
        <f t="shared" ca="1" si="292"/>
        <v>0</v>
      </c>
      <c r="V656" s="306">
        <f t="shared" ca="1" si="293"/>
        <v>1.2262751979780164</v>
      </c>
      <c r="W656" s="304">
        <f t="shared" ca="1" si="294"/>
        <v>20.353797375893556</v>
      </c>
      <c r="Y656" s="314" t="str">
        <f t="shared" ca="1" si="312"/>
        <v/>
      </c>
      <c r="Z656" s="315" t="str">
        <f t="shared" ca="1" si="313"/>
        <v/>
      </c>
      <c r="AA656" s="316" t="str">
        <f t="shared" ca="1" si="314"/>
        <v/>
      </c>
      <c r="AC656" s="310" t="e">
        <f t="shared" ca="1" si="315"/>
        <v>#N/A</v>
      </c>
      <c r="AD656" s="323" t="e">
        <f t="shared" ca="1" si="316"/>
        <v>#N/A</v>
      </c>
      <c r="AE656" s="324" t="e">
        <f t="shared" ca="1" si="295"/>
        <v>#N/A</v>
      </c>
      <c r="AG656" s="306">
        <f t="shared" ca="1" si="317"/>
        <v>3.9395454940096997E-2</v>
      </c>
      <c r="AH656" s="304">
        <f t="shared" ca="1" si="318"/>
        <v>-9.7652790516479122</v>
      </c>
    </row>
    <row r="657" spans="1:34" x14ac:dyDescent="0.25">
      <c r="A657" s="347">
        <f t="shared" ca="1" si="296"/>
        <v>1E-4</v>
      </c>
      <c r="B657" s="304">
        <f t="shared" ca="1" si="297"/>
        <v>47.105900000000567</v>
      </c>
      <c r="D657" s="306">
        <f t="shared" ca="1" si="298"/>
        <v>-0.32172381981321446</v>
      </c>
      <c r="E657" s="307">
        <f t="shared" ca="1" si="299"/>
        <v>-5.0009492948586143E-2</v>
      </c>
      <c r="F657" s="304">
        <f t="shared" ca="1" si="300"/>
        <v>0.32558741624973836</v>
      </c>
      <c r="G657" s="306">
        <f t="shared" ca="1" si="301"/>
        <v>4.0391504926426345</v>
      </c>
      <c r="H657" s="307">
        <f t="shared" ca="1" si="302"/>
        <v>-122.53486887821734</v>
      </c>
      <c r="I657" s="304">
        <f t="shared" ca="1" si="303"/>
        <v>122.60142261696693</v>
      </c>
      <c r="J657" s="306">
        <f t="shared" ca="1" si="304"/>
        <v>677.64536374242232</v>
      </c>
      <c r="K657" s="307">
        <f t="shared" ca="1" si="305"/>
        <v>-10.416617542279448</v>
      </c>
      <c r="L657" s="304">
        <f t="shared" ca="1" si="290"/>
        <v>677.72542000623082</v>
      </c>
      <c r="M657" s="306">
        <f t="shared" ca="1" si="306"/>
        <v>-1.5378449837797823</v>
      </c>
      <c r="N657" s="304">
        <f t="shared" ca="1" si="307"/>
        <v>-88.112027115946063</v>
      </c>
      <c r="P657" s="310">
        <f t="shared" ca="1" si="308"/>
        <v>23</v>
      </c>
      <c r="Q657" s="304">
        <f t="shared" ca="1" si="309"/>
        <v>0</v>
      </c>
      <c r="R657" s="306">
        <f t="shared" ca="1" si="310"/>
        <v>0</v>
      </c>
      <c r="S657" s="307">
        <f t="shared" ca="1" si="311"/>
        <v>2.0842999999999985</v>
      </c>
      <c r="T657" s="304">
        <f t="shared" ca="1" si="291"/>
        <v>20.446982999999985</v>
      </c>
      <c r="U657" s="311">
        <f t="shared" ca="1" si="292"/>
        <v>0</v>
      </c>
      <c r="V657" s="306">
        <f t="shared" ca="1" si="293"/>
        <v>1.2262767005940196</v>
      </c>
      <c r="W657" s="304">
        <f t="shared" ca="1" si="294"/>
        <v>20.353823624056929</v>
      </c>
      <c r="Y657" s="314" t="str">
        <f t="shared" ca="1" si="312"/>
        <v/>
      </c>
      <c r="Z657" s="315" t="str">
        <f t="shared" ca="1" si="313"/>
        <v/>
      </c>
      <c r="AA657" s="316" t="str">
        <f t="shared" ca="1" si="314"/>
        <v/>
      </c>
      <c r="AC657" s="310" t="e">
        <f t="shared" ca="1" si="315"/>
        <v>#N/A</v>
      </c>
      <c r="AD657" s="323" t="e">
        <f t="shared" ca="1" si="316"/>
        <v>#N/A</v>
      </c>
      <c r="AE657" s="324" t="e">
        <f t="shared" ca="1" si="295"/>
        <v>#N/A</v>
      </c>
      <c r="AG657" s="306">
        <f t="shared" ca="1" si="317"/>
        <v>3.9382946683236497E-2</v>
      </c>
      <c r="AH657" s="304">
        <f t="shared" ca="1" si="318"/>
        <v>-9.7652916451055845</v>
      </c>
    </row>
    <row r="658" spans="1:34" x14ac:dyDescent="0.25">
      <c r="A658" s="347">
        <f t="shared" ca="1" si="296"/>
        <v>1E-4</v>
      </c>
      <c r="B658" s="304">
        <f t="shared" ca="1" si="297"/>
        <v>47.10600000000057</v>
      </c>
      <c r="D658" s="306">
        <f t="shared" ca="1" si="298"/>
        <v>-0.32172166181538236</v>
      </c>
      <c r="E658" s="307">
        <f t="shared" ca="1" si="299"/>
        <v>-4.9996821698506722E-2</v>
      </c>
      <c r="F658" s="304">
        <f t="shared" ca="1" si="300"/>
        <v>0.32558333781261523</v>
      </c>
      <c r="G658" s="306">
        <f t="shared" ca="1" si="301"/>
        <v>4.0391183204764527</v>
      </c>
      <c r="H658" s="307">
        <f t="shared" ca="1" si="302"/>
        <v>-122.53487387789951</v>
      </c>
      <c r="I658" s="304">
        <f t="shared" ca="1" si="303"/>
        <v>122.60142655401506</v>
      </c>
      <c r="J658" s="306">
        <f t="shared" ca="1" si="304"/>
        <v>677.64536374242232</v>
      </c>
      <c r="K658" s="307">
        <f t="shared" ca="1" si="305"/>
        <v>-10.428871029417254</v>
      </c>
      <c r="L658" s="304">
        <f t="shared" ca="1" si="290"/>
        <v>677.72560845267469</v>
      </c>
      <c r="M658" s="306">
        <f t="shared" ca="1" si="306"/>
        <v>-1.5378452473935016</v>
      </c>
      <c r="N658" s="304">
        <f t="shared" ca="1" si="307"/>
        <v>-88.112042219899607</v>
      </c>
      <c r="P658" s="310">
        <f t="shared" ca="1" si="308"/>
        <v>23</v>
      </c>
      <c r="Q658" s="304">
        <f t="shared" ca="1" si="309"/>
        <v>0</v>
      </c>
      <c r="R658" s="306">
        <f t="shared" ca="1" si="310"/>
        <v>0</v>
      </c>
      <c r="S658" s="307">
        <f t="shared" ca="1" si="311"/>
        <v>2.0842999999999985</v>
      </c>
      <c r="T658" s="304">
        <f t="shared" ca="1" si="291"/>
        <v>20.446982999999985</v>
      </c>
      <c r="U658" s="311">
        <f t="shared" ca="1" si="292"/>
        <v>0</v>
      </c>
      <c r="V658" s="306">
        <f t="shared" ca="1" si="293"/>
        <v>1.2262782032119259</v>
      </c>
      <c r="W658" s="304">
        <f t="shared" ca="1" si="294"/>
        <v>20.353849871839824</v>
      </c>
      <c r="Y658" s="314" t="str">
        <f t="shared" ca="1" si="312"/>
        <v/>
      </c>
      <c r="Z658" s="315" t="str">
        <f t="shared" ca="1" si="313"/>
        <v/>
      </c>
      <c r="AA658" s="316" t="str">
        <f t="shared" ca="1" si="314"/>
        <v/>
      </c>
      <c r="AC658" s="310" t="e">
        <f t="shared" ca="1" si="315"/>
        <v>#N/A</v>
      </c>
      <c r="AD658" s="323" t="e">
        <f t="shared" ca="1" si="316"/>
        <v>#N/A</v>
      </c>
      <c r="AE658" s="324" t="e">
        <f t="shared" ca="1" si="295"/>
        <v>#N/A</v>
      </c>
      <c r="AG658" s="306">
        <f t="shared" ca="1" si="317"/>
        <v>3.9370438607541303E-2</v>
      </c>
      <c r="AH658" s="304">
        <f t="shared" ca="1" si="318"/>
        <v>-9.7653042383807236</v>
      </c>
    </row>
    <row r="659" spans="1:34" x14ac:dyDescent="0.25">
      <c r="A659" s="347">
        <f t="shared" ca="1" si="296"/>
        <v>1E-4</v>
      </c>
      <c r="B659" s="304">
        <f t="shared" ca="1" si="297"/>
        <v>47.106100000000573</v>
      </c>
      <c r="D659" s="306">
        <f t="shared" ca="1" si="298"/>
        <v>-0.32171950382553971</v>
      </c>
      <c r="E659" s="307">
        <f t="shared" ca="1" si="299"/>
        <v>-4.9984150632012003E-2</v>
      </c>
      <c r="F659" s="304">
        <f t="shared" ca="1" si="300"/>
        <v>0.32557925986793923</v>
      </c>
      <c r="G659" s="306">
        <f t="shared" ca="1" si="301"/>
        <v>4.0390861485260698</v>
      </c>
      <c r="H659" s="307">
        <f t="shared" ca="1" si="302"/>
        <v>-122.53487887631458</v>
      </c>
      <c r="I659" s="304">
        <f t="shared" ca="1" si="303"/>
        <v>122.60143048981239</v>
      </c>
      <c r="J659" s="306">
        <f t="shared" ca="1" si="304"/>
        <v>677.64536374242232</v>
      </c>
      <c r="K659" s="307">
        <f t="shared" ca="1" si="305"/>
        <v>-10.441124517054964</v>
      </c>
      <c r="L659" s="304">
        <f t="shared" ca="1" si="290"/>
        <v>677.72579712062054</v>
      </c>
      <c r="M659" s="306">
        <f t="shared" ca="1" si="306"/>
        <v>-1.5378455110051046</v>
      </c>
      <c r="N659" s="304">
        <f t="shared" ca="1" si="307"/>
        <v>-88.112057323731889</v>
      </c>
      <c r="P659" s="310">
        <f t="shared" ca="1" si="308"/>
        <v>23</v>
      </c>
      <c r="Q659" s="304">
        <f t="shared" ca="1" si="309"/>
        <v>0</v>
      </c>
      <c r="R659" s="306">
        <f t="shared" ca="1" si="310"/>
        <v>0</v>
      </c>
      <c r="S659" s="307">
        <f t="shared" ca="1" si="311"/>
        <v>2.0842999999999985</v>
      </c>
      <c r="T659" s="304">
        <f t="shared" ca="1" si="291"/>
        <v>20.446982999999985</v>
      </c>
      <c r="U659" s="311">
        <f t="shared" ca="1" si="292"/>
        <v>0</v>
      </c>
      <c r="V659" s="306">
        <f t="shared" ca="1" si="293"/>
        <v>1.2262797058317361</v>
      </c>
      <c r="W659" s="304">
        <f t="shared" ca="1" si="294"/>
        <v>20.353876119242255</v>
      </c>
      <c r="Y659" s="314" t="str">
        <f t="shared" ca="1" si="312"/>
        <v/>
      </c>
      <c r="Z659" s="315" t="str">
        <f t="shared" ca="1" si="313"/>
        <v/>
      </c>
      <c r="AA659" s="316" t="str">
        <f t="shared" ca="1" si="314"/>
        <v/>
      </c>
      <c r="AC659" s="310" t="e">
        <f t="shared" ca="1" si="315"/>
        <v>#N/A</v>
      </c>
      <c r="AD659" s="323" t="e">
        <f t="shared" ca="1" si="316"/>
        <v>#N/A</v>
      </c>
      <c r="AE659" s="324" t="e">
        <f t="shared" ca="1" si="295"/>
        <v>#N/A</v>
      </c>
      <c r="AG659" s="306">
        <f t="shared" ca="1" si="317"/>
        <v>3.9357930713025624E-2</v>
      </c>
      <c r="AH659" s="304">
        <f t="shared" ca="1" si="318"/>
        <v>-9.765316831473319</v>
      </c>
    </row>
    <row r="660" spans="1:34" x14ac:dyDescent="0.25">
      <c r="A660" s="347">
        <f t="shared" ca="1" si="296"/>
        <v>1E-4</v>
      </c>
      <c r="B660" s="304">
        <f t="shared" ca="1" si="297"/>
        <v>47.106200000000577</v>
      </c>
      <c r="D660" s="306">
        <f t="shared" ca="1" si="298"/>
        <v>-0.32171734584368039</v>
      </c>
      <c r="E660" s="307">
        <f t="shared" ca="1" si="299"/>
        <v>-4.9971479749096659E-2</v>
      </c>
      <c r="F660" s="304">
        <f t="shared" ca="1" si="300"/>
        <v>0.32557518241570049</v>
      </c>
      <c r="G660" s="306">
        <f t="shared" ca="1" si="301"/>
        <v>4.039053976791485</v>
      </c>
      <c r="H660" s="307">
        <f t="shared" ca="1" si="302"/>
        <v>-122.53488387346255</v>
      </c>
      <c r="I660" s="304">
        <f t="shared" ca="1" si="303"/>
        <v>122.60143442435894</v>
      </c>
      <c r="J660" s="306">
        <f t="shared" ca="1" si="304"/>
        <v>677.64536374242232</v>
      </c>
      <c r="K660" s="307">
        <f t="shared" ca="1" si="305"/>
        <v>-10.453378005192453</v>
      </c>
      <c r="L660" s="304">
        <f t="shared" ca="1" si="290"/>
        <v>677.72598601006825</v>
      </c>
      <c r="M660" s="306">
        <f t="shared" ca="1" si="306"/>
        <v>-1.5378457746145908</v>
      </c>
      <c r="N660" s="304">
        <f t="shared" ca="1" si="307"/>
        <v>-88.112072427442882</v>
      </c>
      <c r="P660" s="310">
        <f t="shared" ca="1" si="308"/>
        <v>23</v>
      </c>
      <c r="Q660" s="304">
        <f t="shared" ca="1" si="309"/>
        <v>0</v>
      </c>
      <c r="R660" s="306">
        <f t="shared" ca="1" si="310"/>
        <v>0</v>
      </c>
      <c r="S660" s="307">
        <f t="shared" ca="1" si="311"/>
        <v>2.0842999999999985</v>
      </c>
      <c r="T660" s="304">
        <f t="shared" ca="1" si="291"/>
        <v>20.446982999999985</v>
      </c>
      <c r="U660" s="311">
        <f t="shared" ca="1" si="292"/>
        <v>0</v>
      </c>
      <c r="V660" s="306">
        <f t="shared" ca="1" si="293"/>
        <v>1.2262812084534496</v>
      </c>
      <c r="W660" s="304">
        <f t="shared" ca="1" si="294"/>
        <v>20.353902366264229</v>
      </c>
      <c r="Y660" s="314" t="str">
        <f t="shared" ca="1" si="312"/>
        <v/>
      </c>
      <c r="Z660" s="315" t="str">
        <f t="shared" ca="1" si="313"/>
        <v/>
      </c>
      <c r="AA660" s="316" t="str">
        <f t="shared" ca="1" si="314"/>
        <v/>
      </c>
      <c r="AC660" s="310" t="e">
        <f t="shared" ca="1" si="315"/>
        <v>#N/A</v>
      </c>
      <c r="AD660" s="323" t="e">
        <f t="shared" ca="1" si="316"/>
        <v>#N/A</v>
      </c>
      <c r="AE660" s="324" t="e">
        <f t="shared" ca="1" si="295"/>
        <v>#N/A</v>
      </c>
      <c r="AG660" s="306">
        <f t="shared" ca="1" si="317"/>
        <v>3.9345422999682356E-2</v>
      </c>
      <c r="AH660" s="304">
        <f t="shared" ca="1" si="318"/>
        <v>-9.7653294243833759</v>
      </c>
    </row>
    <row r="661" spans="1:34" x14ac:dyDescent="0.25">
      <c r="A661" s="347">
        <f t="shared" ca="1" si="296"/>
        <v>1E-4</v>
      </c>
      <c r="B661" s="304">
        <f t="shared" ca="1" si="297"/>
        <v>47.10630000000058</v>
      </c>
      <c r="D661" s="306">
        <f t="shared" ca="1" si="298"/>
        <v>-0.32171518786980907</v>
      </c>
      <c r="E661" s="307">
        <f t="shared" ca="1" si="299"/>
        <v>-4.9958809049757136E-2</v>
      </c>
      <c r="F661" s="304">
        <f t="shared" ca="1" si="300"/>
        <v>0.32557110545589985</v>
      </c>
      <c r="G661" s="306">
        <f t="shared" ca="1" si="301"/>
        <v>4.0390218052726983</v>
      </c>
      <c r="H661" s="307">
        <f t="shared" ca="1" si="302"/>
        <v>-122.53488886934345</v>
      </c>
      <c r="I661" s="304">
        <f t="shared" ca="1" si="303"/>
        <v>122.60143835765476</v>
      </c>
      <c r="J661" s="306">
        <f t="shared" ca="1" si="304"/>
        <v>677.64536374242232</v>
      </c>
      <c r="K661" s="307">
        <f t="shared" ca="1" si="305"/>
        <v>-10.465631493829594</v>
      </c>
      <c r="L661" s="304">
        <f t="shared" ca="1" si="290"/>
        <v>677.72617512101783</v>
      </c>
      <c r="M661" s="306">
        <f t="shared" ca="1" si="306"/>
        <v>-1.5378460382219605</v>
      </c>
      <c r="N661" s="304">
        <f t="shared" ca="1" si="307"/>
        <v>-88.112087531032614</v>
      </c>
      <c r="P661" s="310">
        <f t="shared" ca="1" si="308"/>
        <v>23</v>
      </c>
      <c r="Q661" s="304">
        <f t="shared" ca="1" si="309"/>
        <v>0</v>
      </c>
      <c r="R661" s="306">
        <f t="shared" ca="1" si="310"/>
        <v>0</v>
      </c>
      <c r="S661" s="307">
        <f t="shared" ca="1" si="311"/>
        <v>2.0842999999999985</v>
      </c>
      <c r="T661" s="304">
        <f t="shared" ca="1" si="291"/>
        <v>20.446982999999985</v>
      </c>
      <c r="U661" s="311">
        <f t="shared" ca="1" si="292"/>
        <v>0</v>
      </c>
      <c r="V661" s="306">
        <f t="shared" ca="1" si="293"/>
        <v>1.2262827110770664</v>
      </c>
      <c r="W661" s="304">
        <f t="shared" ca="1" si="294"/>
        <v>20.353928612905747</v>
      </c>
      <c r="Y661" s="314" t="str">
        <f t="shared" ca="1" si="312"/>
        <v/>
      </c>
      <c r="Z661" s="315" t="str">
        <f t="shared" ca="1" si="313"/>
        <v/>
      </c>
      <c r="AA661" s="316" t="str">
        <f t="shared" ca="1" si="314"/>
        <v/>
      </c>
      <c r="AC661" s="310" t="e">
        <f t="shared" ca="1" si="315"/>
        <v>#N/A</v>
      </c>
      <c r="AD661" s="323" t="e">
        <f t="shared" ca="1" si="316"/>
        <v>#N/A</v>
      </c>
      <c r="AE661" s="324" t="e">
        <f t="shared" ca="1" si="295"/>
        <v>#N/A</v>
      </c>
      <c r="AG661" s="306">
        <f t="shared" ca="1" si="317"/>
        <v>3.9332915467509721E-2</v>
      </c>
      <c r="AH661" s="304">
        <f t="shared" ca="1" si="318"/>
        <v>-9.765342017110898</v>
      </c>
    </row>
    <row r="662" spans="1:34" x14ac:dyDescent="0.25">
      <c r="A662" s="347">
        <f t="shared" ca="1" si="296"/>
        <v>1E-4</v>
      </c>
      <c r="B662" s="304">
        <f t="shared" ca="1" si="297"/>
        <v>47.106400000000583</v>
      </c>
      <c r="D662" s="306">
        <f t="shared" ca="1" si="298"/>
        <v>-0.32171302990392386</v>
      </c>
      <c r="E662" s="307">
        <f t="shared" ca="1" si="299"/>
        <v>-4.994613853399521E-2</v>
      </c>
      <c r="F662" s="304">
        <f t="shared" ca="1" si="300"/>
        <v>0.32556702898853263</v>
      </c>
      <c r="G662" s="306">
        <f t="shared" ca="1" si="301"/>
        <v>4.0389896339697078</v>
      </c>
      <c r="H662" s="307">
        <f t="shared" ca="1" si="302"/>
        <v>-122.53489386395731</v>
      </c>
      <c r="I662" s="304">
        <f t="shared" ca="1" si="303"/>
        <v>122.60144228969982</v>
      </c>
      <c r="J662" s="306">
        <f t="shared" ca="1" si="304"/>
        <v>677.64536374242232</v>
      </c>
      <c r="K662" s="307">
        <f t="shared" ca="1" si="305"/>
        <v>-10.477884982966259</v>
      </c>
      <c r="L662" s="304">
        <f t="shared" ca="1" si="290"/>
        <v>677.72636445346882</v>
      </c>
      <c r="M662" s="306">
        <f t="shared" ca="1" si="306"/>
        <v>-1.5378463018272135</v>
      </c>
      <c r="N662" s="304">
        <f t="shared" ca="1" si="307"/>
        <v>-88.11210263450107</v>
      </c>
      <c r="P662" s="310">
        <f t="shared" ca="1" si="308"/>
        <v>23</v>
      </c>
      <c r="Q662" s="304">
        <f t="shared" ca="1" si="309"/>
        <v>0</v>
      </c>
      <c r="R662" s="306">
        <f t="shared" ca="1" si="310"/>
        <v>0</v>
      </c>
      <c r="S662" s="307">
        <f t="shared" ca="1" si="311"/>
        <v>2.0842999999999985</v>
      </c>
      <c r="T662" s="304">
        <f t="shared" ca="1" si="291"/>
        <v>20.446982999999985</v>
      </c>
      <c r="U662" s="311">
        <f t="shared" ca="1" si="292"/>
        <v>0</v>
      </c>
      <c r="V662" s="306">
        <f t="shared" ca="1" si="293"/>
        <v>1.2262842137025871</v>
      </c>
      <c r="W662" s="304">
        <f t="shared" ca="1" si="294"/>
        <v>20.353954859166816</v>
      </c>
      <c r="Y662" s="314" t="str">
        <f t="shared" ca="1" si="312"/>
        <v/>
      </c>
      <c r="Z662" s="315" t="str">
        <f t="shared" ca="1" si="313"/>
        <v/>
      </c>
      <c r="AA662" s="316" t="str">
        <f t="shared" ca="1" si="314"/>
        <v/>
      </c>
      <c r="AC662" s="310" t="e">
        <f t="shared" ca="1" si="315"/>
        <v>#N/A</v>
      </c>
      <c r="AD662" s="323" t="e">
        <f t="shared" ca="1" si="316"/>
        <v>#N/A</v>
      </c>
      <c r="AE662" s="324" t="e">
        <f t="shared" ca="1" si="295"/>
        <v>#N/A</v>
      </c>
      <c r="AG662" s="306">
        <f t="shared" ca="1" si="317"/>
        <v>3.9320408116505945E-2</v>
      </c>
      <c r="AH662" s="304">
        <f t="shared" ca="1" si="318"/>
        <v>-9.7653546096558852</v>
      </c>
    </row>
    <row r="663" spans="1:34" x14ac:dyDescent="0.25">
      <c r="A663" s="347">
        <f t="shared" ca="1" si="296"/>
        <v>1E-4</v>
      </c>
      <c r="B663" s="304">
        <f t="shared" ca="1" si="297"/>
        <v>47.106500000000587</v>
      </c>
      <c r="D663" s="306">
        <f t="shared" ca="1" si="298"/>
        <v>-0.32171087194602727</v>
      </c>
      <c r="E663" s="307">
        <f t="shared" ca="1" si="299"/>
        <v>-4.9933468201803777E-2</v>
      </c>
      <c r="F663" s="304">
        <f t="shared" ca="1" si="300"/>
        <v>0.32556295301359722</v>
      </c>
      <c r="G663" s="306">
        <f t="shared" ca="1" si="301"/>
        <v>4.0389574628825136</v>
      </c>
      <c r="H663" s="307">
        <f t="shared" ca="1" si="302"/>
        <v>-122.53489885730413</v>
      </c>
      <c r="I663" s="304">
        <f t="shared" ca="1" si="303"/>
        <v>122.60144622049418</v>
      </c>
      <c r="J663" s="306">
        <f t="shared" ca="1" si="304"/>
        <v>677.64536374242232</v>
      </c>
      <c r="K663" s="307">
        <f t="shared" ca="1" si="305"/>
        <v>-10.490138472602322</v>
      </c>
      <c r="L663" s="304">
        <f t="shared" ca="1" si="290"/>
        <v>677.72655400742133</v>
      </c>
      <c r="M663" s="306">
        <f t="shared" ca="1" si="306"/>
        <v>-1.5378465654303499</v>
      </c>
      <c r="N663" s="304">
        <f t="shared" ca="1" si="307"/>
        <v>-88.112117737848251</v>
      </c>
      <c r="P663" s="310">
        <f t="shared" ca="1" si="308"/>
        <v>23</v>
      </c>
      <c r="Q663" s="304">
        <f t="shared" ca="1" si="309"/>
        <v>0</v>
      </c>
      <c r="R663" s="306">
        <f t="shared" ca="1" si="310"/>
        <v>0</v>
      </c>
      <c r="S663" s="307">
        <f t="shared" ca="1" si="311"/>
        <v>2.0842999999999985</v>
      </c>
      <c r="T663" s="304">
        <f t="shared" ca="1" si="291"/>
        <v>20.446982999999985</v>
      </c>
      <c r="U663" s="311">
        <f t="shared" ca="1" si="292"/>
        <v>0</v>
      </c>
      <c r="V663" s="306">
        <f t="shared" ca="1" si="293"/>
        <v>1.2262857163300109</v>
      </c>
      <c r="W663" s="304">
        <f t="shared" ca="1" si="294"/>
        <v>20.353981105047438</v>
      </c>
      <c r="Y663" s="314" t="str">
        <f t="shared" ca="1" si="312"/>
        <v/>
      </c>
      <c r="Z663" s="315" t="str">
        <f t="shared" ca="1" si="313"/>
        <v/>
      </c>
      <c r="AA663" s="316" t="str">
        <f t="shared" ca="1" si="314"/>
        <v/>
      </c>
      <c r="AC663" s="310" t="e">
        <f t="shared" ca="1" si="315"/>
        <v>#N/A</v>
      </c>
      <c r="AD663" s="323" t="e">
        <f t="shared" ca="1" si="316"/>
        <v>#N/A</v>
      </c>
      <c r="AE663" s="324" t="e">
        <f t="shared" ca="1" si="295"/>
        <v>#N/A</v>
      </c>
      <c r="AG663" s="306">
        <f t="shared" ca="1" si="317"/>
        <v>3.9307900946665697E-2</v>
      </c>
      <c r="AH663" s="304">
        <f t="shared" ca="1" si="318"/>
        <v>-9.7653672020183429</v>
      </c>
    </row>
    <row r="664" spans="1:34" x14ac:dyDescent="0.25">
      <c r="A664" s="347">
        <f t="shared" ca="1" si="296"/>
        <v>1E-4</v>
      </c>
      <c r="B664" s="304">
        <f t="shared" ca="1" si="297"/>
        <v>47.10660000000059</v>
      </c>
      <c r="D664" s="306">
        <f t="shared" ca="1" si="298"/>
        <v>-0.32170871399611739</v>
      </c>
      <c r="E664" s="307">
        <f t="shared" ca="1" si="299"/>
        <v>-4.9920798053184612E-2</v>
      </c>
      <c r="F664" s="304">
        <f t="shared" ca="1" si="300"/>
        <v>0.32555887753108886</v>
      </c>
      <c r="G664" s="306">
        <f t="shared" ca="1" si="301"/>
        <v>4.0389252920111138</v>
      </c>
      <c r="H664" s="307">
        <f t="shared" ca="1" si="302"/>
        <v>-122.53490384938394</v>
      </c>
      <c r="I664" s="304">
        <f t="shared" ca="1" si="303"/>
        <v>122.60145015003783</v>
      </c>
      <c r="J664" s="306">
        <f t="shared" ca="1" si="304"/>
        <v>677.64536374242232</v>
      </c>
      <c r="K664" s="307">
        <f t="shared" ca="1" si="305"/>
        <v>-10.502391962737656</v>
      </c>
      <c r="L664" s="304">
        <f t="shared" ca="1" si="290"/>
        <v>677.72674378287513</v>
      </c>
      <c r="M664" s="306">
        <f t="shared" ca="1" si="306"/>
        <v>-1.53784682903137</v>
      </c>
      <c r="N664" s="304">
        <f t="shared" ca="1" si="307"/>
        <v>-88.112132841074185</v>
      </c>
      <c r="P664" s="310">
        <f t="shared" ca="1" si="308"/>
        <v>23</v>
      </c>
      <c r="Q664" s="304">
        <f t="shared" ca="1" si="309"/>
        <v>0</v>
      </c>
      <c r="R664" s="306">
        <f t="shared" ca="1" si="310"/>
        <v>0</v>
      </c>
      <c r="S664" s="307">
        <f t="shared" ca="1" si="311"/>
        <v>2.0842999999999985</v>
      </c>
      <c r="T664" s="304">
        <f t="shared" ca="1" si="291"/>
        <v>20.446982999999985</v>
      </c>
      <c r="U664" s="311">
        <f t="shared" ca="1" si="292"/>
        <v>0</v>
      </c>
      <c r="V664" s="306">
        <f t="shared" ca="1" si="293"/>
        <v>1.2262872189593383</v>
      </c>
      <c r="W664" s="304">
        <f t="shared" ca="1" si="294"/>
        <v>20.354007350547615</v>
      </c>
      <c r="Y664" s="314" t="str">
        <f t="shared" ca="1" si="312"/>
        <v/>
      </c>
      <c r="Z664" s="315" t="str">
        <f t="shared" ca="1" si="313"/>
        <v/>
      </c>
      <c r="AA664" s="316" t="str">
        <f t="shared" ca="1" si="314"/>
        <v/>
      </c>
      <c r="AC664" s="310" t="e">
        <f t="shared" ca="1" si="315"/>
        <v>#N/A</v>
      </c>
      <c r="AD664" s="323" t="e">
        <f t="shared" ca="1" si="316"/>
        <v>#N/A</v>
      </c>
      <c r="AE664" s="324" t="e">
        <f t="shared" ca="1" si="295"/>
        <v>#N/A</v>
      </c>
      <c r="AG664" s="306">
        <f t="shared" ca="1" si="317"/>
        <v>3.9295393957990754E-2</v>
      </c>
      <c r="AH664" s="304">
        <f t="shared" ca="1" si="318"/>
        <v>-9.7653797941982692</v>
      </c>
    </row>
    <row r="665" spans="1:34" x14ac:dyDescent="0.25">
      <c r="A665" s="347">
        <f t="shared" ca="1" si="296"/>
        <v>1E-4</v>
      </c>
      <c r="B665" s="304">
        <f t="shared" ca="1" si="297"/>
        <v>47.106700000000593</v>
      </c>
      <c r="D665" s="306">
        <f t="shared" ca="1" si="298"/>
        <v>-0.32170655605419224</v>
      </c>
      <c r="E665" s="307">
        <f t="shared" ca="1" si="299"/>
        <v>-4.9908128088135939E-2</v>
      </c>
      <c r="F665" s="304">
        <f t="shared" ca="1" si="300"/>
        <v>0.32555480254100216</v>
      </c>
      <c r="G665" s="306">
        <f t="shared" ca="1" si="301"/>
        <v>4.0388931213555086</v>
      </c>
      <c r="H665" s="307">
        <f t="shared" ca="1" si="302"/>
        <v>-122.53490884019675</v>
      </c>
      <c r="I665" s="304">
        <f t="shared" ca="1" si="303"/>
        <v>122.60145407833082</v>
      </c>
      <c r="J665" s="306">
        <f t="shared" ca="1" si="304"/>
        <v>677.64536374242232</v>
      </c>
      <c r="K665" s="307">
        <f t="shared" ca="1" si="305"/>
        <v>-10.514645453372134</v>
      </c>
      <c r="L665" s="304">
        <f t="shared" ca="1" si="290"/>
        <v>677.72693377982989</v>
      </c>
      <c r="M665" s="306">
        <f t="shared" ca="1" si="306"/>
        <v>-1.5378470926302734</v>
      </c>
      <c r="N665" s="304">
        <f t="shared" ca="1" si="307"/>
        <v>-88.11214794417883</v>
      </c>
      <c r="P665" s="310">
        <f t="shared" ca="1" si="308"/>
        <v>23</v>
      </c>
      <c r="Q665" s="304">
        <f t="shared" ca="1" si="309"/>
        <v>0</v>
      </c>
      <c r="R665" s="306">
        <f t="shared" ca="1" si="310"/>
        <v>0</v>
      </c>
      <c r="S665" s="307">
        <f t="shared" ca="1" si="311"/>
        <v>2.0842999999999985</v>
      </c>
      <c r="T665" s="304">
        <f t="shared" ca="1" si="291"/>
        <v>20.446982999999985</v>
      </c>
      <c r="U665" s="311">
        <f t="shared" ca="1" si="292"/>
        <v>0</v>
      </c>
      <c r="V665" s="306">
        <f t="shared" ca="1" si="293"/>
        <v>1.2262887215905689</v>
      </c>
      <c r="W665" s="304">
        <f t="shared" ca="1" si="294"/>
        <v>20.354033595667357</v>
      </c>
      <c r="Y665" s="314" t="str">
        <f t="shared" ca="1" si="312"/>
        <v/>
      </c>
      <c r="Z665" s="315" t="str">
        <f t="shared" ca="1" si="313"/>
        <v/>
      </c>
      <c r="AA665" s="316" t="str">
        <f t="shared" ca="1" si="314"/>
        <v/>
      </c>
      <c r="AC665" s="310" t="e">
        <f t="shared" ca="1" si="315"/>
        <v>#N/A</v>
      </c>
      <c r="AD665" s="323" t="e">
        <f t="shared" ca="1" si="316"/>
        <v>#N/A</v>
      </c>
      <c r="AE665" s="324" t="e">
        <f t="shared" ca="1" si="295"/>
        <v>#N/A</v>
      </c>
      <c r="AG665" s="306">
        <f t="shared" ca="1" si="317"/>
        <v>3.928288715047934E-2</v>
      </c>
      <c r="AH665" s="304">
        <f t="shared" ca="1" si="318"/>
        <v>-9.7653923861956677</v>
      </c>
    </row>
    <row r="666" spans="1:34" x14ac:dyDescent="0.25">
      <c r="A666" s="347">
        <f t="shared" ca="1" si="296"/>
        <v>1E-4</v>
      </c>
      <c r="B666" s="304">
        <f t="shared" ca="1" si="297"/>
        <v>47.106800000000597</v>
      </c>
      <c r="D666" s="306">
        <f t="shared" ca="1" si="298"/>
        <v>-0.32170439812025658</v>
      </c>
      <c r="E666" s="307">
        <f t="shared" ca="1" si="299"/>
        <v>-4.9895458306650653E-2</v>
      </c>
      <c r="F666" s="304">
        <f t="shared" ca="1" si="300"/>
        <v>0.32555072804333773</v>
      </c>
      <c r="G666" s="306">
        <f t="shared" ca="1" si="301"/>
        <v>4.038860950915697</v>
      </c>
      <c r="H666" s="307">
        <f t="shared" ca="1" si="302"/>
        <v>-122.53491382974258</v>
      </c>
      <c r="I666" s="304">
        <f t="shared" ca="1" si="303"/>
        <v>122.60145800537313</v>
      </c>
      <c r="J666" s="306">
        <f t="shared" ca="1" si="304"/>
        <v>677.64536374242232</v>
      </c>
      <c r="K666" s="307">
        <f t="shared" ca="1" si="305"/>
        <v>-10.526898944505632</v>
      </c>
      <c r="L666" s="304">
        <f t="shared" ca="1" si="290"/>
        <v>677.72712399828561</v>
      </c>
      <c r="M666" s="306">
        <f t="shared" ca="1" si="306"/>
        <v>-1.5378473562270605</v>
      </c>
      <c r="N666" s="304">
        <f t="shared" ca="1" si="307"/>
        <v>-88.112163047162227</v>
      </c>
      <c r="P666" s="310">
        <f t="shared" ca="1" si="308"/>
        <v>23</v>
      </c>
      <c r="Q666" s="304">
        <f t="shared" ca="1" si="309"/>
        <v>0</v>
      </c>
      <c r="R666" s="306">
        <f t="shared" ca="1" si="310"/>
        <v>0</v>
      </c>
      <c r="S666" s="307">
        <f t="shared" ca="1" si="311"/>
        <v>2.0842999999999985</v>
      </c>
      <c r="T666" s="304">
        <f t="shared" ca="1" si="291"/>
        <v>20.446982999999985</v>
      </c>
      <c r="U666" s="311">
        <f t="shared" ca="1" si="292"/>
        <v>0</v>
      </c>
      <c r="V666" s="306">
        <f t="shared" ca="1" si="293"/>
        <v>1.226290224223703</v>
      </c>
      <c r="W666" s="304">
        <f t="shared" ca="1" si="294"/>
        <v>20.354059840406666</v>
      </c>
      <c r="Y666" s="314" t="str">
        <f t="shared" ca="1" si="312"/>
        <v/>
      </c>
      <c r="Z666" s="315" t="str">
        <f t="shared" ca="1" si="313"/>
        <v/>
      </c>
      <c r="AA666" s="316" t="str">
        <f t="shared" ca="1" si="314"/>
        <v/>
      </c>
      <c r="AC666" s="310" t="e">
        <f t="shared" ca="1" si="315"/>
        <v>#N/A</v>
      </c>
      <c r="AD666" s="323" t="e">
        <f t="shared" ca="1" si="316"/>
        <v>#N/A</v>
      </c>
      <c r="AE666" s="324" t="e">
        <f t="shared" ca="1" si="295"/>
        <v>#N/A</v>
      </c>
      <c r="AG666" s="306">
        <f t="shared" ca="1" si="317"/>
        <v>3.9270380524127901E-2</v>
      </c>
      <c r="AH666" s="304">
        <f t="shared" ca="1" si="318"/>
        <v>-9.7654049780105421</v>
      </c>
    </row>
    <row r="667" spans="1:34" x14ac:dyDescent="0.25">
      <c r="A667" s="347">
        <f t="shared" ca="1" si="296"/>
        <v>1E-4</v>
      </c>
      <c r="B667" s="304">
        <f t="shared" ca="1" si="297"/>
        <v>47.1069000000006</v>
      </c>
      <c r="D667" s="306">
        <f t="shared" ca="1" si="298"/>
        <v>-0.32170224019430632</v>
      </c>
      <c r="E667" s="307">
        <f t="shared" ca="1" si="299"/>
        <v>-4.9882788708732306E-2</v>
      </c>
      <c r="F667" s="304">
        <f t="shared" ca="1" si="300"/>
        <v>0.32554665403808897</v>
      </c>
      <c r="G667" s="306">
        <f t="shared" ca="1" si="301"/>
        <v>4.0388287806916772</v>
      </c>
      <c r="H667" s="307">
        <f t="shared" ca="1" si="302"/>
        <v>-122.53491881802145</v>
      </c>
      <c r="I667" s="304">
        <f t="shared" ca="1" si="303"/>
        <v>122.60146193116479</v>
      </c>
      <c r="J667" s="306">
        <f t="shared" ca="1" si="304"/>
        <v>677.64536374242232</v>
      </c>
      <c r="K667" s="307">
        <f t="shared" ca="1" si="305"/>
        <v>-10.53915243613802</v>
      </c>
      <c r="L667" s="304">
        <f t="shared" ca="1" si="290"/>
        <v>677.72731443824216</v>
      </c>
      <c r="M667" s="306">
        <f t="shared" ca="1" si="306"/>
        <v>-1.537847619821731</v>
      </c>
      <c r="N667" s="304">
        <f t="shared" ca="1" si="307"/>
        <v>-88.112178150024349</v>
      </c>
      <c r="P667" s="310">
        <f t="shared" ca="1" si="308"/>
        <v>23</v>
      </c>
      <c r="Q667" s="304">
        <f t="shared" ca="1" si="309"/>
        <v>0</v>
      </c>
      <c r="R667" s="306">
        <f t="shared" ca="1" si="310"/>
        <v>0</v>
      </c>
      <c r="S667" s="307">
        <f t="shared" ca="1" si="311"/>
        <v>2.0842999999999985</v>
      </c>
      <c r="T667" s="304">
        <f t="shared" ca="1" si="291"/>
        <v>20.446982999999985</v>
      </c>
      <c r="U667" s="311">
        <f t="shared" ca="1" si="292"/>
        <v>0</v>
      </c>
      <c r="V667" s="306">
        <f t="shared" ca="1" si="293"/>
        <v>1.2262917268587403</v>
      </c>
      <c r="W667" s="304">
        <f t="shared" ca="1" si="294"/>
        <v>20.354086084765534</v>
      </c>
      <c r="Y667" s="314" t="str">
        <f t="shared" ca="1" si="312"/>
        <v/>
      </c>
      <c r="Z667" s="315" t="str">
        <f t="shared" ca="1" si="313"/>
        <v/>
      </c>
      <c r="AA667" s="316" t="str">
        <f t="shared" ca="1" si="314"/>
        <v/>
      </c>
      <c r="AC667" s="310" t="e">
        <f t="shared" ca="1" si="315"/>
        <v>#N/A</v>
      </c>
      <c r="AD667" s="323" t="e">
        <f t="shared" ca="1" si="316"/>
        <v>#N/A</v>
      </c>
      <c r="AE667" s="324" t="e">
        <f t="shared" ca="1" si="295"/>
        <v>#N/A</v>
      </c>
      <c r="AG667" s="306">
        <f t="shared" ca="1" si="317"/>
        <v>3.9257874078934663E-2</v>
      </c>
      <c r="AH667" s="304">
        <f t="shared" ca="1" si="318"/>
        <v>-9.7654175696428922</v>
      </c>
    </row>
    <row r="668" spans="1:34" x14ac:dyDescent="0.25">
      <c r="A668" s="347">
        <f t="shared" ca="1" si="296"/>
        <v>1E-4</v>
      </c>
      <c r="B668" s="304">
        <f t="shared" ca="1" si="297"/>
        <v>47.107000000000603</v>
      </c>
      <c r="D668" s="306">
        <f t="shared" ca="1" si="298"/>
        <v>-0.32170008227634378</v>
      </c>
      <c r="E668" s="307">
        <f t="shared" ca="1" si="299"/>
        <v>-4.9870119294380899E-2</v>
      </c>
      <c r="F668" s="304">
        <f t="shared" ca="1" si="300"/>
        <v>0.32554258052525498</v>
      </c>
      <c r="G668" s="306">
        <f t="shared" ca="1" si="301"/>
        <v>4.0387966106834492</v>
      </c>
      <c r="H668" s="307">
        <f t="shared" ca="1" si="302"/>
        <v>-122.53492380503339</v>
      </c>
      <c r="I668" s="304">
        <f t="shared" ca="1" si="303"/>
        <v>122.60146585570584</v>
      </c>
      <c r="J668" s="306">
        <f t="shared" ca="1" si="304"/>
        <v>677.64536374242232</v>
      </c>
      <c r="K668" s="307">
        <f t="shared" ca="1" si="305"/>
        <v>-10.551405928269173</v>
      </c>
      <c r="L668" s="304">
        <f t="shared" ca="1" si="290"/>
        <v>677.72750509969933</v>
      </c>
      <c r="M668" s="306">
        <f t="shared" ca="1" si="306"/>
        <v>-1.537847883414285</v>
      </c>
      <c r="N668" s="304">
        <f t="shared" ca="1" si="307"/>
        <v>-88.112193252765209</v>
      </c>
      <c r="P668" s="310">
        <f t="shared" ca="1" si="308"/>
        <v>23</v>
      </c>
      <c r="Q668" s="304">
        <f t="shared" ca="1" si="309"/>
        <v>0</v>
      </c>
      <c r="R668" s="306">
        <f t="shared" ca="1" si="310"/>
        <v>0</v>
      </c>
      <c r="S668" s="307">
        <f t="shared" ca="1" si="311"/>
        <v>2.0842999999999985</v>
      </c>
      <c r="T668" s="304">
        <f t="shared" ca="1" si="291"/>
        <v>20.446982999999985</v>
      </c>
      <c r="U668" s="311">
        <f t="shared" ca="1" si="292"/>
        <v>0</v>
      </c>
      <c r="V668" s="306">
        <f t="shared" ca="1" si="293"/>
        <v>1.2262932294956814</v>
      </c>
      <c r="W668" s="304">
        <f t="shared" ca="1" si="294"/>
        <v>20.354112328743987</v>
      </c>
      <c r="Y668" s="314" t="str">
        <f t="shared" ca="1" si="312"/>
        <v/>
      </c>
      <c r="Z668" s="315" t="str">
        <f t="shared" ca="1" si="313"/>
        <v/>
      </c>
      <c r="AA668" s="316" t="str">
        <f t="shared" ca="1" si="314"/>
        <v/>
      </c>
      <c r="AC668" s="310" t="e">
        <f t="shared" ca="1" si="315"/>
        <v>#N/A</v>
      </c>
      <c r="AD668" s="323" t="e">
        <f t="shared" ca="1" si="316"/>
        <v>#N/A</v>
      </c>
      <c r="AE668" s="324" t="e">
        <f t="shared" ca="1" si="295"/>
        <v>#N/A</v>
      </c>
      <c r="AG668" s="306">
        <f t="shared" ca="1" si="317"/>
        <v>3.92453678149014E-2</v>
      </c>
      <c r="AH668" s="304">
        <f t="shared" ca="1" si="318"/>
        <v>-9.7654301610927163</v>
      </c>
    </row>
    <row r="669" spans="1:34" x14ac:dyDescent="0.25">
      <c r="A669" s="347">
        <f t="shared" ca="1" si="296"/>
        <v>1E-4</v>
      </c>
      <c r="B669" s="304">
        <f t="shared" ca="1" si="297"/>
        <v>47.107100000000607</v>
      </c>
      <c r="D669" s="306">
        <f t="shared" ca="1" si="298"/>
        <v>-0.32169792436636946</v>
      </c>
      <c r="E669" s="307">
        <f t="shared" ca="1" si="299"/>
        <v>-4.9857450063585773E-2</v>
      </c>
      <c r="F669" s="304">
        <f t="shared" ca="1" si="300"/>
        <v>0.3255385075048316</v>
      </c>
      <c r="G669" s="306">
        <f t="shared" ca="1" si="301"/>
        <v>4.0387644408910122</v>
      </c>
      <c r="H669" s="307">
        <f t="shared" ca="1" si="302"/>
        <v>-122.53492879077839</v>
      </c>
      <c r="I669" s="304">
        <f t="shared" ca="1" si="303"/>
        <v>122.60146977899628</v>
      </c>
      <c r="J669" s="306">
        <f t="shared" ca="1" si="304"/>
        <v>677.64536374242232</v>
      </c>
      <c r="K669" s="307">
        <f t="shared" ca="1" si="305"/>
        <v>-10.563659420898963</v>
      </c>
      <c r="L669" s="304">
        <f t="shared" ca="1" si="290"/>
        <v>677.72769598265688</v>
      </c>
      <c r="M669" s="306">
        <f t="shared" ca="1" si="306"/>
        <v>-1.5378481470047225</v>
      </c>
      <c r="N669" s="304">
        <f t="shared" ca="1" si="307"/>
        <v>-88.112208355384794</v>
      </c>
      <c r="P669" s="310">
        <f t="shared" ca="1" si="308"/>
        <v>23</v>
      </c>
      <c r="Q669" s="304">
        <f t="shared" ca="1" si="309"/>
        <v>0</v>
      </c>
      <c r="R669" s="306">
        <f t="shared" ca="1" si="310"/>
        <v>0</v>
      </c>
      <c r="S669" s="307">
        <f t="shared" ca="1" si="311"/>
        <v>2.0842999999999985</v>
      </c>
      <c r="T669" s="304">
        <f t="shared" ca="1" si="291"/>
        <v>20.446982999999985</v>
      </c>
      <c r="U669" s="311">
        <f t="shared" ca="1" si="292"/>
        <v>0</v>
      </c>
      <c r="V669" s="306">
        <f t="shared" ca="1" si="293"/>
        <v>1.2262947321345257</v>
      </c>
      <c r="W669" s="304">
        <f t="shared" ca="1" si="294"/>
        <v>20.354138572342016</v>
      </c>
      <c r="Y669" s="314" t="str">
        <f t="shared" ca="1" si="312"/>
        <v/>
      </c>
      <c r="Z669" s="315" t="str">
        <f t="shared" ca="1" si="313"/>
        <v/>
      </c>
      <c r="AA669" s="316" t="str">
        <f t="shared" ca="1" si="314"/>
        <v/>
      </c>
      <c r="AC669" s="310" t="e">
        <f t="shared" ca="1" si="315"/>
        <v>#N/A</v>
      </c>
      <c r="AD669" s="323" t="e">
        <f t="shared" ca="1" si="316"/>
        <v>#N/A</v>
      </c>
      <c r="AE669" s="324" t="e">
        <f t="shared" ca="1" si="295"/>
        <v>#N/A</v>
      </c>
      <c r="AG669" s="306">
        <f t="shared" ca="1" si="317"/>
        <v>3.9232861732019231E-2</v>
      </c>
      <c r="AH669" s="304">
        <f t="shared" ca="1" si="318"/>
        <v>-9.7654427523600251</v>
      </c>
    </row>
    <row r="670" spans="1:34" x14ac:dyDescent="0.25">
      <c r="A670" s="347">
        <f t="shared" ca="1" si="296"/>
        <v>1E-4</v>
      </c>
      <c r="B670" s="304">
        <f t="shared" ca="1" si="297"/>
        <v>47.10720000000061</v>
      </c>
      <c r="D670" s="306">
        <f t="shared" ca="1" si="298"/>
        <v>-0.32169576646438375</v>
      </c>
      <c r="E670" s="307">
        <f t="shared" ca="1" si="299"/>
        <v>-4.9844781016348705E-2</v>
      </c>
      <c r="F670" s="304">
        <f t="shared" ca="1" si="300"/>
        <v>0.32553443497681633</v>
      </c>
      <c r="G670" s="306">
        <f t="shared" ca="1" si="301"/>
        <v>4.0387322713143661</v>
      </c>
      <c r="H670" s="307">
        <f t="shared" ca="1" si="302"/>
        <v>-122.53493377525649</v>
      </c>
      <c r="I670" s="304">
        <f t="shared" ca="1" si="303"/>
        <v>122.60147370103611</v>
      </c>
      <c r="J670" s="306">
        <f t="shared" ca="1" si="304"/>
        <v>677.64536374242232</v>
      </c>
      <c r="K670" s="307">
        <f t="shared" ca="1" si="305"/>
        <v>-10.575912914027265</v>
      </c>
      <c r="L670" s="304">
        <f t="shared" ca="1" si="290"/>
        <v>677.72788708711471</v>
      </c>
      <c r="M670" s="306">
        <f t="shared" ca="1" si="306"/>
        <v>-1.5378484105930439</v>
      </c>
      <c r="N670" s="304">
        <f t="shared" ca="1" si="307"/>
        <v>-88.112223457883132</v>
      </c>
      <c r="P670" s="310">
        <f t="shared" ca="1" si="308"/>
        <v>23</v>
      </c>
      <c r="Q670" s="304">
        <f t="shared" ca="1" si="309"/>
        <v>0</v>
      </c>
      <c r="R670" s="306">
        <f t="shared" ca="1" si="310"/>
        <v>0</v>
      </c>
      <c r="S670" s="307">
        <f t="shared" ca="1" si="311"/>
        <v>2.0842999999999985</v>
      </c>
      <c r="T670" s="304">
        <f t="shared" ca="1" si="291"/>
        <v>20.446982999999985</v>
      </c>
      <c r="U670" s="311">
        <f t="shared" ca="1" si="292"/>
        <v>0</v>
      </c>
      <c r="V670" s="306">
        <f t="shared" ca="1" si="293"/>
        <v>1.2262962347752735</v>
      </c>
      <c r="W670" s="304">
        <f t="shared" ca="1" si="294"/>
        <v>20.354164815559631</v>
      </c>
      <c r="Y670" s="314" t="str">
        <f t="shared" ca="1" si="312"/>
        <v/>
      </c>
      <c r="Z670" s="315" t="str">
        <f t="shared" ca="1" si="313"/>
        <v/>
      </c>
      <c r="AA670" s="316" t="str">
        <f t="shared" ca="1" si="314"/>
        <v/>
      </c>
      <c r="AC670" s="310" t="e">
        <f t="shared" ca="1" si="315"/>
        <v>#N/A</v>
      </c>
      <c r="AD670" s="323" t="e">
        <f t="shared" ca="1" si="316"/>
        <v>#N/A</v>
      </c>
      <c r="AE670" s="324" t="e">
        <f t="shared" ca="1" si="295"/>
        <v>#N/A</v>
      </c>
      <c r="AG670" s="306">
        <f t="shared" ca="1" si="317"/>
        <v>3.9220355830289932E-2</v>
      </c>
      <c r="AH670" s="304">
        <f t="shared" ca="1" si="318"/>
        <v>-9.7654553434448168</v>
      </c>
    </row>
    <row r="671" spans="1:34" x14ac:dyDescent="0.25">
      <c r="A671" s="347">
        <f t="shared" ca="1" si="296"/>
        <v>1E-4</v>
      </c>
      <c r="B671" s="304">
        <f t="shared" ca="1" si="297"/>
        <v>47.107300000000613</v>
      </c>
      <c r="D671" s="306">
        <f t="shared" ca="1" si="298"/>
        <v>-0.32169360857038232</v>
      </c>
      <c r="E671" s="307">
        <f t="shared" ca="1" si="299"/>
        <v>-4.9832112152667918E-2</v>
      </c>
      <c r="F671" s="304">
        <f t="shared" ca="1" si="300"/>
        <v>0.32553036294120158</v>
      </c>
      <c r="G671" s="306">
        <f t="shared" ca="1" si="301"/>
        <v>4.0387001019535091</v>
      </c>
      <c r="H671" s="307">
        <f t="shared" ca="1" si="302"/>
        <v>-122.5349387584677</v>
      </c>
      <c r="I671" s="304">
        <f t="shared" ca="1" si="303"/>
        <v>122.60147762182538</v>
      </c>
      <c r="J671" s="306">
        <f t="shared" ca="1" si="304"/>
        <v>677.64536374242232</v>
      </c>
      <c r="K671" s="307">
        <f t="shared" ca="1" si="305"/>
        <v>-10.588166407653951</v>
      </c>
      <c r="L671" s="304">
        <f t="shared" ca="1" si="290"/>
        <v>677.72807841307269</v>
      </c>
      <c r="M671" s="306">
        <f t="shared" ca="1" si="306"/>
        <v>-1.5378486741792485</v>
      </c>
      <c r="N671" s="304">
        <f t="shared" ca="1" si="307"/>
        <v>-88.112238560260195</v>
      </c>
      <c r="P671" s="310">
        <f t="shared" ca="1" si="308"/>
        <v>23</v>
      </c>
      <c r="Q671" s="304">
        <f t="shared" ca="1" si="309"/>
        <v>0</v>
      </c>
      <c r="R671" s="306">
        <f t="shared" ca="1" si="310"/>
        <v>0</v>
      </c>
      <c r="S671" s="307">
        <f t="shared" ca="1" si="311"/>
        <v>2.0842999999999985</v>
      </c>
      <c r="T671" s="304">
        <f t="shared" ca="1" si="291"/>
        <v>20.446982999999985</v>
      </c>
      <c r="U671" s="311">
        <f t="shared" ca="1" si="292"/>
        <v>0</v>
      </c>
      <c r="V671" s="306">
        <f t="shared" ca="1" si="293"/>
        <v>1.2262977374179245</v>
      </c>
      <c r="W671" s="304">
        <f t="shared" ca="1" si="294"/>
        <v>20.354191058396832</v>
      </c>
      <c r="Y671" s="314" t="str">
        <f t="shared" ca="1" si="312"/>
        <v/>
      </c>
      <c r="Z671" s="315" t="str">
        <f t="shared" ca="1" si="313"/>
        <v/>
      </c>
      <c r="AA671" s="316" t="str">
        <f t="shared" ca="1" si="314"/>
        <v/>
      </c>
      <c r="AC671" s="310" t="e">
        <f t="shared" ca="1" si="315"/>
        <v>#N/A</v>
      </c>
      <c r="AD671" s="323" t="e">
        <f t="shared" ca="1" si="316"/>
        <v>#N/A</v>
      </c>
      <c r="AE671" s="324" t="e">
        <f t="shared" ca="1" si="295"/>
        <v>#N/A</v>
      </c>
      <c r="AG671" s="306">
        <f t="shared" ca="1" si="317"/>
        <v>3.9207850109709952E-2</v>
      </c>
      <c r="AH671" s="304">
        <f t="shared" ca="1" si="318"/>
        <v>-9.7654679343470931</v>
      </c>
    </row>
    <row r="672" spans="1:34" x14ac:dyDescent="0.25">
      <c r="A672" s="347">
        <f t="shared" ca="1" si="296"/>
        <v>1E-4</v>
      </c>
      <c r="B672" s="304">
        <f t="shared" ca="1" si="297"/>
        <v>47.107400000000617</v>
      </c>
      <c r="D672" s="306">
        <f t="shared" ca="1" si="298"/>
        <v>-0.32169145068437216</v>
      </c>
      <c r="E672" s="307">
        <f t="shared" ca="1" si="299"/>
        <v>-4.9819443472543412E-2</v>
      </c>
      <c r="F672" s="304">
        <f t="shared" ca="1" si="300"/>
        <v>0.32552629139799105</v>
      </c>
      <c r="G672" s="306">
        <f t="shared" ca="1" si="301"/>
        <v>4.0386679328084405</v>
      </c>
      <c r="H672" s="307">
        <f t="shared" ca="1" si="302"/>
        <v>-122.53494374041205</v>
      </c>
      <c r="I672" s="304">
        <f t="shared" ca="1" si="303"/>
        <v>122.60148154136409</v>
      </c>
      <c r="J672" s="306">
        <f t="shared" ca="1" si="304"/>
        <v>677.64536374242232</v>
      </c>
      <c r="K672" s="307">
        <f t="shared" ca="1" si="305"/>
        <v>-10.600419901778896</v>
      </c>
      <c r="L672" s="304">
        <f t="shared" ca="1" si="290"/>
        <v>677.72826996053061</v>
      </c>
      <c r="M672" s="306">
        <f t="shared" ca="1" si="306"/>
        <v>-1.5378489377633371</v>
      </c>
      <c r="N672" s="304">
        <f t="shared" ca="1" si="307"/>
        <v>-88.112253662516025</v>
      </c>
      <c r="P672" s="310">
        <f t="shared" ca="1" si="308"/>
        <v>23</v>
      </c>
      <c r="Q672" s="304">
        <f t="shared" ca="1" si="309"/>
        <v>0</v>
      </c>
      <c r="R672" s="306">
        <f t="shared" ca="1" si="310"/>
        <v>0</v>
      </c>
      <c r="S672" s="307">
        <f t="shared" ca="1" si="311"/>
        <v>2.0842999999999985</v>
      </c>
      <c r="T672" s="304">
        <f t="shared" ca="1" si="291"/>
        <v>20.446982999999985</v>
      </c>
      <c r="U672" s="311">
        <f t="shared" ca="1" si="292"/>
        <v>0</v>
      </c>
      <c r="V672" s="306">
        <f t="shared" ca="1" si="293"/>
        <v>1.226299240062479</v>
      </c>
      <c r="W672" s="304">
        <f t="shared" ca="1" si="294"/>
        <v>20.354217300853623</v>
      </c>
      <c r="Y672" s="314" t="str">
        <f t="shared" ca="1" si="312"/>
        <v/>
      </c>
      <c r="Z672" s="315" t="str">
        <f t="shared" ca="1" si="313"/>
        <v/>
      </c>
      <c r="AA672" s="316" t="str">
        <f t="shared" ca="1" si="314"/>
        <v/>
      </c>
      <c r="AC672" s="310" t="e">
        <f t="shared" ca="1" si="315"/>
        <v>#N/A</v>
      </c>
      <c r="AD672" s="323" t="e">
        <f t="shared" ca="1" si="316"/>
        <v>#N/A</v>
      </c>
      <c r="AE672" s="324" t="e">
        <f t="shared" ca="1" si="295"/>
        <v>#N/A</v>
      </c>
      <c r="AG672" s="306">
        <f t="shared" ca="1" si="317"/>
        <v>3.9195344570275736E-2</v>
      </c>
      <c r="AH672" s="304">
        <f t="shared" ca="1" si="318"/>
        <v>-9.7654805250668559</v>
      </c>
    </row>
    <row r="673" spans="1:34" x14ac:dyDescent="0.25">
      <c r="A673" s="347">
        <f t="shared" ca="1" si="296"/>
        <v>1E-4</v>
      </c>
      <c r="B673" s="304">
        <f t="shared" ca="1" si="297"/>
        <v>47.10750000000062</v>
      </c>
      <c r="D673" s="306">
        <f t="shared" ca="1" si="298"/>
        <v>-0.32168929280634684</v>
      </c>
      <c r="E673" s="307">
        <f t="shared" ca="1" si="299"/>
        <v>-4.9806774975973411E-2</v>
      </c>
      <c r="F673" s="304">
        <f t="shared" ca="1" si="300"/>
        <v>0.3255222203471751</v>
      </c>
      <c r="G673" s="306">
        <f t="shared" ca="1" si="301"/>
        <v>4.0386357638791601</v>
      </c>
      <c r="H673" s="307">
        <f t="shared" ca="1" si="302"/>
        <v>-122.53494872108955</v>
      </c>
      <c r="I673" s="304">
        <f t="shared" ca="1" si="303"/>
        <v>122.60148545965228</v>
      </c>
      <c r="J673" s="306">
        <f t="shared" ca="1" si="304"/>
        <v>677.64536374242232</v>
      </c>
      <c r="K673" s="307">
        <f t="shared" ca="1" si="305"/>
        <v>-10.61267339640197</v>
      </c>
      <c r="L673" s="304">
        <f t="shared" ca="1" si="290"/>
        <v>677.72846172948834</v>
      </c>
      <c r="M673" s="306">
        <f t="shared" ca="1" si="306"/>
        <v>-1.5378492013453091</v>
      </c>
      <c r="N673" s="304">
        <f t="shared" ca="1" si="307"/>
        <v>-88.11226876465058</v>
      </c>
      <c r="P673" s="310">
        <f t="shared" ca="1" si="308"/>
        <v>23</v>
      </c>
      <c r="Q673" s="304">
        <f t="shared" ca="1" si="309"/>
        <v>0</v>
      </c>
      <c r="R673" s="306">
        <f t="shared" ca="1" si="310"/>
        <v>0</v>
      </c>
      <c r="S673" s="307">
        <f t="shared" ca="1" si="311"/>
        <v>2.0842999999999985</v>
      </c>
      <c r="T673" s="304">
        <f t="shared" ca="1" si="291"/>
        <v>20.446982999999985</v>
      </c>
      <c r="U673" s="311">
        <f t="shared" ca="1" si="292"/>
        <v>0</v>
      </c>
      <c r="V673" s="306">
        <f t="shared" ca="1" si="293"/>
        <v>1.2263007427089363</v>
      </c>
      <c r="W673" s="304">
        <f t="shared" ca="1" si="294"/>
        <v>20.354243542930003</v>
      </c>
      <c r="Y673" s="314" t="str">
        <f t="shared" ca="1" si="312"/>
        <v/>
      </c>
      <c r="Z673" s="315" t="str">
        <f t="shared" ca="1" si="313"/>
        <v/>
      </c>
      <c r="AA673" s="316" t="str">
        <f t="shared" ca="1" si="314"/>
        <v/>
      </c>
      <c r="AC673" s="310" t="e">
        <f t="shared" ca="1" si="315"/>
        <v>#N/A</v>
      </c>
      <c r="AD673" s="323" t="e">
        <f t="shared" ca="1" si="316"/>
        <v>#N/A</v>
      </c>
      <c r="AE673" s="324" t="e">
        <f t="shared" ca="1" si="295"/>
        <v>#N/A</v>
      </c>
      <c r="AG673" s="306">
        <f t="shared" ca="1" si="317"/>
        <v>3.9182839211992615E-2</v>
      </c>
      <c r="AH673" s="304">
        <f t="shared" ca="1" si="318"/>
        <v>-9.7654931156041052</v>
      </c>
    </row>
    <row r="674" spans="1:34" x14ac:dyDescent="0.25">
      <c r="A674" s="347">
        <f t="shared" ca="1" si="296"/>
        <v>1E-4</v>
      </c>
      <c r="B674" s="304">
        <f t="shared" ca="1" si="297"/>
        <v>47.107600000000623</v>
      </c>
      <c r="D674" s="306">
        <f t="shared" ca="1" si="298"/>
        <v>-0.32168713493631113</v>
      </c>
      <c r="E674" s="307">
        <f t="shared" ca="1" si="299"/>
        <v>-4.9794106662954363E-2</v>
      </c>
      <c r="F674" s="304">
        <f t="shared" ca="1" si="300"/>
        <v>0.32551814978875465</v>
      </c>
      <c r="G674" s="306">
        <f t="shared" ca="1" si="301"/>
        <v>4.0386035951656662</v>
      </c>
      <c r="H674" s="307">
        <f t="shared" ca="1" si="302"/>
        <v>-122.53495370050021</v>
      </c>
      <c r="I674" s="304">
        <f t="shared" ca="1" si="303"/>
        <v>122.60148937668994</v>
      </c>
      <c r="J674" s="306">
        <f t="shared" ca="1" si="304"/>
        <v>677.64536374242232</v>
      </c>
      <c r="K674" s="307">
        <f t="shared" ca="1" si="305"/>
        <v>-10.624926891523049</v>
      </c>
      <c r="L674" s="304">
        <f t="shared" ca="1" si="290"/>
        <v>677.72865371994567</v>
      </c>
      <c r="M674" s="306">
        <f t="shared" ca="1" si="306"/>
        <v>-1.5378494649251648</v>
      </c>
      <c r="N674" s="304">
        <f t="shared" ca="1" si="307"/>
        <v>-88.112283866663873</v>
      </c>
      <c r="P674" s="310">
        <f t="shared" ca="1" si="308"/>
        <v>23</v>
      </c>
      <c r="Q674" s="304">
        <f t="shared" ca="1" si="309"/>
        <v>0</v>
      </c>
      <c r="R674" s="306">
        <f t="shared" ca="1" si="310"/>
        <v>0</v>
      </c>
      <c r="S674" s="307">
        <f t="shared" ca="1" si="311"/>
        <v>2.0842999999999985</v>
      </c>
      <c r="T674" s="304">
        <f t="shared" ca="1" si="291"/>
        <v>20.446982999999985</v>
      </c>
      <c r="U674" s="311">
        <f t="shared" ca="1" si="292"/>
        <v>0</v>
      </c>
      <c r="V674" s="306">
        <f t="shared" ca="1" si="293"/>
        <v>1.2263022453572976</v>
      </c>
      <c r="W674" s="304">
        <f t="shared" ca="1" si="294"/>
        <v>20.354269784625995</v>
      </c>
      <c r="Y674" s="314" t="str">
        <f t="shared" ca="1" si="312"/>
        <v/>
      </c>
      <c r="Z674" s="315" t="str">
        <f t="shared" ca="1" si="313"/>
        <v/>
      </c>
      <c r="AA674" s="316" t="str">
        <f t="shared" ca="1" si="314"/>
        <v/>
      </c>
      <c r="AC674" s="310" t="e">
        <f t="shared" ca="1" si="315"/>
        <v>#N/A</v>
      </c>
      <c r="AD674" s="323" t="e">
        <f t="shared" ca="1" si="316"/>
        <v>#N/A</v>
      </c>
      <c r="AE674" s="324" t="e">
        <f t="shared" ca="1" si="295"/>
        <v>#N/A</v>
      </c>
      <c r="AG674" s="306">
        <f t="shared" ca="1" si="317"/>
        <v>3.9170334034853482E-2</v>
      </c>
      <c r="AH674" s="304">
        <f t="shared" ca="1" si="318"/>
        <v>-9.7655057059588444</v>
      </c>
    </row>
    <row r="675" spans="1:34" x14ac:dyDescent="0.25">
      <c r="A675" s="347">
        <f t="shared" ca="1" si="296"/>
        <v>1E-4</v>
      </c>
      <c r="B675" s="304">
        <f t="shared" ca="1" si="297"/>
        <v>47.107700000000627</v>
      </c>
      <c r="D675" s="306">
        <f t="shared" ca="1" si="298"/>
        <v>-0.32168497707426325</v>
      </c>
      <c r="E675" s="307">
        <f t="shared" ca="1" si="299"/>
        <v>-4.9781438533480937E-2</v>
      </c>
      <c r="F675" s="304">
        <f t="shared" ca="1" si="300"/>
        <v>0.32551407972272411</v>
      </c>
      <c r="G675" s="306">
        <f t="shared" ca="1" si="301"/>
        <v>4.0385714266679589</v>
      </c>
      <c r="H675" s="307">
        <f t="shared" ca="1" si="302"/>
        <v>-122.53495867864406</v>
      </c>
      <c r="I675" s="304">
        <f t="shared" ca="1" si="303"/>
        <v>122.6014932924771</v>
      </c>
      <c r="J675" s="306">
        <f t="shared" ca="1" si="304"/>
        <v>677.64536374242232</v>
      </c>
      <c r="K675" s="307">
        <f t="shared" ca="1" si="305"/>
        <v>-10.637180387142006</v>
      </c>
      <c r="L675" s="304">
        <f t="shared" ca="1" si="290"/>
        <v>677.72884593190247</v>
      </c>
      <c r="M675" s="306">
        <f t="shared" ca="1" si="306"/>
        <v>-1.5378497285029042</v>
      </c>
      <c r="N675" s="304">
        <f t="shared" ca="1" si="307"/>
        <v>-88.112298968555919</v>
      </c>
      <c r="P675" s="310">
        <f t="shared" ca="1" si="308"/>
        <v>23</v>
      </c>
      <c r="Q675" s="304">
        <f t="shared" ca="1" si="309"/>
        <v>0</v>
      </c>
      <c r="R675" s="306">
        <f t="shared" ca="1" si="310"/>
        <v>0</v>
      </c>
      <c r="S675" s="307">
        <f t="shared" ca="1" si="311"/>
        <v>2.0842999999999985</v>
      </c>
      <c r="T675" s="304">
        <f t="shared" ca="1" si="291"/>
        <v>20.446982999999985</v>
      </c>
      <c r="U675" s="311">
        <f t="shared" ca="1" si="292"/>
        <v>0</v>
      </c>
      <c r="V675" s="306">
        <f t="shared" ca="1" si="293"/>
        <v>1.2263037480075616</v>
      </c>
      <c r="W675" s="304">
        <f t="shared" ca="1" si="294"/>
        <v>20.354296025941583</v>
      </c>
      <c r="Y675" s="314" t="str">
        <f t="shared" ca="1" si="312"/>
        <v/>
      </c>
      <c r="Z675" s="315" t="str">
        <f t="shared" ca="1" si="313"/>
        <v/>
      </c>
      <c r="AA675" s="316" t="str">
        <f t="shared" ca="1" si="314"/>
        <v/>
      </c>
      <c r="AC675" s="310" t="e">
        <f t="shared" ca="1" si="315"/>
        <v>#N/A</v>
      </c>
      <c r="AD675" s="323" t="e">
        <f t="shared" ca="1" si="316"/>
        <v>#N/A</v>
      </c>
      <c r="AE675" s="324" t="e">
        <f t="shared" ca="1" si="295"/>
        <v>#N/A</v>
      </c>
      <c r="AG675" s="306">
        <f t="shared" ca="1" si="317"/>
        <v>3.9157829038854786E-2</v>
      </c>
      <c r="AH675" s="304">
        <f t="shared" ca="1" si="318"/>
        <v>-9.7655182961310789</v>
      </c>
    </row>
    <row r="676" spans="1:34" x14ac:dyDescent="0.25">
      <c r="A676" s="347">
        <f t="shared" ca="1" si="296"/>
        <v>1E-4</v>
      </c>
      <c r="B676" s="304">
        <f t="shared" ca="1" si="297"/>
        <v>47.10780000000063</v>
      </c>
      <c r="D676" s="306">
        <f t="shared" ca="1" si="298"/>
        <v>-0.32168281922020336</v>
      </c>
      <c r="E676" s="307">
        <f t="shared" ca="1" si="299"/>
        <v>-4.9768770587554911E-2</v>
      </c>
      <c r="F676" s="304">
        <f t="shared" ca="1" si="300"/>
        <v>0.32551001014908082</v>
      </c>
      <c r="G676" s="306">
        <f t="shared" ca="1" si="301"/>
        <v>4.0385392583860371</v>
      </c>
      <c r="H676" s="307">
        <f t="shared" ca="1" si="302"/>
        <v>-122.53496365552112</v>
      </c>
      <c r="I676" s="304">
        <f t="shared" ca="1" si="303"/>
        <v>122.60149720701378</v>
      </c>
      <c r="J676" s="306">
        <f t="shared" ca="1" si="304"/>
        <v>677.64536374242232</v>
      </c>
      <c r="K676" s="307">
        <f t="shared" ca="1" si="305"/>
        <v>-10.649433883258714</v>
      </c>
      <c r="L676" s="304">
        <f t="shared" ca="1" si="290"/>
        <v>677.72903836535863</v>
      </c>
      <c r="M676" s="306">
        <f t="shared" ca="1" si="306"/>
        <v>-1.5378499920785274</v>
      </c>
      <c r="N676" s="304">
        <f t="shared" ca="1" si="307"/>
        <v>-88.112314070326704</v>
      </c>
      <c r="P676" s="310">
        <f t="shared" ca="1" si="308"/>
        <v>23</v>
      </c>
      <c r="Q676" s="304">
        <f t="shared" ca="1" si="309"/>
        <v>0</v>
      </c>
      <c r="R676" s="306">
        <f t="shared" ca="1" si="310"/>
        <v>0</v>
      </c>
      <c r="S676" s="307">
        <f t="shared" ca="1" si="311"/>
        <v>2.0842999999999985</v>
      </c>
      <c r="T676" s="304">
        <f t="shared" ca="1" si="291"/>
        <v>20.446982999999985</v>
      </c>
      <c r="U676" s="311">
        <f t="shared" ca="1" si="292"/>
        <v>0</v>
      </c>
      <c r="V676" s="306">
        <f t="shared" ca="1" si="293"/>
        <v>1.2263052506597296</v>
      </c>
      <c r="W676" s="304">
        <f t="shared" ca="1" si="294"/>
        <v>20.354322266876785</v>
      </c>
      <c r="Y676" s="314" t="str">
        <f t="shared" ca="1" si="312"/>
        <v/>
      </c>
      <c r="Z676" s="315" t="str">
        <f t="shared" ca="1" si="313"/>
        <v/>
      </c>
      <c r="AA676" s="316" t="str">
        <f t="shared" ca="1" si="314"/>
        <v/>
      </c>
      <c r="AC676" s="310" t="e">
        <f t="shared" ca="1" si="315"/>
        <v>#N/A</v>
      </c>
      <c r="AD676" s="323" t="e">
        <f t="shared" ca="1" si="316"/>
        <v>#N/A</v>
      </c>
      <c r="AE676" s="324" t="e">
        <f t="shared" ca="1" si="295"/>
        <v>#N/A</v>
      </c>
      <c r="AG676" s="306">
        <f t="shared" ca="1" si="317"/>
        <v>3.9145324223996525E-2</v>
      </c>
      <c r="AH676" s="304">
        <f t="shared" ca="1" si="318"/>
        <v>-9.765530886120807</v>
      </c>
    </row>
    <row r="677" spans="1:34" x14ac:dyDescent="0.25">
      <c r="A677" s="347">
        <f t="shared" ca="1" si="296"/>
        <v>1E-4</v>
      </c>
      <c r="B677" s="304">
        <f t="shared" ca="1" si="297"/>
        <v>47.107900000000633</v>
      </c>
      <c r="D677" s="306">
        <f t="shared" ca="1" si="298"/>
        <v>-0.32168066137413187</v>
      </c>
      <c r="E677" s="307">
        <f t="shared" ca="1" si="299"/>
        <v>-4.9756102825170956E-2</v>
      </c>
      <c r="F677" s="304">
        <f t="shared" ca="1" si="300"/>
        <v>0.32550594106782116</v>
      </c>
      <c r="G677" s="306">
        <f t="shared" ca="1" si="301"/>
        <v>4.0385070903199001</v>
      </c>
      <c r="H677" s="307">
        <f t="shared" ca="1" si="302"/>
        <v>-122.53496863113141</v>
      </c>
      <c r="I677" s="304">
        <f t="shared" ca="1" si="303"/>
        <v>122.6015011203</v>
      </c>
      <c r="J677" s="306">
        <f t="shared" ca="1" si="304"/>
        <v>677.64536374242232</v>
      </c>
      <c r="K677" s="307">
        <f t="shared" ca="1" si="305"/>
        <v>-10.661687379873047</v>
      </c>
      <c r="L677" s="304">
        <f t="shared" ca="1" si="290"/>
        <v>677.72923102031393</v>
      </c>
      <c r="M677" s="306">
        <f t="shared" ca="1" si="306"/>
        <v>-1.5378502556520341</v>
      </c>
      <c r="N677" s="304">
        <f t="shared" ca="1" si="307"/>
        <v>-88.112329171976228</v>
      </c>
      <c r="P677" s="310">
        <f t="shared" ca="1" si="308"/>
        <v>23</v>
      </c>
      <c r="Q677" s="304">
        <f t="shared" ca="1" si="309"/>
        <v>0</v>
      </c>
      <c r="R677" s="306">
        <f t="shared" ca="1" si="310"/>
        <v>0</v>
      </c>
      <c r="S677" s="307">
        <f t="shared" ca="1" si="311"/>
        <v>2.0842999999999985</v>
      </c>
      <c r="T677" s="304">
        <f t="shared" ca="1" si="291"/>
        <v>20.446982999999985</v>
      </c>
      <c r="U677" s="311">
        <f t="shared" ca="1" si="292"/>
        <v>0</v>
      </c>
      <c r="V677" s="306">
        <f t="shared" ca="1" si="293"/>
        <v>1.2263067533138003</v>
      </c>
      <c r="W677" s="304">
        <f t="shared" ca="1" si="294"/>
        <v>20.354348507431599</v>
      </c>
      <c r="Y677" s="314" t="str">
        <f t="shared" ca="1" si="312"/>
        <v/>
      </c>
      <c r="Z677" s="315" t="str">
        <f t="shared" ca="1" si="313"/>
        <v/>
      </c>
      <c r="AA677" s="316" t="str">
        <f t="shared" ca="1" si="314"/>
        <v/>
      </c>
      <c r="AC677" s="310" t="e">
        <f t="shared" ca="1" si="315"/>
        <v>#N/A</v>
      </c>
      <c r="AD677" s="323" t="e">
        <f t="shared" ca="1" si="316"/>
        <v>#N/A</v>
      </c>
      <c r="AE677" s="324" t="e">
        <f t="shared" ca="1" si="295"/>
        <v>#N/A</v>
      </c>
      <c r="AG677" s="306">
        <f t="shared" ca="1" si="317"/>
        <v>3.9132819590275147E-2</v>
      </c>
      <c r="AH677" s="304">
        <f t="shared" ca="1" si="318"/>
        <v>-9.765543475928034</v>
      </c>
    </row>
    <row r="678" spans="1:34" x14ac:dyDescent="0.25">
      <c r="A678" s="347">
        <f t="shared" ca="1" si="296"/>
        <v>1E-4</v>
      </c>
      <c r="B678" s="304">
        <f t="shared" ca="1" si="297"/>
        <v>47.108000000000636</v>
      </c>
      <c r="D678" s="306">
        <f t="shared" ca="1" si="298"/>
        <v>-0.32167850353604893</v>
      </c>
      <c r="E678" s="307">
        <f t="shared" ca="1" si="299"/>
        <v>-4.9743435246332623E-2</v>
      </c>
      <c r="F678" s="304">
        <f t="shared" ca="1" si="300"/>
        <v>0.3255018724789428</v>
      </c>
      <c r="G678" s="306">
        <f t="shared" ca="1" si="301"/>
        <v>4.0384749224695469</v>
      </c>
      <c r="H678" s="307">
        <f t="shared" ca="1" si="302"/>
        <v>-122.53497360547493</v>
      </c>
      <c r="I678" s="304">
        <f t="shared" ca="1" si="303"/>
        <v>122.60150503233577</v>
      </c>
      <c r="J678" s="306">
        <f t="shared" ca="1" si="304"/>
        <v>677.64536374242232</v>
      </c>
      <c r="K678" s="307">
        <f t="shared" ca="1" si="305"/>
        <v>-10.673940876984878</v>
      </c>
      <c r="L678" s="304">
        <f t="shared" ca="1" si="290"/>
        <v>677.72942389676814</v>
      </c>
      <c r="M678" s="306">
        <f t="shared" ca="1" si="306"/>
        <v>-1.5378505192234246</v>
      </c>
      <c r="N678" s="304">
        <f t="shared" ca="1" si="307"/>
        <v>-88.112344273504505</v>
      </c>
      <c r="P678" s="310">
        <f t="shared" ca="1" si="308"/>
        <v>23</v>
      </c>
      <c r="Q678" s="304">
        <f t="shared" ca="1" si="309"/>
        <v>0</v>
      </c>
      <c r="R678" s="306">
        <f t="shared" ca="1" si="310"/>
        <v>0</v>
      </c>
      <c r="S678" s="307">
        <f t="shared" ca="1" si="311"/>
        <v>2.0842999999999985</v>
      </c>
      <c r="T678" s="304">
        <f t="shared" ca="1" si="291"/>
        <v>20.446982999999985</v>
      </c>
      <c r="U678" s="311">
        <f t="shared" ca="1" si="292"/>
        <v>0</v>
      </c>
      <c r="V678" s="306">
        <f t="shared" ca="1" si="293"/>
        <v>1.2263082559697744</v>
      </c>
      <c r="W678" s="304">
        <f t="shared" ca="1" si="294"/>
        <v>20.354374747606023</v>
      </c>
      <c r="Y678" s="314" t="str">
        <f t="shared" ca="1" si="312"/>
        <v/>
      </c>
      <c r="Z678" s="315" t="str">
        <f t="shared" ca="1" si="313"/>
        <v/>
      </c>
      <c r="AA678" s="316" t="str">
        <f t="shared" ca="1" si="314"/>
        <v/>
      </c>
      <c r="AC678" s="310" t="e">
        <f t="shared" ca="1" si="315"/>
        <v>#N/A</v>
      </c>
      <c r="AD678" s="323" t="e">
        <f t="shared" ca="1" si="316"/>
        <v>#N/A</v>
      </c>
      <c r="AE678" s="324" t="e">
        <f t="shared" ca="1" si="295"/>
        <v>#N/A</v>
      </c>
      <c r="AG678" s="306">
        <f t="shared" ca="1" si="317"/>
        <v>3.912031513769243E-2</v>
      </c>
      <c r="AH678" s="304">
        <f t="shared" ca="1" si="318"/>
        <v>-9.765556065552758</v>
      </c>
    </row>
    <row r="679" spans="1:34" x14ac:dyDescent="0.25">
      <c r="A679" s="347">
        <f t="shared" ca="1" si="296"/>
        <v>1E-4</v>
      </c>
      <c r="B679" s="304">
        <f t="shared" ca="1" si="297"/>
        <v>47.10810000000064</v>
      </c>
      <c r="D679" s="306">
        <f t="shared" ca="1" si="298"/>
        <v>-0.32167634570595482</v>
      </c>
      <c r="E679" s="307">
        <f t="shared" ca="1" si="299"/>
        <v>-4.9730767851036362E-2</v>
      </c>
      <c r="F679" s="304">
        <f t="shared" ca="1" si="300"/>
        <v>0.32549780438244225</v>
      </c>
      <c r="G679" s="306">
        <f t="shared" ca="1" si="301"/>
        <v>4.0384427548349766</v>
      </c>
      <c r="H679" s="307">
        <f t="shared" ca="1" si="302"/>
        <v>-122.53497857855172</v>
      </c>
      <c r="I679" s="304">
        <f t="shared" ca="1" si="303"/>
        <v>122.60150894312112</v>
      </c>
      <c r="J679" s="306">
        <f t="shared" ca="1" si="304"/>
        <v>677.64536374242232</v>
      </c>
      <c r="K679" s="307">
        <f t="shared" ca="1" si="305"/>
        <v>-10.686194374594079</v>
      </c>
      <c r="L679" s="304">
        <f t="shared" ca="1" si="290"/>
        <v>677.72961699472114</v>
      </c>
      <c r="M679" s="306">
        <f t="shared" ca="1" si="306"/>
        <v>-1.537850782792699</v>
      </c>
      <c r="N679" s="304">
        <f t="shared" ca="1" si="307"/>
        <v>-88.112359374911534</v>
      </c>
      <c r="P679" s="310">
        <f t="shared" ca="1" si="308"/>
        <v>23</v>
      </c>
      <c r="Q679" s="304">
        <f t="shared" ca="1" si="309"/>
        <v>0</v>
      </c>
      <c r="R679" s="306">
        <f t="shared" ca="1" si="310"/>
        <v>0</v>
      </c>
      <c r="S679" s="307">
        <f t="shared" ca="1" si="311"/>
        <v>2.0842999999999985</v>
      </c>
      <c r="T679" s="304">
        <f t="shared" ca="1" si="291"/>
        <v>20.446982999999985</v>
      </c>
      <c r="U679" s="311">
        <f t="shared" ca="1" si="292"/>
        <v>0</v>
      </c>
      <c r="V679" s="306">
        <f t="shared" ca="1" si="293"/>
        <v>1.2263097586276519</v>
      </c>
      <c r="W679" s="304">
        <f t="shared" ca="1" si="294"/>
        <v>20.354400987400084</v>
      </c>
      <c r="Y679" s="314" t="str">
        <f t="shared" ca="1" si="312"/>
        <v/>
      </c>
      <c r="Z679" s="315" t="str">
        <f t="shared" ca="1" si="313"/>
        <v/>
      </c>
      <c r="AA679" s="316" t="str">
        <f t="shared" ca="1" si="314"/>
        <v/>
      </c>
      <c r="AC679" s="310" t="e">
        <f t="shared" ca="1" si="315"/>
        <v>#N/A</v>
      </c>
      <c r="AD679" s="323" t="e">
        <f t="shared" ca="1" si="316"/>
        <v>#N/A</v>
      </c>
      <c r="AE679" s="324" t="e">
        <f t="shared" ca="1" si="295"/>
        <v>#N/A</v>
      </c>
      <c r="AG679" s="306">
        <f t="shared" ca="1" si="317"/>
        <v>3.9107810866243042E-2</v>
      </c>
      <c r="AH679" s="304">
        <f t="shared" ca="1" si="318"/>
        <v>-9.7655686549949809</v>
      </c>
    </row>
    <row r="680" spans="1:34" x14ac:dyDescent="0.25">
      <c r="A680" s="347">
        <f t="shared" ca="1" si="296"/>
        <v>1E-4</v>
      </c>
      <c r="B680" s="304">
        <f t="shared" ca="1" si="297"/>
        <v>47.108200000000643</v>
      </c>
      <c r="D680" s="306">
        <f t="shared" ca="1" si="298"/>
        <v>-0.321674187883848</v>
      </c>
      <c r="E680" s="307">
        <f t="shared" ca="1" si="299"/>
        <v>-4.9718100639269736E-2</v>
      </c>
      <c r="F680" s="304">
        <f t="shared" ca="1" si="300"/>
        <v>0.32549373677831295</v>
      </c>
      <c r="G680" s="306">
        <f t="shared" ca="1" si="301"/>
        <v>4.0384105874161884</v>
      </c>
      <c r="H680" s="307">
        <f t="shared" ca="1" si="302"/>
        <v>-122.53498355036177</v>
      </c>
      <c r="I680" s="304">
        <f t="shared" ca="1" si="303"/>
        <v>122.60151285265604</v>
      </c>
      <c r="J680" s="306">
        <f t="shared" ca="1" si="304"/>
        <v>677.64536374242232</v>
      </c>
      <c r="K680" s="307">
        <f t="shared" ca="1" si="305"/>
        <v>-10.698447872700525</v>
      </c>
      <c r="L680" s="304">
        <f t="shared" ca="1" si="290"/>
        <v>677.72981031417282</v>
      </c>
      <c r="M680" s="306">
        <f t="shared" ca="1" si="306"/>
        <v>-1.5378510463598571</v>
      </c>
      <c r="N680" s="304">
        <f t="shared" ca="1" si="307"/>
        <v>-88.112374476197317</v>
      </c>
      <c r="P680" s="310">
        <f t="shared" ca="1" si="308"/>
        <v>23</v>
      </c>
      <c r="Q680" s="304">
        <f t="shared" ca="1" si="309"/>
        <v>0</v>
      </c>
      <c r="R680" s="306">
        <f t="shared" ca="1" si="310"/>
        <v>0</v>
      </c>
      <c r="S680" s="307">
        <f t="shared" ca="1" si="311"/>
        <v>2.0842999999999985</v>
      </c>
      <c r="T680" s="304">
        <f t="shared" ca="1" si="291"/>
        <v>20.446982999999985</v>
      </c>
      <c r="U680" s="311">
        <f t="shared" ca="1" si="292"/>
        <v>0</v>
      </c>
      <c r="V680" s="306">
        <f t="shared" ca="1" si="293"/>
        <v>1.2263112612874323</v>
      </c>
      <c r="W680" s="304">
        <f t="shared" ca="1" si="294"/>
        <v>20.354427226813748</v>
      </c>
      <c r="Y680" s="314" t="str">
        <f t="shared" ca="1" si="312"/>
        <v/>
      </c>
      <c r="Z680" s="315" t="str">
        <f t="shared" ca="1" si="313"/>
        <v/>
      </c>
      <c r="AA680" s="316" t="str">
        <f t="shared" ca="1" si="314"/>
        <v/>
      </c>
      <c r="AC680" s="310" t="e">
        <f t="shared" ca="1" si="315"/>
        <v>#N/A</v>
      </c>
      <c r="AD680" s="323" t="e">
        <f t="shared" ca="1" si="316"/>
        <v>#N/A</v>
      </c>
      <c r="AE680" s="324" t="e">
        <f t="shared" ca="1" si="295"/>
        <v>#N/A</v>
      </c>
      <c r="AG680" s="306">
        <f t="shared" ca="1" si="317"/>
        <v>3.9095306775921657E-2</v>
      </c>
      <c r="AH680" s="304">
        <f t="shared" ca="1" si="318"/>
        <v>-9.7655812442547134</v>
      </c>
    </row>
    <row r="681" spans="1:34" x14ac:dyDescent="0.25">
      <c r="A681" s="347">
        <f t="shared" ca="1" si="296"/>
        <v>1E-4</v>
      </c>
      <c r="B681" s="304">
        <f t="shared" ca="1" si="297"/>
        <v>47.108300000000646</v>
      </c>
      <c r="D681" s="306">
        <f t="shared" ca="1" si="298"/>
        <v>-0.32167203006973022</v>
      </c>
      <c r="E681" s="307">
        <f t="shared" ca="1" si="299"/>
        <v>-4.9705433611052285E-2</v>
      </c>
      <c r="F681" s="304">
        <f t="shared" ca="1" si="300"/>
        <v>0.32548966966655662</v>
      </c>
      <c r="G681" s="306">
        <f t="shared" ca="1" si="301"/>
        <v>4.0383784202131814</v>
      </c>
      <c r="H681" s="307">
        <f t="shared" ca="1" si="302"/>
        <v>-122.53498852090513</v>
      </c>
      <c r="I681" s="304">
        <f t="shared" ca="1" si="303"/>
        <v>122.60151676094058</v>
      </c>
      <c r="J681" s="306">
        <f t="shared" ca="1" si="304"/>
        <v>677.64536374242232</v>
      </c>
      <c r="K681" s="307">
        <f t="shared" ca="1" si="305"/>
        <v>-10.710701371304088</v>
      </c>
      <c r="L681" s="304">
        <f t="shared" ca="1" si="290"/>
        <v>677.73000385512307</v>
      </c>
      <c r="M681" s="306">
        <f t="shared" ca="1" si="306"/>
        <v>-1.5378513099248992</v>
      </c>
      <c r="N681" s="304">
        <f t="shared" ca="1" si="307"/>
        <v>-88.112389577361853</v>
      </c>
      <c r="P681" s="310">
        <f t="shared" ca="1" si="308"/>
        <v>23</v>
      </c>
      <c r="Q681" s="304">
        <f t="shared" ca="1" si="309"/>
        <v>0</v>
      </c>
      <c r="R681" s="306">
        <f t="shared" ca="1" si="310"/>
        <v>0</v>
      </c>
      <c r="S681" s="307">
        <f t="shared" ca="1" si="311"/>
        <v>2.0842999999999985</v>
      </c>
      <c r="T681" s="304">
        <f t="shared" ca="1" si="291"/>
        <v>20.446982999999985</v>
      </c>
      <c r="U681" s="311">
        <f t="shared" ca="1" si="292"/>
        <v>0</v>
      </c>
      <c r="V681" s="306">
        <f t="shared" ca="1" si="293"/>
        <v>1.2263127639491163</v>
      </c>
      <c r="W681" s="304">
        <f t="shared" ca="1" si="294"/>
        <v>20.354453465847055</v>
      </c>
      <c r="Y681" s="314" t="str">
        <f t="shared" ca="1" si="312"/>
        <v/>
      </c>
      <c r="Z681" s="315" t="str">
        <f t="shared" ca="1" si="313"/>
        <v/>
      </c>
      <c r="AA681" s="316" t="str">
        <f t="shared" ca="1" si="314"/>
        <v/>
      </c>
      <c r="AC681" s="310" t="e">
        <f t="shared" ca="1" si="315"/>
        <v>#N/A</v>
      </c>
      <c r="AD681" s="323" t="e">
        <f t="shared" ca="1" si="316"/>
        <v>#N/A</v>
      </c>
      <c r="AE681" s="324" t="e">
        <f t="shared" ca="1" si="295"/>
        <v>#N/A</v>
      </c>
      <c r="AG681" s="306">
        <f t="shared" ca="1" si="317"/>
        <v>3.9082802866740707E-2</v>
      </c>
      <c r="AH681" s="304">
        <f t="shared" ca="1" si="318"/>
        <v>-9.7655938333319394</v>
      </c>
    </row>
    <row r="682" spans="1:34" x14ac:dyDescent="0.25">
      <c r="A682" s="347">
        <f t="shared" ca="1" si="296"/>
        <v>1E-4</v>
      </c>
      <c r="B682" s="304">
        <f t="shared" ca="1" si="297"/>
        <v>47.10840000000065</v>
      </c>
      <c r="D682" s="306">
        <f t="shared" ca="1" si="298"/>
        <v>-0.32166987226360039</v>
      </c>
      <c r="E682" s="307">
        <f t="shared" ca="1" si="299"/>
        <v>-4.9692766766360918E-2</v>
      </c>
      <c r="F682" s="304">
        <f t="shared" ca="1" si="300"/>
        <v>0.32548560304716539</v>
      </c>
      <c r="G682" s="306">
        <f t="shared" ca="1" si="301"/>
        <v>4.0383462532259546</v>
      </c>
      <c r="H682" s="307">
        <f t="shared" ca="1" si="302"/>
        <v>-122.5349934901818</v>
      </c>
      <c r="I682" s="304">
        <f t="shared" ca="1" si="303"/>
        <v>122.60152066797475</v>
      </c>
      <c r="J682" s="306">
        <f t="shared" ca="1" si="304"/>
        <v>677.64536374242232</v>
      </c>
      <c r="K682" s="307">
        <f t="shared" ca="1" si="305"/>
        <v>-10.722954870404642</v>
      </c>
      <c r="L682" s="304">
        <f t="shared" ca="1" si="290"/>
        <v>677.73019761757155</v>
      </c>
      <c r="M682" s="306">
        <f t="shared" ca="1" si="306"/>
        <v>-1.5378515734878249</v>
      </c>
      <c r="N682" s="304">
        <f t="shared" ca="1" si="307"/>
        <v>-88.112404678405127</v>
      </c>
      <c r="P682" s="310">
        <f t="shared" ca="1" si="308"/>
        <v>23</v>
      </c>
      <c r="Q682" s="304">
        <f t="shared" ca="1" si="309"/>
        <v>0</v>
      </c>
      <c r="R682" s="306">
        <f t="shared" ca="1" si="310"/>
        <v>0</v>
      </c>
      <c r="S682" s="307">
        <f t="shared" ca="1" si="311"/>
        <v>2.0842999999999985</v>
      </c>
      <c r="T682" s="304">
        <f t="shared" ca="1" si="291"/>
        <v>20.446982999999985</v>
      </c>
      <c r="U682" s="311">
        <f t="shared" ca="1" si="292"/>
        <v>0</v>
      </c>
      <c r="V682" s="306">
        <f t="shared" ca="1" si="293"/>
        <v>1.2263142666127036</v>
      </c>
      <c r="W682" s="304">
        <f t="shared" ca="1" si="294"/>
        <v>20.354479704500001</v>
      </c>
      <c r="Y682" s="314" t="str">
        <f t="shared" ca="1" si="312"/>
        <v/>
      </c>
      <c r="Z682" s="315" t="str">
        <f t="shared" ca="1" si="313"/>
        <v/>
      </c>
      <c r="AA682" s="316" t="str">
        <f t="shared" ca="1" si="314"/>
        <v/>
      </c>
      <c r="AC682" s="310" t="e">
        <f t="shared" ca="1" si="315"/>
        <v>#N/A</v>
      </c>
      <c r="AD682" s="323" t="e">
        <f t="shared" ca="1" si="316"/>
        <v>#N/A</v>
      </c>
      <c r="AE682" s="324" t="e">
        <f t="shared" ca="1" si="295"/>
        <v>#N/A</v>
      </c>
      <c r="AG682" s="306">
        <f t="shared" ca="1" si="317"/>
        <v>3.9070299138680653E-2</v>
      </c>
      <c r="AH682" s="304">
        <f t="shared" ca="1" si="318"/>
        <v>-9.7656064222266803</v>
      </c>
    </row>
    <row r="683" spans="1:34" x14ac:dyDescent="0.25">
      <c r="A683" s="347">
        <f t="shared" ca="1" si="296"/>
        <v>1E-4</v>
      </c>
      <c r="B683" s="304">
        <f t="shared" ca="1" si="297"/>
        <v>47.108500000000653</v>
      </c>
      <c r="D683" s="306">
        <f t="shared" ca="1" si="298"/>
        <v>-0.32166771446546072</v>
      </c>
      <c r="E683" s="307">
        <f t="shared" ca="1" si="299"/>
        <v>-4.9680100105199188E-2</v>
      </c>
      <c r="F683" s="304">
        <f t="shared" ca="1" si="300"/>
        <v>0.32548153692013898</v>
      </c>
      <c r="G683" s="306">
        <f t="shared" ca="1" si="301"/>
        <v>4.0383140864545082</v>
      </c>
      <c r="H683" s="307">
        <f t="shared" ca="1" si="302"/>
        <v>-122.53499845819182</v>
      </c>
      <c r="I683" s="304">
        <f t="shared" ca="1" si="303"/>
        <v>122.60152457375858</v>
      </c>
      <c r="J683" s="306">
        <f t="shared" ca="1" si="304"/>
        <v>677.64536374242232</v>
      </c>
      <c r="K683" s="307">
        <f t="shared" ca="1" si="305"/>
        <v>-10.735208370002061</v>
      </c>
      <c r="L683" s="304">
        <f t="shared" ca="1" si="290"/>
        <v>677.73039160151814</v>
      </c>
      <c r="M683" s="306">
        <f t="shared" ca="1" si="306"/>
        <v>-1.5378518370486345</v>
      </c>
      <c r="N683" s="304">
        <f t="shared" ca="1" si="307"/>
        <v>-88.112419779327169</v>
      </c>
      <c r="P683" s="310">
        <f t="shared" ca="1" si="308"/>
        <v>23</v>
      </c>
      <c r="Q683" s="304">
        <f t="shared" ca="1" si="309"/>
        <v>0</v>
      </c>
      <c r="R683" s="306">
        <f t="shared" ca="1" si="310"/>
        <v>0</v>
      </c>
      <c r="S683" s="307">
        <f t="shared" ca="1" si="311"/>
        <v>2.0842999999999985</v>
      </c>
      <c r="T683" s="304">
        <f t="shared" ca="1" si="291"/>
        <v>20.446982999999985</v>
      </c>
      <c r="U683" s="311">
        <f t="shared" ca="1" si="292"/>
        <v>0</v>
      </c>
      <c r="V683" s="306">
        <f t="shared" ca="1" si="293"/>
        <v>1.2263157692781939</v>
      </c>
      <c r="W683" s="304">
        <f t="shared" ca="1" si="294"/>
        <v>20.354505942772583</v>
      </c>
      <c r="Y683" s="314" t="str">
        <f t="shared" ca="1" si="312"/>
        <v/>
      </c>
      <c r="Z683" s="315" t="str">
        <f t="shared" ca="1" si="313"/>
        <v/>
      </c>
      <c r="AA683" s="316" t="str">
        <f t="shared" ca="1" si="314"/>
        <v/>
      </c>
      <c r="AC683" s="310" t="e">
        <f t="shared" ca="1" si="315"/>
        <v>#N/A</v>
      </c>
      <c r="AD683" s="323" t="e">
        <f t="shared" ca="1" si="316"/>
        <v>#N/A</v>
      </c>
      <c r="AE683" s="324" t="e">
        <f t="shared" ca="1" si="295"/>
        <v>#N/A</v>
      </c>
      <c r="AG683" s="306">
        <f t="shared" ca="1" si="317"/>
        <v>3.9057795591745048E-2</v>
      </c>
      <c r="AH683" s="304">
        <f t="shared" ca="1" si="318"/>
        <v>-9.7656190109389325</v>
      </c>
    </row>
    <row r="684" spans="1:34" x14ac:dyDescent="0.25">
      <c r="A684" s="347">
        <f t="shared" ca="1" si="296"/>
        <v>1E-4</v>
      </c>
      <c r="B684" s="304">
        <f t="shared" ca="1" si="297"/>
        <v>47.108600000000656</v>
      </c>
      <c r="D684" s="306">
        <f t="shared" ca="1" si="298"/>
        <v>-0.32166555667530911</v>
      </c>
      <c r="E684" s="307">
        <f t="shared" ca="1" si="299"/>
        <v>-4.9667433627568869E-2</v>
      </c>
      <c r="F684" s="304">
        <f t="shared" ca="1" si="300"/>
        <v>0.32547747128547233</v>
      </c>
      <c r="G684" s="306">
        <f t="shared" ca="1" si="301"/>
        <v>4.0382819198988402</v>
      </c>
      <c r="H684" s="307">
        <f t="shared" ca="1" si="302"/>
        <v>-122.53500342493518</v>
      </c>
      <c r="I684" s="304">
        <f t="shared" ca="1" si="303"/>
        <v>122.60152847829207</v>
      </c>
      <c r="J684" s="306">
        <f t="shared" ca="1" si="304"/>
        <v>677.64536374242232</v>
      </c>
      <c r="K684" s="307">
        <f t="shared" ca="1" si="305"/>
        <v>-10.747461870096217</v>
      </c>
      <c r="L684" s="304">
        <f t="shared" ca="1" si="290"/>
        <v>677.73058580696284</v>
      </c>
      <c r="M684" s="306">
        <f t="shared" ca="1" si="306"/>
        <v>-1.5378521006073278</v>
      </c>
      <c r="N684" s="304">
        <f t="shared" ca="1" si="307"/>
        <v>-88.11243488012795</v>
      </c>
      <c r="P684" s="310">
        <f t="shared" ca="1" si="308"/>
        <v>23</v>
      </c>
      <c r="Q684" s="304">
        <f t="shared" ca="1" si="309"/>
        <v>0</v>
      </c>
      <c r="R684" s="306">
        <f t="shared" ca="1" si="310"/>
        <v>0</v>
      </c>
      <c r="S684" s="307">
        <f t="shared" ca="1" si="311"/>
        <v>2.0842999999999985</v>
      </c>
      <c r="T684" s="304">
        <f t="shared" ca="1" si="291"/>
        <v>20.446982999999985</v>
      </c>
      <c r="U684" s="311">
        <f t="shared" ca="1" si="292"/>
        <v>0</v>
      </c>
      <c r="V684" s="306">
        <f t="shared" ca="1" si="293"/>
        <v>1.226317271945587</v>
      </c>
      <c r="W684" s="304">
        <f t="shared" ca="1" si="294"/>
        <v>20.354532180664801</v>
      </c>
      <c r="Y684" s="314" t="str">
        <f t="shared" ca="1" si="312"/>
        <v/>
      </c>
      <c r="Z684" s="315" t="str">
        <f t="shared" ca="1" si="313"/>
        <v/>
      </c>
      <c r="AA684" s="316" t="str">
        <f t="shared" ca="1" si="314"/>
        <v/>
      </c>
      <c r="AC684" s="310" t="e">
        <f t="shared" ca="1" si="315"/>
        <v>#N/A</v>
      </c>
      <c r="AD684" s="323" t="e">
        <f t="shared" ca="1" si="316"/>
        <v>#N/A</v>
      </c>
      <c r="AE684" s="324" t="e">
        <f t="shared" ca="1" si="295"/>
        <v>#N/A</v>
      </c>
      <c r="AG684" s="306">
        <f t="shared" ca="1" si="317"/>
        <v>3.9045292225932116E-2</v>
      </c>
      <c r="AH684" s="304">
        <f t="shared" ca="1" si="318"/>
        <v>-9.7656315994686942</v>
      </c>
    </row>
    <row r="685" spans="1:34" x14ac:dyDescent="0.25">
      <c r="A685" s="347">
        <f t="shared" ca="1" si="296"/>
        <v>1E-4</v>
      </c>
      <c r="B685" s="304">
        <f t="shared" ca="1" si="297"/>
        <v>47.10870000000066</v>
      </c>
      <c r="D685" s="306">
        <f t="shared" ca="1" si="298"/>
        <v>-0.3216633988931481</v>
      </c>
      <c r="E685" s="307">
        <f t="shared" ca="1" si="299"/>
        <v>-4.9654767333469962E-2</v>
      </c>
      <c r="F685" s="304">
        <f t="shared" ca="1" si="300"/>
        <v>0.32547340614316489</v>
      </c>
      <c r="G685" s="306">
        <f t="shared" ca="1" si="301"/>
        <v>4.0382497535589508</v>
      </c>
      <c r="H685" s="307">
        <f t="shared" ca="1" si="302"/>
        <v>-122.53500839041192</v>
      </c>
      <c r="I685" s="304">
        <f t="shared" ca="1" si="303"/>
        <v>122.60153238157523</v>
      </c>
      <c r="J685" s="306">
        <f t="shared" ca="1" si="304"/>
        <v>677.64536374242232</v>
      </c>
      <c r="K685" s="307">
        <f t="shared" ca="1" si="305"/>
        <v>-10.759715370686985</v>
      </c>
      <c r="L685" s="304">
        <f t="shared" ca="1" si="290"/>
        <v>677.73078023390531</v>
      </c>
      <c r="M685" s="306">
        <f t="shared" ca="1" si="306"/>
        <v>-1.5378523641639052</v>
      </c>
      <c r="N685" s="304">
        <f t="shared" ca="1" si="307"/>
        <v>-88.112449980807497</v>
      </c>
      <c r="P685" s="310">
        <f t="shared" ca="1" si="308"/>
        <v>23</v>
      </c>
      <c r="Q685" s="304">
        <f t="shared" ca="1" si="309"/>
        <v>0</v>
      </c>
      <c r="R685" s="306">
        <f t="shared" ca="1" si="310"/>
        <v>0</v>
      </c>
      <c r="S685" s="307">
        <f t="shared" ca="1" si="311"/>
        <v>2.0842999999999985</v>
      </c>
      <c r="T685" s="304">
        <f t="shared" ca="1" si="291"/>
        <v>20.446982999999985</v>
      </c>
      <c r="U685" s="311">
        <f t="shared" ca="1" si="292"/>
        <v>0</v>
      </c>
      <c r="V685" s="306">
        <f t="shared" ca="1" si="293"/>
        <v>1.226318774614884</v>
      </c>
      <c r="W685" s="304">
        <f t="shared" ca="1" si="294"/>
        <v>20.354558418176673</v>
      </c>
      <c r="Y685" s="314" t="str">
        <f t="shared" ca="1" si="312"/>
        <v/>
      </c>
      <c r="Z685" s="315" t="str">
        <f t="shared" ca="1" si="313"/>
        <v/>
      </c>
      <c r="AA685" s="316" t="str">
        <f t="shared" ca="1" si="314"/>
        <v/>
      </c>
      <c r="AC685" s="310" t="e">
        <f t="shared" ca="1" si="315"/>
        <v>#N/A</v>
      </c>
      <c r="AD685" s="323" t="e">
        <f t="shared" ca="1" si="316"/>
        <v>#N/A</v>
      </c>
      <c r="AE685" s="324" t="e">
        <f t="shared" ca="1" si="295"/>
        <v>#N/A</v>
      </c>
      <c r="AG685" s="306">
        <f t="shared" ca="1" si="317"/>
        <v>3.9032789041248961E-2</v>
      </c>
      <c r="AH685" s="304">
        <f t="shared" ca="1" si="318"/>
        <v>-9.7656441878159654</v>
      </c>
    </row>
    <row r="686" spans="1:34" x14ac:dyDescent="0.25">
      <c r="A686" s="347">
        <f t="shared" ca="1" si="296"/>
        <v>1E-4</v>
      </c>
      <c r="B686" s="304">
        <f t="shared" ca="1" si="297"/>
        <v>47.108800000000663</v>
      </c>
      <c r="D686" s="306">
        <f t="shared" ca="1" si="298"/>
        <v>-0.32166124111897376</v>
      </c>
      <c r="E686" s="307">
        <f t="shared" ca="1" si="299"/>
        <v>-4.9642101222895363E-2</v>
      </c>
      <c r="F686" s="304">
        <f t="shared" ca="1" si="300"/>
        <v>0.3254693414932085</v>
      </c>
      <c r="G686" s="306">
        <f t="shared" ca="1" si="301"/>
        <v>4.0382175874348389</v>
      </c>
      <c r="H686" s="307">
        <f t="shared" ca="1" si="302"/>
        <v>-122.53501335462204</v>
      </c>
      <c r="I686" s="304">
        <f t="shared" ca="1" si="303"/>
        <v>122.60153628360808</v>
      </c>
      <c r="J686" s="306">
        <f t="shared" ca="1" si="304"/>
        <v>677.64536374242232</v>
      </c>
      <c r="K686" s="307">
        <f t="shared" ca="1" si="305"/>
        <v>-10.771968871774236</v>
      </c>
      <c r="L686" s="304">
        <f t="shared" ca="1" si="290"/>
        <v>677.73097488234544</v>
      </c>
      <c r="M686" s="306">
        <f t="shared" ca="1" si="306"/>
        <v>-1.5378526277183664</v>
      </c>
      <c r="N686" s="304">
        <f t="shared" ca="1" si="307"/>
        <v>-88.112465081365798</v>
      </c>
      <c r="P686" s="310">
        <f t="shared" ca="1" si="308"/>
        <v>23</v>
      </c>
      <c r="Q686" s="304">
        <f t="shared" ca="1" si="309"/>
        <v>0</v>
      </c>
      <c r="R686" s="306">
        <f t="shared" ca="1" si="310"/>
        <v>0</v>
      </c>
      <c r="S686" s="307">
        <f t="shared" ca="1" si="311"/>
        <v>2.0842999999999985</v>
      </c>
      <c r="T686" s="304">
        <f t="shared" ca="1" si="291"/>
        <v>20.446982999999985</v>
      </c>
      <c r="U686" s="311">
        <f t="shared" ca="1" si="292"/>
        <v>0</v>
      </c>
      <c r="V686" s="306">
        <f t="shared" ca="1" si="293"/>
        <v>1.2263202772860837</v>
      </c>
      <c r="W686" s="304">
        <f t="shared" ca="1" si="294"/>
        <v>20.354584655308187</v>
      </c>
      <c r="Y686" s="314" t="str">
        <f t="shared" ca="1" si="312"/>
        <v/>
      </c>
      <c r="Z686" s="315" t="str">
        <f t="shared" ca="1" si="313"/>
        <v/>
      </c>
      <c r="AA686" s="316" t="str">
        <f t="shared" ca="1" si="314"/>
        <v/>
      </c>
      <c r="AC686" s="310" t="e">
        <f t="shared" ca="1" si="315"/>
        <v>#N/A</v>
      </c>
      <c r="AD686" s="323" t="e">
        <f t="shared" ca="1" si="316"/>
        <v>#N/A</v>
      </c>
      <c r="AE686" s="324" t="e">
        <f t="shared" ca="1" si="295"/>
        <v>#N/A</v>
      </c>
      <c r="AG686" s="306">
        <f t="shared" ca="1" si="317"/>
        <v>3.9020286037679597E-2</v>
      </c>
      <c r="AH686" s="304">
        <f t="shared" ca="1" si="318"/>
        <v>-9.7656567759807551</v>
      </c>
    </row>
    <row r="687" spans="1:34" x14ac:dyDescent="0.25">
      <c r="A687" s="347">
        <f t="shared" ca="1" si="296"/>
        <v>1E-4</v>
      </c>
      <c r="B687" s="304">
        <f t="shared" ca="1" si="297"/>
        <v>47.108900000000666</v>
      </c>
      <c r="D687" s="306">
        <f t="shared" ca="1" si="298"/>
        <v>-0.32165908335279053</v>
      </c>
      <c r="E687" s="307">
        <f t="shared" ca="1" si="299"/>
        <v>-4.9629435295846847E-2</v>
      </c>
      <c r="F687" s="304">
        <f t="shared" ca="1" si="300"/>
        <v>0.32546527733560476</v>
      </c>
      <c r="G687" s="306">
        <f t="shared" ca="1" si="301"/>
        <v>4.0381854215265038</v>
      </c>
      <c r="H687" s="307">
        <f t="shared" ca="1" si="302"/>
        <v>-122.53501831756557</v>
      </c>
      <c r="I687" s="304">
        <f t="shared" ca="1" si="303"/>
        <v>122.60154018439067</v>
      </c>
      <c r="J687" s="306">
        <f t="shared" ca="1" si="304"/>
        <v>677.64536374242232</v>
      </c>
      <c r="K687" s="307">
        <f t="shared" ca="1" si="305"/>
        <v>-10.784222373357846</v>
      </c>
      <c r="L687" s="304">
        <f t="shared" ca="1" si="290"/>
        <v>677.73116975228299</v>
      </c>
      <c r="M687" s="306">
        <f t="shared" ca="1" si="306"/>
        <v>-1.5378528912707117</v>
      </c>
      <c r="N687" s="304">
        <f t="shared" ca="1" si="307"/>
        <v>-88.112480181802866</v>
      </c>
      <c r="P687" s="310">
        <f t="shared" ca="1" si="308"/>
        <v>23</v>
      </c>
      <c r="Q687" s="304">
        <f t="shared" ca="1" si="309"/>
        <v>0</v>
      </c>
      <c r="R687" s="306">
        <f t="shared" ca="1" si="310"/>
        <v>0</v>
      </c>
      <c r="S687" s="307">
        <f t="shared" ca="1" si="311"/>
        <v>2.0842999999999985</v>
      </c>
      <c r="T687" s="304">
        <f t="shared" ca="1" si="291"/>
        <v>20.446982999999985</v>
      </c>
      <c r="U687" s="311">
        <f t="shared" ca="1" si="292"/>
        <v>0</v>
      </c>
      <c r="V687" s="306">
        <f t="shared" ca="1" si="293"/>
        <v>1.2263217799591868</v>
      </c>
      <c r="W687" s="304">
        <f t="shared" ca="1" si="294"/>
        <v>20.354610892059366</v>
      </c>
      <c r="Y687" s="314" t="str">
        <f t="shared" ca="1" si="312"/>
        <v/>
      </c>
      <c r="Z687" s="315" t="str">
        <f t="shared" ca="1" si="313"/>
        <v/>
      </c>
      <c r="AA687" s="316" t="str">
        <f t="shared" ca="1" si="314"/>
        <v/>
      </c>
      <c r="AC687" s="310" t="e">
        <f t="shared" ca="1" si="315"/>
        <v>#N/A</v>
      </c>
      <c r="AD687" s="323" t="e">
        <f t="shared" ca="1" si="316"/>
        <v>#N/A</v>
      </c>
      <c r="AE687" s="324" t="e">
        <f t="shared" ca="1" si="295"/>
        <v>#N/A</v>
      </c>
      <c r="AG687" s="306">
        <f t="shared" ca="1" si="317"/>
        <v>3.9007783215232905E-2</v>
      </c>
      <c r="AH687" s="304">
        <f t="shared" ca="1" si="318"/>
        <v>-9.7656693639630578</v>
      </c>
    </row>
    <row r="688" spans="1:34" x14ac:dyDescent="0.25">
      <c r="A688" s="347">
        <f t="shared" ca="1" si="296"/>
        <v>1E-4</v>
      </c>
      <c r="B688" s="304">
        <f t="shared" ca="1" si="297"/>
        <v>47.10900000000067</v>
      </c>
      <c r="D688" s="306">
        <f t="shared" ca="1" si="298"/>
        <v>-0.32165692559459469</v>
      </c>
      <c r="E688" s="307">
        <f t="shared" ca="1" si="299"/>
        <v>-4.9616769552315532E-2</v>
      </c>
      <c r="F688" s="304">
        <f t="shared" ca="1" si="300"/>
        <v>0.32546121367034536</v>
      </c>
      <c r="G688" s="306">
        <f t="shared" ca="1" si="301"/>
        <v>4.0381532558339446</v>
      </c>
      <c r="H688" s="307">
        <f t="shared" ca="1" si="302"/>
        <v>-122.53502327924252</v>
      </c>
      <c r="I688" s="304">
        <f t="shared" ca="1" si="303"/>
        <v>122.60154408392297</v>
      </c>
      <c r="J688" s="306">
        <f t="shared" ca="1" si="304"/>
        <v>677.64536374242232</v>
      </c>
      <c r="K688" s="307">
        <f t="shared" ca="1" si="305"/>
        <v>-10.796475875437686</v>
      </c>
      <c r="L688" s="304">
        <f t="shared" ca="1" si="290"/>
        <v>677.73136484371798</v>
      </c>
      <c r="M688" s="306">
        <f t="shared" ca="1" si="306"/>
        <v>-1.5378531548209406</v>
      </c>
      <c r="N688" s="304">
        <f t="shared" ca="1" si="307"/>
        <v>-88.112495282118672</v>
      </c>
      <c r="P688" s="310">
        <f t="shared" ca="1" si="308"/>
        <v>23</v>
      </c>
      <c r="Q688" s="304">
        <f t="shared" ca="1" si="309"/>
        <v>0</v>
      </c>
      <c r="R688" s="306">
        <f t="shared" ca="1" si="310"/>
        <v>0</v>
      </c>
      <c r="S688" s="307">
        <f t="shared" ca="1" si="311"/>
        <v>2.0842999999999985</v>
      </c>
      <c r="T688" s="304">
        <f t="shared" ca="1" si="291"/>
        <v>20.446982999999985</v>
      </c>
      <c r="U688" s="311">
        <f t="shared" ca="1" si="292"/>
        <v>0</v>
      </c>
      <c r="V688" s="306">
        <f t="shared" ca="1" si="293"/>
        <v>1.2263232826341932</v>
      </c>
      <c r="W688" s="304">
        <f t="shared" ca="1" si="294"/>
        <v>20.354637128430202</v>
      </c>
      <c r="Y688" s="314" t="str">
        <f t="shared" ca="1" si="312"/>
        <v/>
      </c>
      <c r="Z688" s="315" t="str">
        <f t="shared" ca="1" si="313"/>
        <v/>
      </c>
      <c r="AA688" s="316" t="str">
        <f t="shared" ca="1" si="314"/>
        <v/>
      </c>
      <c r="AC688" s="310" t="e">
        <f t="shared" ca="1" si="315"/>
        <v>#N/A</v>
      </c>
      <c r="AD688" s="323" t="e">
        <f t="shared" ca="1" si="316"/>
        <v>#N/A</v>
      </c>
      <c r="AE688" s="324" t="e">
        <f t="shared" ca="1" si="295"/>
        <v>#N/A</v>
      </c>
      <c r="AG688" s="306">
        <f t="shared" ca="1" si="317"/>
        <v>3.8995280573898228E-2</v>
      </c>
      <c r="AH688" s="304">
        <f t="shared" ca="1" si="318"/>
        <v>-9.7656819517628843</v>
      </c>
    </row>
    <row r="689" spans="1:34" x14ac:dyDescent="0.25">
      <c r="A689" s="347">
        <f t="shared" ca="1" si="296"/>
        <v>1E-4</v>
      </c>
      <c r="B689" s="304">
        <f t="shared" ca="1" si="297"/>
        <v>47.109100000000673</v>
      </c>
      <c r="D689" s="306">
        <f t="shared" ca="1" si="298"/>
        <v>-0.32165476784439062</v>
      </c>
      <c r="E689" s="307">
        <f t="shared" ca="1" si="299"/>
        <v>-4.9604103992306747E-2</v>
      </c>
      <c r="F689" s="304">
        <f t="shared" ca="1" si="300"/>
        <v>0.32545715049743246</v>
      </c>
      <c r="G689" s="306">
        <f t="shared" ca="1" si="301"/>
        <v>4.0381210903571603</v>
      </c>
      <c r="H689" s="307">
        <f t="shared" ca="1" si="302"/>
        <v>-122.53502823965292</v>
      </c>
      <c r="I689" s="304">
        <f t="shared" ca="1" si="303"/>
        <v>122.60154798220503</v>
      </c>
      <c r="J689" s="306">
        <f t="shared" ca="1" si="304"/>
        <v>677.64536374242232</v>
      </c>
      <c r="K689" s="307">
        <f t="shared" ca="1" si="305"/>
        <v>-10.808729378013631</v>
      </c>
      <c r="L689" s="304">
        <f t="shared" ca="1" si="290"/>
        <v>677.73156015665006</v>
      </c>
      <c r="M689" s="306">
        <f t="shared" ca="1" si="306"/>
        <v>-1.5378534183690538</v>
      </c>
      <c r="N689" s="304">
        <f t="shared" ca="1" si="307"/>
        <v>-88.112510382313246</v>
      </c>
      <c r="P689" s="310">
        <f t="shared" ca="1" si="308"/>
        <v>23</v>
      </c>
      <c r="Q689" s="304">
        <f t="shared" ca="1" si="309"/>
        <v>0</v>
      </c>
      <c r="R689" s="306">
        <f t="shared" ca="1" si="310"/>
        <v>0</v>
      </c>
      <c r="S689" s="307">
        <f t="shared" ca="1" si="311"/>
        <v>2.0842999999999985</v>
      </c>
      <c r="T689" s="304">
        <f t="shared" ca="1" si="291"/>
        <v>20.446982999999985</v>
      </c>
      <c r="U689" s="311">
        <f t="shared" ca="1" si="292"/>
        <v>0</v>
      </c>
      <c r="V689" s="306">
        <f t="shared" ca="1" si="293"/>
        <v>1.2263247853111026</v>
      </c>
      <c r="W689" s="304">
        <f t="shared" ca="1" si="294"/>
        <v>20.354663364420698</v>
      </c>
      <c r="Y689" s="314" t="str">
        <f t="shared" ca="1" si="312"/>
        <v/>
      </c>
      <c r="Z689" s="315" t="str">
        <f t="shared" ca="1" si="313"/>
        <v/>
      </c>
      <c r="AA689" s="316" t="str">
        <f t="shared" ca="1" si="314"/>
        <v/>
      </c>
      <c r="AC689" s="310" t="e">
        <f t="shared" ca="1" si="315"/>
        <v>#N/A</v>
      </c>
      <c r="AD689" s="323" t="e">
        <f t="shared" ca="1" si="316"/>
        <v>#N/A</v>
      </c>
      <c r="AE689" s="324" t="e">
        <f t="shared" ca="1" si="295"/>
        <v>#N/A</v>
      </c>
      <c r="AG689" s="306">
        <f t="shared" ca="1" si="317"/>
        <v>3.8982778113677341E-2</v>
      </c>
      <c r="AH689" s="304">
        <f t="shared" ca="1" si="318"/>
        <v>-9.765694539380231</v>
      </c>
    </row>
    <row r="690" spans="1:34" x14ac:dyDescent="0.25">
      <c r="A690" s="347">
        <f t="shared" ca="1" si="296"/>
        <v>1E-4</v>
      </c>
      <c r="B690" s="304">
        <f t="shared" ca="1" si="297"/>
        <v>47.109200000000676</v>
      </c>
      <c r="D690" s="306">
        <f t="shared" ca="1" si="298"/>
        <v>-0.32165261010217427</v>
      </c>
      <c r="E690" s="307">
        <f t="shared" ca="1" si="299"/>
        <v>-4.9591438615815164E-2</v>
      </c>
      <c r="F690" s="304">
        <f t="shared" ca="1" si="300"/>
        <v>0.32545308781685806</v>
      </c>
      <c r="G690" s="306">
        <f t="shared" ca="1" si="301"/>
        <v>4.03808892509615</v>
      </c>
      <c r="H690" s="307">
        <f t="shared" ca="1" si="302"/>
        <v>-122.53503319879678</v>
      </c>
      <c r="I690" s="304">
        <f t="shared" ca="1" si="303"/>
        <v>122.60155187923688</v>
      </c>
      <c r="J690" s="306">
        <f t="shared" ca="1" si="304"/>
        <v>677.64536374242232</v>
      </c>
      <c r="K690" s="307">
        <f t="shared" ca="1" si="305"/>
        <v>-10.820982881085554</v>
      </c>
      <c r="L690" s="304">
        <f t="shared" ca="1" si="290"/>
        <v>677.73175569107912</v>
      </c>
      <c r="M690" s="306">
        <f t="shared" ca="1" si="306"/>
        <v>-1.5378536819150508</v>
      </c>
      <c r="N690" s="304">
        <f t="shared" ca="1" si="307"/>
        <v>-88.112525482386587</v>
      </c>
      <c r="P690" s="310">
        <f t="shared" ca="1" si="308"/>
        <v>23</v>
      </c>
      <c r="Q690" s="304">
        <f t="shared" ca="1" si="309"/>
        <v>0</v>
      </c>
      <c r="R690" s="306">
        <f t="shared" ca="1" si="310"/>
        <v>0</v>
      </c>
      <c r="S690" s="307">
        <f t="shared" ca="1" si="311"/>
        <v>2.0842999999999985</v>
      </c>
      <c r="T690" s="304">
        <f t="shared" ca="1" si="291"/>
        <v>20.446982999999985</v>
      </c>
      <c r="U690" s="311">
        <f t="shared" ca="1" si="292"/>
        <v>0</v>
      </c>
      <c r="V690" s="306">
        <f t="shared" ca="1" si="293"/>
        <v>1.2263262879899148</v>
      </c>
      <c r="W690" s="304">
        <f t="shared" ca="1" si="294"/>
        <v>20.354689600030866</v>
      </c>
      <c r="Y690" s="314" t="str">
        <f t="shared" ca="1" si="312"/>
        <v/>
      </c>
      <c r="Z690" s="315" t="str">
        <f t="shared" ca="1" si="313"/>
        <v/>
      </c>
      <c r="AA690" s="316" t="str">
        <f t="shared" ca="1" si="314"/>
        <v/>
      </c>
      <c r="AC690" s="310" t="e">
        <f t="shared" ca="1" si="315"/>
        <v>#N/A</v>
      </c>
      <c r="AD690" s="323" t="e">
        <f t="shared" ca="1" si="316"/>
        <v>#N/A</v>
      </c>
      <c r="AE690" s="324" t="e">
        <f t="shared" ca="1" si="295"/>
        <v>#N/A</v>
      </c>
      <c r="AG690" s="306">
        <f t="shared" ca="1" si="317"/>
        <v>3.8970275834572021E-2</v>
      </c>
      <c r="AH690" s="304">
        <f t="shared" ca="1" si="318"/>
        <v>-9.7657071268150997</v>
      </c>
    </row>
    <row r="691" spans="1:34" x14ac:dyDescent="0.25">
      <c r="A691" s="347">
        <f t="shared" ca="1" si="296"/>
        <v>1E-4</v>
      </c>
      <c r="B691" s="304">
        <f t="shared" ca="1" si="297"/>
        <v>47.10930000000068</v>
      </c>
      <c r="D691" s="306">
        <f t="shared" ca="1" si="298"/>
        <v>-0.32165045236794826</v>
      </c>
      <c r="E691" s="307">
        <f t="shared" ca="1" si="299"/>
        <v>-4.9578773422839006E-2</v>
      </c>
      <c r="F691" s="304">
        <f t="shared" ca="1" si="300"/>
        <v>0.32544902562862121</v>
      </c>
      <c r="G691" s="306">
        <f t="shared" ca="1" si="301"/>
        <v>4.038056760050913</v>
      </c>
      <c r="H691" s="307">
        <f t="shared" ca="1" si="302"/>
        <v>-122.53503815667412</v>
      </c>
      <c r="I691" s="304">
        <f t="shared" ca="1" si="303"/>
        <v>122.60155577501851</v>
      </c>
      <c r="J691" s="306">
        <f t="shared" ca="1" si="304"/>
        <v>677.64536374242232</v>
      </c>
      <c r="K691" s="307">
        <f t="shared" ca="1" si="305"/>
        <v>-10.833236384653327</v>
      </c>
      <c r="L691" s="304">
        <f t="shared" ca="1" si="290"/>
        <v>677.73195144700503</v>
      </c>
      <c r="M691" s="306">
        <f t="shared" ca="1" si="306"/>
        <v>-1.5378539454589317</v>
      </c>
      <c r="N691" s="304">
        <f t="shared" ca="1" si="307"/>
        <v>-88.112540582338681</v>
      </c>
      <c r="P691" s="310">
        <f t="shared" ca="1" si="308"/>
        <v>23</v>
      </c>
      <c r="Q691" s="304">
        <f t="shared" ca="1" si="309"/>
        <v>0</v>
      </c>
      <c r="R691" s="306">
        <f t="shared" ca="1" si="310"/>
        <v>0</v>
      </c>
      <c r="S691" s="307">
        <f t="shared" ca="1" si="311"/>
        <v>2.0842999999999985</v>
      </c>
      <c r="T691" s="304">
        <f t="shared" ca="1" si="291"/>
        <v>20.446982999999985</v>
      </c>
      <c r="U691" s="311">
        <f t="shared" ca="1" si="292"/>
        <v>0</v>
      </c>
      <c r="V691" s="306">
        <f t="shared" ca="1" si="293"/>
        <v>1.2263277906706302</v>
      </c>
      <c r="W691" s="304">
        <f t="shared" ca="1" si="294"/>
        <v>20.354715835260702</v>
      </c>
      <c r="Y691" s="314" t="str">
        <f t="shared" ca="1" si="312"/>
        <v/>
      </c>
      <c r="Z691" s="315" t="str">
        <f t="shared" ca="1" si="313"/>
        <v/>
      </c>
      <c r="AA691" s="316" t="str">
        <f t="shared" ca="1" si="314"/>
        <v/>
      </c>
      <c r="AC691" s="310" t="e">
        <f t="shared" ca="1" si="315"/>
        <v>#N/A</v>
      </c>
      <c r="AD691" s="323" t="e">
        <f t="shared" ca="1" si="316"/>
        <v>#N/A</v>
      </c>
      <c r="AE691" s="324" t="e">
        <f t="shared" ca="1" si="295"/>
        <v>#N/A</v>
      </c>
      <c r="AG691" s="306">
        <f t="shared" ca="1" si="317"/>
        <v>3.8957773736573387E-2</v>
      </c>
      <c r="AH691" s="304">
        <f t="shared" ca="1" si="318"/>
        <v>-9.7657197140674956</v>
      </c>
    </row>
    <row r="692" spans="1:34" x14ac:dyDescent="0.25">
      <c r="A692" s="347">
        <f t="shared" ca="1" si="296"/>
        <v>1E-4</v>
      </c>
      <c r="B692" s="304">
        <f t="shared" ca="1" si="297"/>
        <v>47.109400000000683</v>
      </c>
      <c r="D692" s="306">
        <f t="shared" ca="1" si="298"/>
        <v>-0.32164829464171268</v>
      </c>
      <c r="E692" s="307">
        <f t="shared" ca="1" si="299"/>
        <v>-4.9566108413378274E-2</v>
      </c>
      <c r="F692" s="304">
        <f t="shared" ca="1" si="300"/>
        <v>0.32544496393271904</v>
      </c>
      <c r="G692" s="306">
        <f t="shared" ca="1" si="301"/>
        <v>4.0380245952214491</v>
      </c>
      <c r="H692" s="307">
        <f t="shared" ca="1" si="302"/>
        <v>-122.53504311328496</v>
      </c>
      <c r="I692" s="304">
        <f t="shared" ca="1" si="303"/>
        <v>122.60155966954994</v>
      </c>
      <c r="J692" s="306">
        <f t="shared" ca="1" si="304"/>
        <v>677.64536374242232</v>
      </c>
      <c r="K692" s="307">
        <f t="shared" ca="1" si="305"/>
        <v>-10.845489888716825</v>
      </c>
      <c r="L692" s="304">
        <f t="shared" ca="1" si="290"/>
        <v>677.73214742442758</v>
      </c>
      <c r="M692" s="306">
        <f t="shared" ca="1" si="306"/>
        <v>-1.5378542090006968</v>
      </c>
      <c r="N692" s="304">
        <f t="shared" ca="1" si="307"/>
        <v>-88.112555682169543</v>
      </c>
      <c r="P692" s="310">
        <f t="shared" ca="1" si="308"/>
        <v>23</v>
      </c>
      <c r="Q692" s="304">
        <f t="shared" ca="1" si="309"/>
        <v>0</v>
      </c>
      <c r="R692" s="306">
        <f t="shared" ca="1" si="310"/>
        <v>0</v>
      </c>
      <c r="S692" s="307">
        <f t="shared" ca="1" si="311"/>
        <v>2.0842999999999985</v>
      </c>
      <c r="T692" s="304">
        <f t="shared" ca="1" si="291"/>
        <v>20.446982999999985</v>
      </c>
      <c r="U692" s="311">
        <f t="shared" ca="1" si="292"/>
        <v>0</v>
      </c>
      <c r="V692" s="306">
        <f t="shared" ca="1" si="293"/>
        <v>1.226329293353249</v>
      </c>
      <c r="W692" s="304">
        <f t="shared" ca="1" si="294"/>
        <v>20.35474207011022</v>
      </c>
      <c r="Y692" s="314" t="str">
        <f t="shared" ca="1" si="312"/>
        <v/>
      </c>
      <c r="Z692" s="315" t="str">
        <f t="shared" ca="1" si="313"/>
        <v/>
      </c>
      <c r="AA692" s="316" t="str">
        <f t="shared" ca="1" si="314"/>
        <v/>
      </c>
      <c r="AC692" s="310" t="e">
        <f t="shared" ca="1" si="315"/>
        <v>#N/A</v>
      </c>
      <c r="AD692" s="323" t="e">
        <f t="shared" ca="1" si="316"/>
        <v>#N/A</v>
      </c>
      <c r="AE692" s="324" t="e">
        <f t="shared" ca="1" si="295"/>
        <v>#N/A</v>
      </c>
      <c r="AG692" s="306">
        <f t="shared" ca="1" si="317"/>
        <v>3.8945271819683214E-2</v>
      </c>
      <c r="AH692" s="304">
        <f t="shared" ca="1" si="318"/>
        <v>-9.7657323011374171</v>
      </c>
    </row>
    <row r="693" spans="1:34" x14ac:dyDescent="0.25">
      <c r="A693" s="347">
        <f t="shared" ca="1" si="296"/>
        <v>1E-4</v>
      </c>
      <c r="B693" s="304">
        <f t="shared" ca="1" si="297"/>
        <v>47.109500000000686</v>
      </c>
      <c r="D693" s="306">
        <f t="shared" ca="1" si="298"/>
        <v>-0.32164613692346583</v>
      </c>
      <c r="E693" s="307">
        <f t="shared" ca="1" si="299"/>
        <v>-4.9553443587425861E-2</v>
      </c>
      <c r="F693" s="304">
        <f t="shared" ca="1" si="300"/>
        <v>0.3254409027291455</v>
      </c>
      <c r="G693" s="306">
        <f t="shared" ca="1" si="301"/>
        <v>4.0379924306077566</v>
      </c>
      <c r="H693" s="307">
        <f t="shared" ca="1" si="302"/>
        <v>-122.53504806862931</v>
      </c>
      <c r="I693" s="304">
        <f t="shared" ca="1" si="303"/>
        <v>122.6015635628312</v>
      </c>
      <c r="J693" s="306">
        <f t="shared" ca="1" si="304"/>
        <v>677.64536374242232</v>
      </c>
      <c r="K693" s="307">
        <f t="shared" ca="1" si="305"/>
        <v>-10.857743393275921</v>
      </c>
      <c r="L693" s="304">
        <f t="shared" ca="1" si="290"/>
        <v>677.73234362334665</v>
      </c>
      <c r="M693" s="306">
        <f t="shared" ca="1" si="306"/>
        <v>-1.5378544725403458</v>
      </c>
      <c r="N693" s="304">
        <f t="shared" ca="1" si="307"/>
        <v>-88.112570781879171</v>
      </c>
      <c r="P693" s="310">
        <f t="shared" ca="1" si="308"/>
        <v>23</v>
      </c>
      <c r="Q693" s="304">
        <f t="shared" ca="1" si="309"/>
        <v>0</v>
      </c>
      <c r="R693" s="306">
        <f t="shared" ca="1" si="310"/>
        <v>0</v>
      </c>
      <c r="S693" s="307">
        <f t="shared" ca="1" si="311"/>
        <v>2.0842999999999985</v>
      </c>
      <c r="T693" s="304">
        <f t="shared" ca="1" si="291"/>
        <v>20.446982999999985</v>
      </c>
      <c r="U693" s="311">
        <f t="shared" ca="1" si="292"/>
        <v>0</v>
      </c>
      <c r="V693" s="306">
        <f t="shared" ca="1" si="293"/>
        <v>1.2263307960377707</v>
      </c>
      <c r="W693" s="304">
        <f t="shared" ca="1" si="294"/>
        <v>20.354768304579412</v>
      </c>
      <c r="Y693" s="314" t="str">
        <f t="shared" ca="1" si="312"/>
        <v/>
      </c>
      <c r="Z693" s="315" t="str">
        <f t="shared" ca="1" si="313"/>
        <v/>
      </c>
      <c r="AA693" s="316" t="str">
        <f t="shared" ca="1" si="314"/>
        <v/>
      </c>
      <c r="AC693" s="310" t="e">
        <f t="shared" ca="1" si="315"/>
        <v>#N/A</v>
      </c>
      <c r="AD693" s="323" t="e">
        <f t="shared" ca="1" si="316"/>
        <v>#N/A</v>
      </c>
      <c r="AE693" s="324" t="e">
        <f t="shared" ca="1" si="295"/>
        <v>#N/A</v>
      </c>
      <c r="AG693" s="306">
        <f t="shared" ca="1" si="317"/>
        <v>3.8932770083899726E-2</v>
      </c>
      <c r="AH693" s="304">
        <f t="shared" ca="1" si="318"/>
        <v>-9.7657448880248694</v>
      </c>
    </row>
    <row r="694" spans="1:34" x14ac:dyDescent="0.25">
      <c r="A694" s="347">
        <f t="shared" ca="1" si="296"/>
        <v>1E-4</v>
      </c>
      <c r="B694" s="304">
        <f t="shared" ca="1" si="297"/>
        <v>47.10960000000069</v>
      </c>
      <c r="D694" s="306">
        <f t="shared" ca="1" si="298"/>
        <v>-0.32164397921321003</v>
      </c>
      <c r="E694" s="307">
        <f t="shared" ca="1" si="299"/>
        <v>-4.9540778944987096E-2</v>
      </c>
      <c r="F694" s="304">
        <f t="shared" ca="1" si="300"/>
        <v>0.32543684201790057</v>
      </c>
      <c r="G694" s="306">
        <f t="shared" ca="1" si="301"/>
        <v>4.0379602662098355</v>
      </c>
      <c r="H694" s="307">
        <f t="shared" ca="1" si="302"/>
        <v>-122.5350530227072</v>
      </c>
      <c r="I694" s="304">
        <f t="shared" ca="1" si="303"/>
        <v>122.60156745486232</v>
      </c>
      <c r="J694" s="306">
        <f t="shared" ca="1" si="304"/>
        <v>677.64536374242232</v>
      </c>
      <c r="K694" s="307">
        <f t="shared" ca="1" si="305"/>
        <v>-10.869996898330488</v>
      </c>
      <c r="L694" s="304">
        <f t="shared" ca="1" si="290"/>
        <v>677.73254004376201</v>
      </c>
      <c r="M694" s="306">
        <f t="shared" ca="1" si="306"/>
        <v>-1.5378547360778789</v>
      </c>
      <c r="N694" s="304">
        <f t="shared" ca="1" si="307"/>
        <v>-88.112585881467552</v>
      </c>
      <c r="P694" s="310">
        <f t="shared" ca="1" si="308"/>
        <v>23</v>
      </c>
      <c r="Q694" s="304">
        <f t="shared" ca="1" si="309"/>
        <v>0</v>
      </c>
      <c r="R694" s="306">
        <f t="shared" ca="1" si="310"/>
        <v>0</v>
      </c>
      <c r="S694" s="307">
        <f t="shared" ca="1" si="311"/>
        <v>2.0842999999999985</v>
      </c>
      <c r="T694" s="304">
        <f t="shared" ca="1" si="291"/>
        <v>20.446982999999985</v>
      </c>
      <c r="U694" s="311">
        <f t="shared" ca="1" si="292"/>
        <v>0</v>
      </c>
      <c r="V694" s="306">
        <f t="shared" ca="1" si="293"/>
        <v>1.2263322987241956</v>
      </c>
      <c r="W694" s="304">
        <f t="shared" ca="1" si="294"/>
        <v>20.354794538668298</v>
      </c>
      <c r="Y694" s="314" t="str">
        <f t="shared" ca="1" si="312"/>
        <v/>
      </c>
      <c r="Z694" s="315" t="str">
        <f t="shared" ca="1" si="313"/>
        <v/>
      </c>
      <c r="AA694" s="316" t="str">
        <f t="shared" ca="1" si="314"/>
        <v/>
      </c>
      <c r="AC694" s="310" t="e">
        <f t="shared" ca="1" si="315"/>
        <v>#N/A</v>
      </c>
      <c r="AD694" s="323" t="e">
        <f t="shared" ca="1" si="316"/>
        <v>#N/A</v>
      </c>
      <c r="AE694" s="324" t="e">
        <f t="shared" ca="1" si="295"/>
        <v>#N/A</v>
      </c>
      <c r="AG694" s="306">
        <f t="shared" ca="1" si="317"/>
        <v>3.8920268529221147E-2</v>
      </c>
      <c r="AH694" s="304">
        <f t="shared" ca="1" si="318"/>
        <v>-9.7657574747298508</v>
      </c>
    </row>
    <row r="695" spans="1:34" x14ac:dyDescent="0.25">
      <c r="A695" s="347">
        <f t="shared" ca="1" si="296"/>
        <v>1E-4</v>
      </c>
      <c r="B695" s="304">
        <f t="shared" ca="1" si="297"/>
        <v>47.109700000000693</v>
      </c>
      <c r="D695" s="306">
        <f t="shared" ca="1" si="298"/>
        <v>-0.3216418215109435</v>
      </c>
      <c r="E695" s="307">
        <f t="shared" ca="1" si="299"/>
        <v>-4.9528114486051322E-2</v>
      </c>
      <c r="F695" s="304">
        <f t="shared" ca="1" si="300"/>
        <v>0.32543278179897772</v>
      </c>
      <c r="G695" s="306">
        <f t="shared" ca="1" si="301"/>
        <v>4.037928102027684</v>
      </c>
      <c r="H695" s="307">
        <f t="shared" ca="1" si="302"/>
        <v>-122.53505797551865</v>
      </c>
      <c r="I695" s="304">
        <f t="shared" ca="1" si="303"/>
        <v>122.60157134564329</v>
      </c>
      <c r="J695" s="306">
        <f t="shared" ca="1" si="304"/>
        <v>677.64536374242232</v>
      </c>
      <c r="K695" s="307">
        <f t="shared" ca="1" si="305"/>
        <v>-10.882250403880398</v>
      </c>
      <c r="L695" s="304">
        <f t="shared" ca="1" si="290"/>
        <v>677.73273668567356</v>
      </c>
      <c r="M695" s="306">
        <f t="shared" ca="1" si="306"/>
        <v>-1.5378549996132962</v>
      </c>
      <c r="N695" s="304">
        <f t="shared" ca="1" si="307"/>
        <v>-88.112600980934715</v>
      </c>
      <c r="P695" s="310">
        <f t="shared" ca="1" si="308"/>
        <v>23</v>
      </c>
      <c r="Q695" s="304">
        <f t="shared" ca="1" si="309"/>
        <v>0</v>
      </c>
      <c r="R695" s="306">
        <f t="shared" ca="1" si="310"/>
        <v>0</v>
      </c>
      <c r="S695" s="307">
        <f t="shared" ca="1" si="311"/>
        <v>2.0842999999999985</v>
      </c>
      <c r="T695" s="304">
        <f t="shared" ca="1" si="291"/>
        <v>20.446982999999985</v>
      </c>
      <c r="U695" s="311">
        <f t="shared" ca="1" si="292"/>
        <v>0</v>
      </c>
      <c r="V695" s="306">
        <f t="shared" ca="1" si="293"/>
        <v>1.2263338014125233</v>
      </c>
      <c r="W695" s="304">
        <f t="shared" ca="1" si="294"/>
        <v>20.354820772376868</v>
      </c>
      <c r="Y695" s="314" t="str">
        <f t="shared" ca="1" si="312"/>
        <v/>
      </c>
      <c r="Z695" s="315" t="str">
        <f t="shared" ca="1" si="313"/>
        <v/>
      </c>
      <c r="AA695" s="316" t="str">
        <f t="shared" ca="1" si="314"/>
        <v/>
      </c>
      <c r="AC695" s="310" t="e">
        <f t="shared" ca="1" si="315"/>
        <v>#N/A</v>
      </c>
      <c r="AD695" s="323" t="e">
        <f t="shared" ca="1" si="316"/>
        <v>#N/A</v>
      </c>
      <c r="AE695" s="324" t="e">
        <f t="shared" ca="1" si="295"/>
        <v>#N/A</v>
      </c>
      <c r="AG695" s="306">
        <f t="shared" ca="1" si="317"/>
        <v>3.8907767155642148E-2</v>
      </c>
      <c r="AH695" s="304">
        <f t="shared" ca="1" si="318"/>
        <v>-9.7657700612523684</v>
      </c>
    </row>
    <row r="696" spans="1:34" x14ac:dyDescent="0.25">
      <c r="A696" s="347">
        <f t="shared" ca="1" si="296"/>
        <v>1E-4</v>
      </c>
      <c r="B696" s="304">
        <f t="shared" ca="1" si="297"/>
        <v>47.109800000000696</v>
      </c>
      <c r="D696" s="306">
        <f t="shared" ca="1" si="298"/>
        <v>-0.32163966381666653</v>
      </c>
      <c r="E696" s="307">
        <f t="shared" ca="1" si="299"/>
        <v>-4.9515450210623868E-2</v>
      </c>
      <c r="F696" s="304">
        <f t="shared" ca="1" si="300"/>
        <v>0.32542872207237489</v>
      </c>
      <c r="G696" s="306">
        <f t="shared" ca="1" si="301"/>
        <v>4.0378959380613022</v>
      </c>
      <c r="H696" s="307">
        <f t="shared" ca="1" si="302"/>
        <v>-122.53506292706368</v>
      </c>
      <c r="I696" s="304">
        <f t="shared" ca="1" si="303"/>
        <v>122.60157523517415</v>
      </c>
      <c r="J696" s="306">
        <f t="shared" ca="1" si="304"/>
        <v>677.64536374242232</v>
      </c>
      <c r="K696" s="307">
        <f t="shared" ca="1" si="305"/>
        <v>-10.894503909925527</v>
      </c>
      <c r="L696" s="304">
        <f t="shared" ca="1" si="290"/>
        <v>677.73293354908117</v>
      </c>
      <c r="M696" s="306">
        <f t="shared" ca="1" si="306"/>
        <v>-1.5378552631465976</v>
      </c>
      <c r="N696" s="304">
        <f t="shared" ca="1" si="307"/>
        <v>-88.112616080280645</v>
      </c>
      <c r="P696" s="310">
        <f t="shared" ca="1" si="308"/>
        <v>23</v>
      </c>
      <c r="Q696" s="304">
        <f t="shared" ca="1" si="309"/>
        <v>0</v>
      </c>
      <c r="R696" s="306">
        <f t="shared" ca="1" si="310"/>
        <v>0</v>
      </c>
      <c r="S696" s="307">
        <f t="shared" ca="1" si="311"/>
        <v>2.0842999999999985</v>
      </c>
      <c r="T696" s="304">
        <f t="shared" ca="1" si="291"/>
        <v>20.446982999999985</v>
      </c>
      <c r="U696" s="311">
        <f t="shared" ca="1" si="292"/>
        <v>0</v>
      </c>
      <c r="V696" s="306">
        <f t="shared" ca="1" si="293"/>
        <v>1.2263353041027545</v>
      </c>
      <c r="W696" s="304">
        <f t="shared" ca="1" si="294"/>
        <v>20.354847005705139</v>
      </c>
      <c r="Y696" s="314" t="str">
        <f t="shared" ca="1" si="312"/>
        <v/>
      </c>
      <c r="Z696" s="315" t="str">
        <f t="shared" ca="1" si="313"/>
        <v/>
      </c>
      <c r="AA696" s="316" t="str">
        <f t="shared" ca="1" si="314"/>
        <v/>
      </c>
      <c r="AC696" s="310" t="e">
        <f t="shared" ca="1" si="315"/>
        <v>#N/A</v>
      </c>
      <c r="AD696" s="323" t="e">
        <f t="shared" ca="1" si="316"/>
        <v>#N/A</v>
      </c>
      <c r="AE696" s="324" t="e">
        <f t="shared" ca="1" si="295"/>
        <v>#N/A</v>
      </c>
      <c r="AG696" s="306">
        <f t="shared" ca="1" si="317"/>
        <v>3.8895265963164505E-2</v>
      </c>
      <c r="AH696" s="304">
        <f t="shared" ca="1" si="318"/>
        <v>-9.7657826475924203</v>
      </c>
    </row>
    <row r="697" spans="1:34" x14ac:dyDescent="0.25">
      <c r="A697" s="347">
        <f t="shared" ca="1" si="296"/>
        <v>1E-4</v>
      </c>
      <c r="B697" s="304">
        <f t="shared" ca="1" si="297"/>
        <v>47.1099000000007</v>
      </c>
      <c r="D697" s="306">
        <f t="shared" ca="1" si="298"/>
        <v>-0.3216375061303795</v>
      </c>
      <c r="E697" s="307">
        <f t="shared" ca="1" si="299"/>
        <v>-4.9502786118695852E-2</v>
      </c>
      <c r="F697" s="304">
        <f t="shared" ca="1" si="300"/>
        <v>0.32542466283808802</v>
      </c>
      <c r="G697" s="306">
        <f t="shared" ca="1" si="301"/>
        <v>4.0378637743106891</v>
      </c>
      <c r="H697" s="307">
        <f t="shared" ca="1" si="302"/>
        <v>-122.53506787734229</v>
      </c>
      <c r="I697" s="304">
        <f t="shared" ca="1" si="303"/>
        <v>122.6015791234549</v>
      </c>
      <c r="J697" s="306">
        <f t="shared" ca="1" si="304"/>
        <v>677.64536374242232</v>
      </c>
      <c r="K697" s="307">
        <f t="shared" ca="1" si="305"/>
        <v>-10.906757416465748</v>
      </c>
      <c r="L697" s="304">
        <f t="shared" ca="1" si="290"/>
        <v>677.7331306339845</v>
      </c>
      <c r="M697" s="306">
        <f t="shared" ca="1" si="306"/>
        <v>-1.5378555266777829</v>
      </c>
      <c r="N697" s="304">
        <f t="shared" ca="1" si="307"/>
        <v>-88.112631179505343</v>
      </c>
      <c r="P697" s="310">
        <f t="shared" ca="1" si="308"/>
        <v>23</v>
      </c>
      <c r="Q697" s="304">
        <f t="shared" ca="1" si="309"/>
        <v>0</v>
      </c>
      <c r="R697" s="306">
        <f t="shared" ca="1" si="310"/>
        <v>0</v>
      </c>
      <c r="S697" s="307">
        <f t="shared" ca="1" si="311"/>
        <v>2.0842999999999985</v>
      </c>
      <c r="T697" s="304">
        <f t="shared" ca="1" si="291"/>
        <v>20.446982999999985</v>
      </c>
      <c r="U697" s="311">
        <f t="shared" ca="1" si="292"/>
        <v>0</v>
      </c>
      <c r="V697" s="306">
        <f t="shared" ca="1" si="293"/>
        <v>1.2263368067948883</v>
      </c>
      <c r="W697" s="304">
        <f t="shared" ca="1" si="294"/>
        <v>20.354873238653095</v>
      </c>
      <c r="Y697" s="314" t="str">
        <f t="shared" ca="1" si="312"/>
        <v/>
      </c>
      <c r="Z697" s="315" t="str">
        <f t="shared" ca="1" si="313"/>
        <v/>
      </c>
      <c r="AA697" s="316" t="str">
        <f t="shared" ca="1" si="314"/>
        <v/>
      </c>
      <c r="AC697" s="310" t="e">
        <f t="shared" ca="1" si="315"/>
        <v>#N/A</v>
      </c>
      <c r="AD697" s="323" t="e">
        <f t="shared" ca="1" si="316"/>
        <v>#N/A</v>
      </c>
      <c r="AE697" s="324" t="e">
        <f t="shared" ca="1" si="295"/>
        <v>#N/A</v>
      </c>
      <c r="AG697" s="306">
        <f t="shared" ca="1" si="317"/>
        <v>3.8882764951779336E-2</v>
      </c>
      <c r="AH697" s="304">
        <f t="shared" ca="1" si="318"/>
        <v>-9.7657952337500138</v>
      </c>
    </row>
    <row r="698" spans="1:34" x14ac:dyDescent="0.25">
      <c r="A698" s="347">
        <f t="shared" ca="1" si="296"/>
        <v>1E-4</v>
      </c>
      <c r="B698" s="304">
        <f t="shared" ca="1" si="297"/>
        <v>47.110000000000703</v>
      </c>
      <c r="D698" s="306">
        <f t="shared" ca="1" si="298"/>
        <v>-0.32163534845208452</v>
      </c>
      <c r="E698" s="307">
        <f t="shared" ca="1" si="299"/>
        <v>-4.9490122210274379E-2</v>
      </c>
      <c r="F698" s="304">
        <f t="shared" ca="1" si="300"/>
        <v>0.32542060409611701</v>
      </c>
      <c r="G698" s="306">
        <f t="shared" ca="1" si="301"/>
        <v>4.0378316107758438</v>
      </c>
      <c r="H698" s="307">
        <f t="shared" ca="1" si="302"/>
        <v>-122.53507282635451</v>
      </c>
      <c r="I698" s="304">
        <f t="shared" ca="1" si="303"/>
        <v>122.60158301048557</v>
      </c>
      <c r="J698" s="306">
        <f t="shared" ca="1" si="304"/>
        <v>677.64536374242232</v>
      </c>
      <c r="K698" s="307">
        <f t="shared" ca="1" si="305"/>
        <v>-10.919010923500933</v>
      </c>
      <c r="L698" s="304">
        <f t="shared" ca="1" si="290"/>
        <v>677.73332794038345</v>
      </c>
      <c r="M698" s="306">
        <f t="shared" ca="1" si="306"/>
        <v>-1.5378557902068526</v>
      </c>
      <c r="N698" s="304">
        <f t="shared" ca="1" si="307"/>
        <v>-88.112646278608807</v>
      </c>
      <c r="P698" s="310">
        <f t="shared" ca="1" si="308"/>
        <v>23</v>
      </c>
      <c r="Q698" s="304">
        <f t="shared" ca="1" si="309"/>
        <v>0</v>
      </c>
      <c r="R698" s="306">
        <f t="shared" ca="1" si="310"/>
        <v>0</v>
      </c>
      <c r="S698" s="307">
        <f t="shared" ca="1" si="311"/>
        <v>2.0842999999999985</v>
      </c>
      <c r="T698" s="304">
        <f t="shared" ca="1" si="291"/>
        <v>20.446982999999985</v>
      </c>
      <c r="U698" s="311">
        <f t="shared" ca="1" si="292"/>
        <v>0</v>
      </c>
      <c r="V698" s="306">
        <f t="shared" ca="1" si="293"/>
        <v>1.2263383094889255</v>
      </c>
      <c r="W698" s="304">
        <f t="shared" ca="1" si="294"/>
        <v>20.354899471220765</v>
      </c>
      <c r="Y698" s="314" t="str">
        <f t="shared" ca="1" si="312"/>
        <v/>
      </c>
      <c r="Z698" s="315" t="str">
        <f t="shared" ca="1" si="313"/>
        <v/>
      </c>
      <c r="AA698" s="316" t="str">
        <f t="shared" ca="1" si="314"/>
        <v/>
      </c>
      <c r="AC698" s="310" t="e">
        <f t="shared" ca="1" si="315"/>
        <v>#N/A</v>
      </c>
      <c r="AD698" s="323" t="e">
        <f t="shared" ca="1" si="316"/>
        <v>#N/A</v>
      </c>
      <c r="AE698" s="324" t="e">
        <f t="shared" ca="1" si="295"/>
        <v>#N/A</v>
      </c>
      <c r="AG698" s="306">
        <f t="shared" ca="1" si="317"/>
        <v>3.8870264121499076E-2</v>
      </c>
      <c r="AH698" s="304">
        <f t="shared" ca="1" si="318"/>
        <v>-9.7658078197251399</v>
      </c>
    </row>
    <row r="699" spans="1:34" x14ac:dyDescent="0.25">
      <c r="A699" s="347">
        <f t="shared" ca="1" si="296"/>
        <v>1E-4</v>
      </c>
      <c r="B699" s="304">
        <f t="shared" ca="1" si="297"/>
        <v>47.110100000000706</v>
      </c>
      <c r="D699" s="306">
        <f t="shared" ca="1" si="298"/>
        <v>-0.32163319078177799</v>
      </c>
      <c r="E699" s="307">
        <f t="shared" ca="1" si="299"/>
        <v>-4.9477458485347015E-2</v>
      </c>
      <c r="F699" s="304">
        <f t="shared" ca="1" si="300"/>
        <v>0.3254165458464533</v>
      </c>
      <c r="G699" s="306">
        <f t="shared" ca="1" si="301"/>
        <v>4.0377994474567656</v>
      </c>
      <c r="H699" s="307">
        <f t="shared" ca="1" si="302"/>
        <v>-122.53507777410036</v>
      </c>
      <c r="I699" s="304">
        <f t="shared" ca="1" si="303"/>
        <v>122.60158689626618</v>
      </c>
      <c r="J699" s="306">
        <f t="shared" ca="1" si="304"/>
        <v>677.64536374242232</v>
      </c>
      <c r="K699" s="307">
        <f t="shared" ca="1" si="305"/>
        <v>-10.931264431030955</v>
      </c>
      <c r="L699" s="304">
        <f t="shared" ca="1" si="290"/>
        <v>677.733525468278</v>
      </c>
      <c r="M699" s="306">
        <f t="shared" ca="1" si="306"/>
        <v>-1.5378560537338062</v>
      </c>
      <c r="N699" s="304">
        <f t="shared" ca="1" si="307"/>
        <v>-88.112661377591039</v>
      </c>
      <c r="P699" s="310">
        <f t="shared" ca="1" si="308"/>
        <v>23</v>
      </c>
      <c r="Q699" s="304">
        <f t="shared" ca="1" si="309"/>
        <v>0</v>
      </c>
      <c r="R699" s="306">
        <f t="shared" ca="1" si="310"/>
        <v>0</v>
      </c>
      <c r="S699" s="307">
        <f t="shared" ca="1" si="311"/>
        <v>2.0842999999999985</v>
      </c>
      <c r="T699" s="304">
        <f t="shared" ca="1" si="291"/>
        <v>20.446982999999985</v>
      </c>
      <c r="U699" s="311">
        <f t="shared" ca="1" si="292"/>
        <v>0</v>
      </c>
      <c r="V699" s="306">
        <f t="shared" ca="1" si="293"/>
        <v>1.2263398121848652</v>
      </c>
      <c r="W699" s="304">
        <f t="shared" ca="1" si="294"/>
        <v>20.354925703408139</v>
      </c>
      <c r="Y699" s="314" t="str">
        <f t="shared" ca="1" si="312"/>
        <v/>
      </c>
      <c r="Z699" s="315" t="str">
        <f t="shared" ca="1" si="313"/>
        <v/>
      </c>
      <c r="AA699" s="316" t="str">
        <f t="shared" ca="1" si="314"/>
        <v/>
      </c>
      <c r="AC699" s="310" t="e">
        <f t="shared" ca="1" si="315"/>
        <v>#N/A</v>
      </c>
      <c r="AD699" s="323" t="e">
        <f t="shared" ca="1" si="316"/>
        <v>#N/A</v>
      </c>
      <c r="AE699" s="324" t="e">
        <f t="shared" ca="1" si="295"/>
        <v>#N/A</v>
      </c>
      <c r="AG699" s="306">
        <f t="shared" ca="1" si="317"/>
        <v>3.8857763472304185E-2</v>
      </c>
      <c r="AH699" s="304">
        <f t="shared" ca="1" si="318"/>
        <v>-9.7658204055178146</v>
      </c>
    </row>
    <row r="700" spans="1:34" x14ac:dyDescent="0.25">
      <c r="A700" s="347">
        <f t="shared" ca="1" si="296"/>
        <v>1E-4</v>
      </c>
      <c r="B700" s="304">
        <f t="shared" ca="1" si="297"/>
        <v>47.11020000000071</v>
      </c>
      <c r="D700" s="306">
        <f t="shared" ca="1" si="298"/>
        <v>-0.32163103311946428</v>
      </c>
      <c r="E700" s="307">
        <f t="shared" ca="1" si="299"/>
        <v>-4.9464794943919088E-2</v>
      </c>
      <c r="F700" s="304">
        <f t="shared" ca="1" si="300"/>
        <v>0.32541248808909884</v>
      </c>
      <c r="G700" s="306">
        <f t="shared" ca="1" si="301"/>
        <v>4.0377672843534533</v>
      </c>
      <c r="H700" s="307">
        <f t="shared" ca="1" si="302"/>
        <v>-122.53508272057985</v>
      </c>
      <c r="I700" s="304">
        <f t="shared" ca="1" si="303"/>
        <v>122.60159078079673</v>
      </c>
      <c r="J700" s="306">
        <f t="shared" ca="1" si="304"/>
        <v>677.64536374242232</v>
      </c>
      <c r="K700" s="307">
        <f t="shared" ca="1" si="305"/>
        <v>-10.94351793905569</v>
      </c>
      <c r="L700" s="304">
        <f t="shared" ca="1" si="290"/>
        <v>677.73372321766772</v>
      </c>
      <c r="M700" s="306">
        <f t="shared" ca="1" si="306"/>
        <v>-1.5378563172586441</v>
      </c>
      <c r="N700" s="304">
        <f t="shared" ca="1" si="307"/>
        <v>-88.112676476452052</v>
      </c>
      <c r="P700" s="310">
        <f t="shared" ca="1" si="308"/>
        <v>23</v>
      </c>
      <c r="Q700" s="304">
        <f t="shared" ca="1" si="309"/>
        <v>0</v>
      </c>
      <c r="R700" s="306">
        <f t="shared" ca="1" si="310"/>
        <v>0</v>
      </c>
      <c r="S700" s="307">
        <f t="shared" ca="1" si="311"/>
        <v>2.0842999999999985</v>
      </c>
      <c r="T700" s="304">
        <f t="shared" ca="1" si="291"/>
        <v>20.446982999999985</v>
      </c>
      <c r="U700" s="311">
        <f t="shared" ca="1" si="292"/>
        <v>0</v>
      </c>
      <c r="V700" s="306">
        <f t="shared" ca="1" si="293"/>
        <v>1.2263413148827085</v>
      </c>
      <c r="W700" s="304">
        <f t="shared" ca="1" si="294"/>
        <v>20.354951935215222</v>
      </c>
      <c r="Y700" s="314" t="str">
        <f t="shared" ca="1" si="312"/>
        <v/>
      </c>
      <c r="Z700" s="315" t="str">
        <f t="shared" ca="1" si="313"/>
        <v/>
      </c>
      <c r="AA700" s="316" t="str">
        <f t="shared" ca="1" si="314"/>
        <v/>
      </c>
      <c r="AC700" s="310" t="e">
        <f t="shared" ca="1" si="315"/>
        <v>#N/A</v>
      </c>
      <c r="AD700" s="323" t="e">
        <f t="shared" ca="1" si="316"/>
        <v>#N/A</v>
      </c>
      <c r="AE700" s="324" t="e">
        <f t="shared" ca="1" si="295"/>
        <v>#N/A</v>
      </c>
      <c r="AG700" s="306">
        <f t="shared" ca="1" si="317"/>
        <v>3.8845263004203545E-2</v>
      </c>
      <c r="AH700" s="304">
        <f t="shared" ca="1" si="318"/>
        <v>-9.7658329911280308</v>
      </c>
    </row>
    <row r="701" spans="1:34" x14ac:dyDescent="0.25">
      <c r="A701" s="347">
        <f t="shared" ca="1" si="296"/>
        <v>1E-4</v>
      </c>
      <c r="B701" s="304">
        <f t="shared" ca="1" si="297"/>
        <v>47.110300000000713</v>
      </c>
      <c r="D701" s="306">
        <f t="shared" ca="1" si="298"/>
        <v>-0.3216288754651393</v>
      </c>
      <c r="E701" s="307">
        <f t="shared" ca="1" si="299"/>
        <v>-4.9452131585985271E-2</v>
      </c>
      <c r="F701" s="304">
        <f t="shared" ca="1" si="300"/>
        <v>0.32540843082404558</v>
      </c>
      <c r="G701" s="306">
        <f t="shared" ca="1" si="301"/>
        <v>4.0377351214659072</v>
      </c>
      <c r="H701" s="307">
        <f t="shared" ca="1" si="302"/>
        <v>-122.53508766579301</v>
      </c>
      <c r="I701" s="304">
        <f t="shared" ca="1" si="303"/>
        <v>122.60159466407727</v>
      </c>
      <c r="J701" s="306">
        <f t="shared" ca="1" si="304"/>
        <v>677.64536374242232</v>
      </c>
      <c r="K701" s="307">
        <f t="shared" ca="1" si="305"/>
        <v>-10.955771447575009</v>
      </c>
      <c r="L701" s="304">
        <f t="shared" ca="1" si="290"/>
        <v>677.7339211885527</v>
      </c>
      <c r="M701" s="306">
        <f t="shared" ca="1" si="306"/>
        <v>-1.5378565807813662</v>
      </c>
      <c r="N701" s="304">
        <f t="shared" ca="1" si="307"/>
        <v>-88.112691575191832</v>
      </c>
      <c r="P701" s="310">
        <f t="shared" ca="1" si="308"/>
        <v>23</v>
      </c>
      <c r="Q701" s="304">
        <f t="shared" ca="1" si="309"/>
        <v>0</v>
      </c>
      <c r="R701" s="306">
        <f t="shared" ca="1" si="310"/>
        <v>0</v>
      </c>
      <c r="S701" s="307">
        <f t="shared" ca="1" si="311"/>
        <v>2.0842999999999985</v>
      </c>
      <c r="T701" s="304">
        <f t="shared" ca="1" si="291"/>
        <v>20.446982999999985</v>
      </c>
      <c r="U701" s="311">
        <f t="shared" ca="1" si="292"/>
        <v>0</v>
      </c>
      <c r="V701" s="306">
        <f t="shared" ca="1" si="293"/>
        <v>1.2263428175824542</v>
      </c>
      <c r="W701" s="304">
        <f t="shared" ca="1" si="294"/>
        <v>20.35497816664202</v>
      </c>
      <c r="Y701" s="314" t="str">
        <f t="shared" ca="1" si="312"/>
        <v/>
      </c>
      <c r="Z701" s="315" t="str">
        <f t="shared" ca="1" si="313"/>
        <v/>
      </c>
      <c r="AA701" s="316" t="str">
        <f t="shared" ca="1" si="314"/>
        <v/>
      </c>
      <c r="AC701" s="310" t="e">
        <f t="shared" ca="1" si="315"/>
        <v>#N/A</v>
      </c>
      <c r="AD701" s="323" t="e">
        <f t="shared" ca="1" si="316"/>
        <v>#N/A</v>
      </c>
      <c r="AE701" s="324" t="e">
        <f t="shared" ca="1" si="295"/>
        <v>#N/A</v>
      </c>
      <c r="AG701" s="306">
        <f t="shared" ca="1" si="317"/>
        <v>3.8832762717193603E-2</v>
      </c>
      <c r="AH701" s="304">
        <f t="shared" ca="1" si="318"/>
        <v>-9.7658455765557921</v>
      </c>
    </row>
    <row r="702" spans="1:34" x14ac:dyDescent="0.25">
      <c r="A702" s="347">
        <f t="shared" ca="1" si="296"/>
        <v>1E-4</v>
      </c>
      <c r="B702" s="304">
        <f t="shared" ca="1" si="297"/>
        <v>47.110400000000716</v>
      </c>
      <c r="D702" s="306">
        <f t="shared" ca="1" si="298"/>
        <v>-0.3216267178188057</v>
      </c>
      <c r="E702" s="307">
        <f t="shared" ca="1" si="299"/>
        <v>-4.9439468411547338E-2</v>
      </c>
      <c r="F702" s="304">
        <f t="shared" ca="1" si="300"/>
        <v>0.32540437405129335</v>
      </c>
      <c r="G702" s="306">
        <f t="shared" ca="1" si="301"/>
        <v>4.0377029587941253</v>
      </c>
      <c r="H702" s="307">
        <f t="shared" ca="1" si="302"/>
        <v>-122.53509260973985</v>
      </c>
      <c r="I702" s="304">
        <f t="shared" ca="1" si="303"/>
        <v>122.60159854610777</v>
      </c>
      <c r="J702" s="306">
        <f t="shared" ca="1" si="304"/>
        <v>677.64536374242232</v>
      </c>
      <c r="K702" s="307">
        <f t="shared" ca="1" si="305"/>
        <v>-10.968024956588785</v>
      </c>
      <c r="L702" s="304">
        <f t="shared" ca="1" si="290"/>
        <v>677.73411938093261</v>
      </c>
      <c r="M702" s="306">
        <f t="shared" ca="1" si="306"/>
        <v>-1.5378568443019724</v>
      </c>
      <c r="N702" s="304">
        <f t="shared" ca="1" si="307"/>
        <v>-88.112706673810379</v>
      </c>
      <c r="P702" s="310">
        <f t="shared" ca="1" si="308"/>
        <v>23</v>
      </c>
      <c r="Q702" s="304">
        <f t="shared" ca="1" si="309"/>
        <v>0</v>
      </c>
      <c r="R702" s="306">
        <f t="shared" ca="1" si="310"/>
        <v>0</v>
      </c>
      <c r="S702" s="307">
        <f t="shared" ca="1" si="311"/>
        <v>2.0842999999999985</v>
      </c>
      <c r="T702" s="304">
        <f t="shared" ca="1" si="291"/>
        <v>20.446982999999985</v>
      </c>
      <c r="U702" s="311">
        <f t="shared" ca="1" si="292"/>
        <v>0</v>
      </c>
      <c r="V702" s="306">
        <f t="shared" ca="1" si="293"/>
        <v>1.2263443202841036</v>
      </c>
      <c r="W702" s="304">
        <f t="shared" ca="1" si="294"/>
        <v>20.355004397688536</v>
      </c>
      <c r="Y702" s="314" t="str">
        <f t="shared" ca="1" si="312"/>
        <v/>
      </c>
      <c r="Z702" s="315" t="str">
        <f t="shared" ca="1" si="313"/>
        <v/>
      </c>
      <c r="AA702" s="316" t="str">
        <f t="shared" ca="1" si="314"/>
        <v/>
      </c>
      <c r="AC702" s="310" t="e">
        <f t="shared" ca="1" si="315"/>
        <v>#N/A</v>
      </c>
      <c r="AD702" s="323" t="e">
        <f t="shared" ca="1" si="316"/>
        <v>#N/A</v>
      </c>
      <c r="AE702" s="324" t="e">
        <f t="shared" ca="1" si="295"/>
        <v>#N/A</v>
      </c>
      <c r="AG702" s="306">
        <f t="shared" ca="1" si="317"/>
        <v>3.8820262611272582E-2</v>
      </c>
      <c r="AH702" s="304">
        <f t="shared" ca="1" si="318"/>
        <v>-9.7658581618011002</v>
      </c>
    </row>
    <row r="703" spans="1:34" x14ac:dyDescent="0.25">
      <c r="A703" s="347">
        <f t="shared" ca="1" si="296"/>
        <v>1E-4</v>
      </c>
      <c r="B703" s="304">
        <f t="shared" ca="1" si="297"/>
        <v>47.110500000000719</v>
      </c>
      <c r="D703" s="306">
        <f t="shared" ca="1" si="298"/>
        <v>-0.32162456018046365</v>
      </c>
      <c r="E703" s="307">
        <f t="shared" ca="1" si="299"/>
        <v>-4.9426805420598185E-2</v>
      </c>
      <c r="F703" s="304">
        <f t="shared" ca="1" si="300"/>
        <v>0.32540031777083805</v>
      </c>
      <c r="G703" s="306">
        <f t="shared" ca="1" si="301"/>
        <v>4.0376707963381069</v>
      </c>
      <c r="H703" s="307">
        <f t="shared" ca="1" si="302"/>
        <v>-122.5350975524204</v>
      </c>
      <c r="I703" s="304">
        <f t="shared" ca="1" si="303"/>
        <v>122.60160242688831</v>
      </c>
      <c r="J703" s="306">
        <f t="shared" ca="1" si="304"/>
        <v>677.64536374242232</v>
      </c>
      <c r="K703" s="307">
        <f t="shared" ca="1" si="305"/>
        <v>-10.980278466096893</v>
      </c>
      <c r="L703" s="304">
        <f t="shared" ca="1" si="290"/>
        <v>677.73431779480734</v>
      </c>
      <c r="M703" s="306">
        <f t="shared" ca="1" si="306"/>
        <v>-1.537857107820463</v>
      </c>
      <c r="N703" s="304">
        <f t="shared" ca="1" si="307"/>
        <v>-88.112721772307722</v>
      </c>
      <c r="P703" s="310">
        <f t="shared" ca="1" si="308"/>
        <v>23</v>
      </c>
      <c r="Q703" s="304">
        <f t="shared" ca="1" si="309"/>
        <v>0</v>
      </c>
      <c r="R703" s="306">
        <f t="shared" ca="1" si="310"/>
        <v>0</v>
      </c>
      <c r="S703" s="307">
        <f t="shared" ca="1" si="311"/>
        <v>2.0842999999999985</v>
      </c>
      <c r="T703" s="304">
        <f t="shared" ca="1" si="291"/>
        <v>20.446982999999985</v>
      </c>
      <c r="U703" s="311">
        <f t="shared" ca="1" si="292"/>
        <v>0</v>
      </c>
      <c r="V703" s="306">
        <f t="shared" ca="1" si="293"/>
        <v>1.2263458229876556</v>
      </c>
      <c r="W703" s="304">
        <f t="shared" ca="1" si="294"/>
        <v>20.355030628354779</v>
      </c>
      <c r="Y703" s="314" t="str">
        <f t="shared" ca="1" si="312"/>
        <v/>
      </c>
      <c r="Z703" s="315" t="str">
        <f t="shared" ca="1" si="313"/>
        <v/>
      </c>
      <c r="AA703" s="316" t="str">
        <f t="shared" ca="1" si="314"/>
        <v/>
      </c>
      <c r="AC703" s="310" t="e">
        <f t="shared" ca="1" si="315"/>
        <v>#N/A</v>
      </c>
      <c r="AD703" s="323" t="e">
        <f t="shared" ca="1" si="316"/>
        <v>#N/A</v>
      </c>
      <c r="AE703" s="324" t="e">
        <f t="shared" ca="1" si="295"/>
        <v>#N/A</v>
      </c>
      <c r="AG703" s="306">
        <f t="shared" ca="1" si="317"/>
        <v>3.8807762686436931E-2</v>
      </c>
      <c r="AH703" s="304">
        <f t="shared" ca="1" si="318"/>
        <v>-9.7658707468639587</v>
      </c>
    </row>
    <row r="704" spans="1:34" x14ac:dyDescent="0.25">
      <c r="A704" s="347">
        <f t="shared" ca="1" si="296"/>
        <v>1E-4</v>
      </c>
      <c r="B704" s="304">
        <f t="shared" ca="1" si="297"/>
        <v>47.110600000000723</v>
      </c>
      <c r="D704" s="306">
        <f t="shared" ca="1" si="298"/>
        <v>-0.32162240255011126</v>
      </c>
      <c r="E704" s="307">
        <f t="shared" ca="1" si="299"/>
        <v>-4.9414142613137813E-2</v>
      </c>
      <c r="F704" s="304">
        <f t="shared" ca="1" si="300"/>
        <v>0.32539626198267452</v>
      </c>
      <c r="G704" s="306">
        <f t="shared" ca="1" si="301"/>
        <v>4.0376386340978518</v>
      </c>
      <c r="H704" s="307">
        <f t="shared" ca="1" si="302"/>
        <v>-122.53510249383466</v>
      </c>
      <c r="I704" s="304">
        <f t="shared" ca="1" si="303"/>
        <v>122.60160630641886</v>
      </c>
      <c r="J704" s="306">
        <f t="shared" ca="1" si="304"/>
        <v>677.64536374242232</v>
      </c>
      <c r="K704" s="307">
        <f t="shared" ca="1" si="305"/>
        <v>-10.992531976099206</v>
      </c>
      <c r="L704" s="304">
        <f t="shared" ca="1" si="290"/>
        <v>677.73451643017665</v>
      </c>
      <c r="M704" s="306">
        <f t="shared" ca="1" si="306"/>
        <v>-1.5378573713368378</v>
      </c>
      <c r="N704" s="304">
        <f t="shared" ca="1" si="307"/>
        <v>-88.112736870683818</v>
      </c>
      <c r="P704" s="310">
        <f t="shared" ca="1" si="308"/>
        <v>23</v>
      </c>
      <c r="Q704" s="304">
        <f t="shared" ca="1" si="309"/>
        <v>0</v>
      </c>
      <c r="R704" s="306">
        <f t="shared" ca="1" si="310"/>
        <v>0</v>
      </c>
      <c r="S704" s="307">
        <f t="shared" ca="1" si="311"/>
        <v>2.0842999999999985</v>
      </c>
      <c r="T704" s="304">
        <f t="shared" ca="1" si="291"/>
        <v>20.446982999999985</v>
      </c>
      <c r="U704" s="311">
        <f t="shared" ca="1" si="292"/>
        <v>0</v>
      </c>
      <c r="V704" s="306">
        <f t="shared" ca="1" si="293"/>
        <v>1.2263473256931103</v>
      </c>
      <c r="W704" s="304">
        <f t="shared" ca="1" si="294"/>
        <v>20.355056858640747</v>
      </c>
      <c r="Y704" s="314" t="str">
        <f t="shared" ca="1" si="312"/>
        <v/>
      </c>
      <c r="Z704" s="315" t="str">
        <f t="shared" ca="1" si="313"/>
        <v/>
      </c>
      <c r="AA704" s="316" t="str">
        <f t="shared" ca="1" si="314"/>
        <v/>
      </c>
      <c r="AC704" s="310" t="e">
        <f t="shared" ca="1" si="315"/>
        <v>#N/A</v>
      </c>
      <c r="AD704" s="323" t="e">
        <f t="shared" ca="1" si="316"/>
        <v>#N/A</v>
      </c>
      <c r="AE704" s="324" t="e">
        <f t="shared" ca="1" si="295"/>
        <v>#N/A</v>
      </c>
      <c r="AG704" s="306">
        <f t="shared" ca="1" si="317"/>
        <v>3.8795262942683095E-2</v>
      </c>
      <c r="AH704" s="304">
        <f t="shared" ca="1" si="318"/>
        <v>-9.7658833317443712</v>
      </c>
    </row>
    <row r="705" spans="1:34" x14ac:dyDescent="0.25">
      <c r="A705" s="347">
        <f t="shared" ca="1" si="296"/>
        <v>1E-4</v>
      </c>
      <c r="B705" s="304">
        <f t="shared" ca="1" si="297"/>
        <v>47.110700000000726</v>
      </c>
      <c r="D705" s="306">
        <f t="shared" ca="1" si="298"/>
        <v>-0.3216202449277511</v>
      </c>
      <c r="E705" s="307">
        <f t="shared" ca="1" si="299"/>
        <v>-4.9401479989164443E-2</v>
      </c>
      <c r="F705" s="304">
        <f t="shared" ca="1" si="300"/>
        <v>0.32539220668680191</v>
      </c>
      <c r="G705" s="306">
        <f t="shared" ca="1" si="301"/>
        <v>4.0376064720733593</v>
      </c>
      <c r="H705" s="307">
        <f t="shared" ca="1" si="302"/>
        <v>-122.53510743398266</v>
      </c>
      <c r="I705" s="304">
        <f t="shared" ca="1" si="303"/>
        <v>122.60161018469945</v>
      </c>
      <c r="J705" s="306">
        <f t="shared" ca="1" si="304"/>
        <v>677.64536374242232</v>
      </c>
      <c r="K705" s="307">
        <f t="shared" ca="1" si="305"/>
        <v>-11.004785486595598</v>
      </c>
      <c r="L705" s="304">
        <f t="shared" ca="1" si="290"/>
        <v>677.73471528704044</v>
      </c>
      <c r="M705" s="306">
        <f t="shared" ca="1" si="306"/>
        <v>-1.5378576348510968</v>
      </c>
      <c r="N705" s="304">
        <f t="shared" ca="1" si="307"/>
        <v>-88.11275196893871</v>
      </c>
      <c r="P705" s="310">
        <f t="shared" ca="1" si="308"/>
        <v>23</v>
      </c>
      <c r="Q705" s="304">
        <f t="shared" ca="1" si="309"/>
        <v>0</v>
      </c>
      <c r="R705" s="306">
        <f t="shared" ca="1" si="310"/>
        <v>0</v>
      </c>
      <c r="S705" s="307">
        <f t="shared" ca="1" si="311"/>
        <v>2.0842999999999985</v>
      </c>
      <c r="T705" s="304">
        <f t="shared" ca="1" si="291"/>
        <v>20.446982999999985</v>
      </c>
      <c r="U705" s="311">
        <f t="shared" ca="1" si="292"/>
        <v>0</v>
      </c>
      <c r="V705" s="306">
        <f t="shared" ca="1" si="293"/>
        <v>1.2263488284004682</v>
      </c>
      <c r="W705" s="304">
        <f t="shared" ca="1" si="294"/>
        <v>20.355083088546447</v>
      </c>
      <c r="Y705" s="314" t="str">
        <f t="shared" ca="1" si="312"/>
        <v/>
      </c>
      <c r="Z705" s="315" t="str">
        <f t="shared" ca="1" si="313"/>
        <v/>
      </c>
      <c r="AA705" s="316" t="str">
        <f t="shared" ca="1" si="314"/>
        <v/>
      </c>
      <c r="AC705" s="310" t="e">
        <f t="shared" ca="1" si="315"/>
        <v>#N/A</v>
      </c>
      <c r="AD705" s="323" t="e">
        <f t="shared" ca="1" si="316"/>
        <v>#N/A</v>
      </c>
      <c r="AE705" s="324" t="e">
        <f t="shared" ca="1" si="295"/>
        <v>#N/A</v>
      </c>
      <c r="AG705" s="306">
        <f t="shared" ca="1" si="317"/>
        <v>3.8782763380011076E-2</v>
      </c>
      <c r="AH705" s="304">
        <f t="shared" ca="1" si="318"/>
        <v>-9.7658959164423358</v>
      </c>
    </row>
    <row r="706" spans="1:34" x14ac:dyDescent="0.25">
      <c r="A706" s="347">
        <f t="shared" ca="1" si="296"/>
        <v>1E-4</v>
      </c>
      <c r="B706" s="304">
        <f t="shared" ca="1" si="297"/>
        <v>47.110800000000729</v>
      </c>
      <c r="D706" s="306">
        <f t="shared" ca="1" si="298"/>
        <v>-0.32161808731338121</v>
      </c>
      <c r="E706" s="307">
        <f t="shared" ca="1" si="299"/>
        <v>-4.93888175486763E-2</v>
      </c>
      <c r="F706" s="304">
        <f t="shared" ca="1" si="300"/>
        <v>0.3253881518832149</v>
      </c>
      <c r="G706" s="306">
        <f t="shared" ca="1" si="301"/>
        <v>4.0375743102646275</v>
      </c>
      <c r="H706" s="307">
        <f t="shared" ca="1" si="302"/>
        <v>-122.53511237286442</v>
      </c>
      <c r="I706" s="304">
        <f t="shared" ca="1" si="303"/>
        <v>122.60161406173012</v>
      </c>
      <c r="J706" s="306">
        <f t="shared" ca="1" si="304"/>
        <v>677.64536374242232</v>
      </c>
      <c r="K706" s="307">
        <f t="shared" ca="1" si="305"/>
        <v>-11.01703899758594</v>
      </c>
      <c r="L706" s="304">
        <f t="shared" ca="1" si="290"/>
        <v>677.73491436539859</v>
      </c>
      <c r="M706" s="306">
        <f t="shared" ca="1" si="306"/>
        <v>-1.5378578983632403</v>
      </c>
      <c r="N706" s="304">
        <f t="shared" ca="1" si="307"/>
        <v>-88.112767067072383</v>
      </c>
      <c r="P706" s="310">
        <f t="shared" ca="1" si="308"/>
        <v>23</v>
      </c>
      <c r="Q706" s="304">
        <f t="shared" ca="1" si="309"/>
        <v>0</v>
      </c>
      <c r="R706" s="306">
        <f t="shared" ca="1" si="310"/>
        <v>0</v>
      </c>
      <c r="S706" s="307">
        <f t="shared" ca="1" si="311"/>
        <v>2.0842999999999985</v>
      </c>
      <c r="T706" s="304">
        <f t="shared" ca="1" si="291"/>
        <v>20.446982999999985</v>
      </c>
      <c r="U706" s="311">
        <f t="shared" ca="1" si="292"/>
        <v>0</v>
      </c>
      <c r="V706" s="306">
        <f t="shared" ca="1" si="293"/>
        <v>1.2263503311097292</v>
      </c>
      <c r="W706" s="304">
        <f t="shared" ca="1" si="294"/>
        <v>20.355109318071889</v>
      </c>
      <c r="Y706" s="314" t="str">
        <f t="shared" ca="1" si="312"/>
        <v/>
      </c>
      <c r="Z706" s="315" t="str">
        <f t="shared" ca="1" si="313"/>
        <v/>
      </c>
      <c r="AA706" s="316" t="str">
        <f t="shared" ca="1" si="314"/>
        <v/>
      </c>
      <c r="AC706" s="310" t="e">
        <f t="shared" ca="1" si="315"/>
        <v>#N/A</v>
      </c>
      <c r="AD706" s="323" t="e">
        <f t="shared" ca="1" si="316"/>
        <v>#N/A</v>
      </c>
      <c r="AE706" s="324" t="e">
        <f t="shared" ca="1" si="295"/>
        <v>#N/A</v>
      </c>
      <c r="AG706" s="306">
        <f t="shared" ca="1" si="317"/>
        <v>3.8770263998419097E-2</v>
      </c>
      <c r="AH706" s="304">
        <f t="shared" ca="1" si="318"/>
        <v>-9.7659085009578579</v>
      </c>
    </row>
    <row r="707" spans="1:34" x14ac:dyDescent="0.25">
      <c r="A707" s="347">
        <f t="shared" ca="1" si="296"/>
        <v>1E-4</v>
      </c>
      <c r="B707" s="304">
        <f t="shared" ca="1" si="297"/>
        <v>47.110900000000733</v>
      </c>
      <c r="D707" s="306">
        <f t="shared" ca="1" si="298"/>
        <v>-0.32161592970700198</v>
      </c>
      <c r="E707" s="307">
        <f t="shared" ca="1" si="299"/>
        <v>-4.9376155291668056E-2</v>
      </c>
      <c r="F707" s="304">
        <f t="shared" ca="1" si="300"/>
        <v>0.32538409757190984</v>
      </c>
      <c r="G707" s="306">
        <f t="shared" ca="1" si="301"/>
        <v>4.0375421486716565</v>
      </c>
      <c r="H707" s="307">
        <f t="shared" ca="1" si="302"/>
        <v>-122.53511731047995</v>
      </c>
      <c r="I707" s="304">
        <f t="shared" ca="1" si="303"/>
        <v>122.60161793751085</v>
      </c>
      <c r="J707" s="306">
        <f t="shared" ca="1" si="304"/>
        <v>677.64536374242232</v>
      </c>
      <c r="K707" s="307">
        <f t="shared" ca="1" si="305"/>
        <v>-11.029292509070107</v>
      </c>
      <c r="L707" s="304">
        <f t="shared" ca="1" si="290"/>
        <v>677.73511366525088</v>
      </c>
      <c r="M707" s="306">
        <f t="shared" ca="1" si="306"/>
        <v>-1.5378581618732681</v>
      </c>
      <c r="N707" s="304">
        <f t="shared" ca="1" si="307"/>
        <v>-88.112782165084838</v>
      </c>
      <c r="P707" s="310">
        <f t="shared" ca="1" si="308"/>
        <v>23</v>
      </c>
      <c r="Q707" s="304">
        <f t="shared" ca="1" si="309"/>
        <v>0</v>
      </c>
      <c r="R707" s="306">
        <f t="shared" ca="1" si="310"/>
        <v>0</v>
      </c>
      <c r="S707" s="307">
        <f t="shared" ca="1" si="311"/>
        <v>2.0842999999999985</v>
      </c>
      <c r="T707" s="304">
        <f t="shared" ca="1" si="291"/>
        <v>20.446982999999985</v>
      </c>
      <c r="U707" s="311">
        <f t="shared" ca="1" si="292"/>
        <v>0</v>
      </c>
      <c r="V707" s="306">
        <f t="shared" ca="1" si="293"/>
        <v>1.2263518338208927</v>
      </c>
      <c r="W707" s="304">
        <f t="shared" ca="1" si="294"/>
        <v>20.35513554721706</v>
      </c>
      <c r="Y707" s="314" t="str">
        <f t="shared" ca="1" si="312"/>
        <v/>
      </c>
      <c r="Z707" s="315" t="str">
        <f t="shared" ca="1" si="313"/>
        <v/>
      </c>
      <c r="AA707" s="316" t="str">
        <f t="shared" ca="1" si="314"/>
        <v/>
      </c>
      <c r="AC707" s="310" t="e">
        <f t="shared" ca="1" si="315"/>
        <v>#N/A</v>
      </c>
      <c r="AD707" s="323" t="e">
        <f t="shared" ca="1" si="316"/>
        <v>#N/A</v>
      </c>
      <c r="AE707" s="324" t="e">
        <f t="shared" ca="1" si="295"/>
        <v>#N/A</v>
      </c>
      <c r="AG707" s="306">
        <f t="shared" ca="1" si="317"/>
        <v>3.8757764797903604E-2</v>
      </c>
      <c r="AH707" s="304">
        <f t="shared" ca="1" si="318"/>
        <v>-9.7659210852909393</v>
      </c>
    </row>
    <row r="708" spans="1:34" x14ac:dyDescent="0.25">
      <c r="A708" s="347">
        <f t="shared" ca="1" si="296"/>
        <v>1E-4</v>
      </c>
      <c r="B708" s="304">
        <f t="shared" ca="1" si="297"/>
        <v>47.111000000000736</v>
      </c>
      <c r="D708" s="306">
        <f t="shared" ca="1" si="298"/>
        <v>-0.32161377210861336</v>
      </c>
      <c r="E708" s="307">
        <f t="shared" ca="1" si="299"/>
        <v>-4.9363493218146814E-2</v>
      </c>
      <c r="F708" s="304">
        <f t="shared" ca="1" si="300"/>
        <v>0.32538004375288465</v>
      </c>
      <c r="G708" s="306">
        <f t="shared" ca="1" si="301"/>
        <v>4.0375099872944453</v>
      </c>
      <c r="H708" s="307">
        <f t="shared" ca="1" si="302"/>
        <v>-122.53512224682927</v>
      </c>
      <c r="I708" s="304">
        <f t="shared" ca="1" si="303"/>
        <v>122.6016218120417</v>
      </c>
      <c r="J708" s="306">
        <f t="shared" ca="1" si="304"/>
        <v>677.64536374242232</v>
      </c>
      <c r="K708" s="307">
        <f t="shared" ca="1" si="305"/>
        <v>-11.041546021047973</v>
      </c>
      <c r="L708" s="304">
        <f t="shared" ref="L708:L771" ca="1" si="319">SQRT(pos_x^2+pos_z^2)</f>
        <v>677.73531318659707</v>
      </c>
      <c r="M708" s="306">
        <f t="shared" ca="1" si="306"/>
        <v>-1.53785842538118</v>
      </c>
      <c r="N708" s="304">
        <f t="shared" ca="1" si="307"/>
        <v>-88.112797262976059</v>
      </c>
      <c r="P708" s="310">
        <f t="shared" ca="1" si="308"/>
        <v>23</v>
      </c>
      <c r="Q708" s="304">
        <f t="shared" ca="1" si="309"/>
        <v>0</v>
      </c>
      <c r="R708" s="306">
        <f t="shared" ca="1" si="310"/>
        <v>0</v>
      </c>
      <c r="S708" s="307">
        <f t="shared" ca="1" si="311"/>
        <v>2.0842999999999985</v>
      </c>
      <c r="T708" s="304">
        <f t="shared" ref="T708:T771" ca="1" si="320">m*g</f>
        <v>20.446982999999985</v>
      </c>
      <c r="U708" s="311">
        <f t="shared" ref="U708:U771" ca="1" si="321">IF(pos_xz&lt;L_rampe,Poids*COS(Beta),0)</f>
        <v>0</v>
      </c>
      <c r="V708" s="306">
        <f t="shared" ref="V708:V771" ca="1" si="322">Rho_moyen*(20000-Alt_rampe-pos_z)/(20000+Alt_rampe+pos_z)</f>
        <v>1.2263533365339598</v>
      </c>
      <c r="W708" s="304">
        <f t="shared" ref="W708:W771" ca="1" si="323">1/2*Rho*Sref*Cx*vit_xz^2</f>
        <v>20.355161775981998</v>
      </c>
      <c r="Y708" s="314" t="str">
        <f t="shared" ca="1" si="312"/>
        <v/>
      </c>
      <c r="Z708" s="315" t="str">
        <f t="shared" ca="1" si="313"/>
        <v/>
      </c>
      <c r="AA708" s="316" t="str">
        <f t="shared" ca="1" si="314"/>
        <v/>
      </c>
      <c r="AC708" s="310" t="e">
        <f t="shared" ca="1" si="315"/>
        <v>#N/A</v>
      </c>
      <c r="AD708" s="323" t="e">
        <f t="shared" ca="1" si="316"/>
        <v>#N/A</v>
      </c>
      <c r="AE708" s="324" t="e">
        <f t="shared" ref="AE708:AE771" ca="1" si="324">IF(t&lt;T_para, pos_z, NA())</f>
        <v>#N/A</v>
      </c>
      <c r="AG708" s="306">
        <f t="shared" ca="1" si="317"/>
        <v>3.8745265778466376E-2</v>
      </c>
      <c r="AH708" s="304">
        <f t="shared" ca="1" si="318"/>
        <v>-9.7659336694415746</v>
      </c>
    </row>
    <row r="709" spans="1:34" x14ac:dyDescent="0.25">
      <c r="A709" s="347">
        <f t="shared" ref="A709:A772" ca="1" si="325">IF(B708+0.01&lt;=T_ini+ROUNDUP(Temps_fin_propu,0), 0.01, IF(K708&gt;0, 0.1, 0.0001))</f>
        <v>1E-4</v>
      </c>
      <c r="B709" s="304">
        <f t="shared" ref="B709:B772" ca="1" si="326">B708+pas</f>
        <v>47.111100000000739</v>
      </c>
      <c r="D709" s="306">
        <f t="shared" ref="D709:D772" ca="1" si="327">IF(AND(L708&lt;L_rampe,Poussee&lt;Poids*SIN(M708)),0,(-W708+Poussee)/m*COS(M708)-U708/m*SIN(M708))</f>
        <v>-0.32161161451821851</v>
      </c>
      <c r="E709" s="307">
        <f t="shared" ref="E709:E772" ca="1" si="328">IF(AND(L708&lt;L_rampe,Poussee&lt;Poids*SIN(M708)),0,(-W708+Poussee)/m*SIN(M708)+U708/m*COS(M708)-Poids/m)</f>
        <v>-4.9350831328094813E-2</v>
      </c>
      <c r="F709" s="304">
        <f t="shared" ref="F709:F772" ca="1" si="329">SQRT(acc_x^2+acc_z^2)</f>
        <v>0.32537599042613646</v>
      </c>
      <c r="G709" s="306">
        <f t="shared" ref="G709:G772" ca="1" si="330">G708+acc_x*pas</f>
        <v>4.0374778261329931</v>
      </c>
      <c r="H709" s="307">
        <f t="shared" ref="H709:H772" ca="1" si="331">H708+acc_z*pas</f>
        <v>-122.5351271819124</v>
      </c>
      <c r="I709" s="304">
        <f t="shared" ref="I709:I772" ca="1" si="332">SQRT(vit_x^2+vit_z^2)</f>
        <v>122.60162568532265</v>
      </c>
      <c r="J709" s="306">
        <f t="shared" ref="J709:J772" ca="1" si="333">J708+0.5*(vit_x+G708)*pas*(K708&gt;=0)</f>
        <v>677.64536374242232</v>
      </c>
      <c r="K709" s="307">
        <f t="shared" ref="K709:K772" ca="1" si="334">K708+0.5*(vit_z+H708)*pas</f>
        <v>-11.05379953351941</v>
      </c>
      <c r="L709" s="304">
        <f t="shared" ca="1" si="319"/>
        <v>677.73551292943705</v>
      </c>
      <c r="M709" s="306">
        <f t="shared" ref="M709:M772" ca="1" si="335">IF(AND(L708&gt;L_rampe,G709&gt;0),ATAN2(G709,H709),$M$4)</f>
        <v>-1.5378586888869763</v>
      </c>
      <c r="N709" s="304">
        <f t="shared" ref="N709:N772" ca="1" si="336">DEGREES(Beta)</f>
        <v>-88.112812360746062</v>
      </c>
      <c r="P709" s="310">
        <f t="shared" ref="P709:P772" ca="1" si="337">MATCH(t-pas/2-T_ini,CdP_t)</f>
        <v>23</v>
      </c>
      <c r="Q709" s="304">
        <f t="shared" ref="Q709:Q772" ca="1" si="338">(INDEX(CdP,2,i_P+1)-INDEX(CdP,2,i_P+0))/(INDEX(CdP,1,i_P+1)-INDEX(CdP,1,i_P+0))*(t-pas/2-T_ini-INDEX(CdP,1,i_P+0))+INDEX(CdP,2,i_P+0)</f>
        <v>0</v>
      </c>
      <c r="R709" s="306">
        <f t="shared" ref="R709:R772" ca="1" si="339">Poussee/(g*ISP)</f>
        <v>0</v>
      </c>
      <c r="S709" s="307">
        <f t="shared" ref="S709:S772" ca="1" si="340">S708-Débit*pas</f>
        <v>2.0842999999999985</v>
      </c>
      <c r="T709" s="304">
        <f t="shared" ca="1" si="320"/>
        <v>20.446982999999985</v>
      </c>
      <c r="U709" s="311">
        <f t="shared" ca="1" si="321"/>
        <v>0</v>
      </c>
      <c r="V709" s="306">
        <f t="shared" ca="1" si="322"/>
        <v>1.226354839248929</v>
      </c>
      <c r="W709" s="304">
        <f t="shared" ca="1" si="323"/>
        <v>20.35518800436666</v>
      </c>
      <c r="Y709" s="314" t="str">
        <f t="shared" ref="Y709:Y772" ca="1" si="341">IF(AND(pos_z&lt;=0,K708&gt;0),"Impact balistique","") &amp; IF(AND(H710&lt;0,vit_z&gt;=0),"Apogée","") &amp; IF(AND(Poussee=0,Q708&gt;0),"Fin de propulsion","") &amp; IF(AND(L710&gt;L_rampe,pos_xz&lt;=L_rampe),"Sortie de rampe","")</f>
        <v/>
      </c>
      <c r="Z709" s="315" t="str">
        <f t="shared" ref="Z709:Z772" ca="1" si="342">IF(ABS(t-T_para)&lt;pas/2,"Para","")</f>
        <v/>
      </c>
      <c r="AA709" s="316" t="str">
        <f t="shared" ref="AA709:AA772" ca="1" si="343">IF(ABS(t-T_satellite)&lt;pas/2,"Satellite","")</f>
        <v/>
      </c>
      <c r="AC709" s="310" t="e">
        <f t="shared" ref="AC709:AC772" ca="1" si="344">IF(ABS(t-ROUND(t,0))&lt;0.001,t,NA())</f>
        <v>#N/A</v>
      </c>
      <c r="AD709" s="323" t="e">
        <f t="shared" ref="AD709:AD772" ca="1" si="345">IF(ABS(t-ROUND(t,0))&lt;0.001,pos_x,NA())</f>
        <v>#N/A</v>
      </c>
      <c r="AE709" s="324" t="e">
        <f t="shared" ca="1" si="324"/>
        <v>#N/A</v>
      </c>
      <c r="AG709" s="306">
        <f t="shared" ref="AG709:AG772" ca="1" si="346">IF(AND(L708&lt;L_rampe,Poussee&lt;Poids*SIN(M708)),0,(-W708+Poussee)/m-Poids*SIN(M708)/m)</f>
        <v>3.8732766940094976E-2</v>
      </c>
      <c r="AH709" s="304">
        <f t="shared" ref="AH709:AH772" ca="1" si="347">IF(AND(L708&lt;L_rampe,Poussee&lt;Poids*SIN(M708)), g*SIN(M708), (-W708+Poussee)/m)</f>
        <v>-9.7659462534097834</v>
      </c>
    </row>
    <row r="710" spans="1:34" x14ac:dyDescent="0.25">
      <c r="A710" s="347">
        <f t="shared" ca="1" si="325"/>
        <v>1E-4</v>
      </c>
      <c r="B710" s="304">
        <f t="shared" ca="1" si="326"/>
        <v>47.111200000000743</v>
      </c>
      <c r="D710" s="306">
        <f t="shared" ca="1" si="327"/>
        <v>-0.32160945693581472</v>
      </c>
      <c r="E710" s="307">
        <f t="shared" ca="1" si="328"/>
        <v>-4.9338169621529815E-2</v>
      </c>
      <c r="F710" s="304">
        <f t="shared" ca="1" si="329"/>
        <v>0.32537193759166216</v>
      </c>
      <c r="G710" s="306">
        <f t="shared" ca="1" si="330"/>
        <v>4.0374456651872999</v>
      </c>
      <c r="H710" s="307">
        <f t="shared" ca="1" si="331"/>
        <v>-122.53513211572937</v>
      </c>
      <c r="I710" s="304">
        <f t="shared" ca="1" si="332"/>
        <v>122.60162955735373</v>
      </c>
      <c r="J710" s="306">
        <f t="shared" ca="1" si="333"/>
        <v>677.64536374242232</v>
      </c>
      <c r="K710" s="307">
        <f t="shared" ca="1" si="334"/>
        <v>-11.066053046484292</v>
      </c>
      <c r="L710" s="304">
        <f t="shared" ca="1" si="319"/>
        <v>677.7357128937706</v>
      </c>
      <c r="M710" s="306">
        <f t="shared" ca="1" si="335"/>
        <v>-1.5378589523906572</v>
      </c>
      <c r="N710" s="304">
        <f t="shared" ca="1" si="336"/>
        <v>-88.112827458394861</v>
      </c>
      <c r="P710" s="310">
        <f t="shared" ca="1" si="337"/>
        <v>23</v>
      </c>
      <c r="Q710" s="304">
        <f t="shared" ca="1" si="338"/>
        <v>0</v>
      </c>
      <c r="R710" s="306">
        <f t="shared" ca="1" si="339"/>
        <v>0</v>
      </c>
      <c r="S710" s="307">
        <f t="shared" ca="1" si="340"/>
        <v>2.0842999999999985</v>
      </c>
      <c r="T710" s="304">
        <f t="shared" ca="1" si="320"/>
        <v>20.446982999999985</v>
      </c>
      <c r="U710" s="311">
        <f t="shared" ca="1" si="321"/>
        <v>0</v>
      </c>
      <c r="V710" s="306">
        <f t="shared" ca="1" si="322"/>
        <v>1.2263563419658017</v>
      </c>
      <c r="W710" s="304">
        <f t="shared" ca="1" si="323"/>
        <v>20.35521423237109</v>
      </c>
      <c r="Y710" s="314" t="str">
        <f t="shared" ca="1" si="341"/>
        <v/>
      </c>
      <c r="Z710" s="315" t="str">
        <f t="shared" ca="1" si="342"/>
        <v/>
      </c>
      <c r="AA710" s="316" t="str">
        <f t="shared" ca="1" si="343"/>
        <v/>
      </c>
      <c r="AC710" s="310" t="e">
        <f t="shared" ca="1" si="344"/>
        <v>#N/A</v>
      </c>
      <c r="AD710" s="323" t="e">
        <f t="shared" ca="1" si="345"/>
        <v>#N/A</v>
      </c>
      <c r="AE710" s="324" t="e">
        <f t="shared" ca="1" si="324"/>
        <v>#N/A</v>
      </c>
      <c r="AG710" s="306">
        <f t="shared" ca="1" si="346"/>
        <v>3.8720268282805392E-2</v>
      </c>
      <c r="AH710" s="304">
        <f t="shared" ca="1" si="347"/>
        <v>-9.7659588371955444</v>
      </c>
    </row>
    <row r="711" spans="1:34" x14ac:dyDescent="0.25">
      <c r="A711" s="347">
        <f t="shared" ca="1" si="325"/>
        <v>1E-4</v>
      </c>
      <c r="B711" s="304">
        <f t="shared" ca="1" si="326"/>
        <v>47.111300000000746</v>
      </c>
      <c r="D711" s="306">
        <f t="shared" ca="1" si="327"/>
        <v>-0.3216072993614007</v>
      </c>
      <c r="E711" s="307">
        <f t="shared" ca="1" si="328"/>
        <v>-4.932550809843228E-2</v>
      </c>
      <c r="F711" s="304">
        <f t="shared" ca="1" si="329"/>
        <v>0.32536788524945437</v>
      </c>
      <c r="G711" s="306">
        <f t="shared" ca="1" si="330"/>
        <v>4.0374135044573638</v>
      </c>
      <c r="H711" s="307">
        <f t="shared" ca="1" si="331"/>
        <v>-122.53513704828018</v>
      </c>
      <c r="I711" s="304">
        <f t="shared" ca="1" si="332"/>
        <v>122.60163342813496</v>
      </c>
      <c r="J711" s="306">
        <f t="shared" ca="1" si="333"/>
        <v>677.64536374242232</v>
      </c>
      <c r="K711" s="307">
        <f t="shared" ca="1" si="334"/>
        <v>-11.078306559942492</v>
      </c>
      <c r="L711" s="304">
        <f t="shared" ca="1" si="319"/>
        <v>677.73591307959759</v>
      </c>
      <c r="M711" s="306">
        <f t="shared" ca="1" si="335"/>
        <v>-1.5378592158922222</v>
      </c>
      <c r="N711" s="304">
        <f t="shared" ca="1" si="336"/>
        <v>-88.112842555922427</v>
      </c>
      <c r="P711" s="310">
        <f t="shared" ca="1" si="337"/>
        <v>23</v>
      </c>
      <c r="Q711" s="304">
        <f t="shared" ca="1" si="338"/>
        <v>0</v>
      </c>
      <c r="R711" s="306">
        <f t="shared" ca="1" si="339"/>
        <v>0</v>
      </c>
      <c r="S711" s="307">
        <f t="shared" ca="1" si="340"/>
        <v>2.0842999999999985</v>
      </c>
      <c r="T711" s="304">
        <f t="shared" ca="1" si="320"/>
        <v>20.446982999999985</v>
      </c>
      <c r="U711" s="311">
        <f t="shared" ca="1" si="321"/>
        <v>0</v>
      </c>
      <c r="V711" s="306">
        <f t="shared" ca="1" si="322"/>
        <v>1.2263578446845769</v>
      </c>
      <c r="W711" s="304">
        <f t="shared" ca="1" si="323"/>
        <v>20.355240459995265</v>
      </c>
      <c r="Y711" s="314" t="str">
        <f t="shared" ca="1" si="341"/>
        <v/>
      </c>
      <c r="Z711" s="315" t="str">
        <f t="shared" ca="1" si="342"/>
        <v/>
      </c>
      <c r="AA711" s="316" t="str">
        <f t="shared" ca="1" si="343"/>
        <v/>
      </c>
      <c r="AC711" s="310" t="e">
        <f t="shared" ca="1" si="344"/>
        <v>#N/A</v>
      </c>
      <c r="AD711" s="323" t="e">
        <f t="shared" ca="1" si="345"/>
        <v>#N/A</v>
      </c>
      <c r="AE711" s="324" t="e">
        <f t="shared" ca="1" si="324"/>
        <v>#N/A</v>
      </c>
      <c r="AG711" s="306">
        <f t="shared" ca="1" si="346"/>
        <v>3.8707769806578085E-2</v>
      </c>
      <c r="AH711" s="304">
        <f t="shared" ca="1" si="347"/>
        <v>-9.7659714207988788</v>
      </c>
    </row>
    <row r="712" spans="1:34" x14ac:dyDescent="0.25">
      <c r="A712" s="347">
        <f t="shared" ca="1" si="325"/>
        <v>1E-4</v>
      </c>
      <c r="B712" s="304">
        <f t="shared" ca="1" si="326"/>
        <v>47.111400000000749</v>
      </c>
      <c r="D712" s="306">
        <f t="shared" ca="1" si="327"/>
        <v>-0.32160514179498068</v>
      </c>
      <c r="E712" s="307">
        <f t="shared" ca="1" si="328"/>
        <v>-4.9312846758812867E-2</v>
      </c>
      <c r="F712" s="304">
        <f t="shared" ca="1" si="329"/>
        <v>0.32536383339951569</v>
      </c>
      <c r="G712" s="306">
        <f t="shared" ca="1" si="330"/>
        <v>4.037381343943184</v>
      </c>
      <c r="H712" s="307">
        <f t="shared" ca="1" si="331"/>
        <v>-122.53514197956486</v>
      </c>
      <c r="I712" s="304">
        <f t="shared" ca="1" si="332"/>
        <v>122.60163729766637</v>
      </c>
      <c r="J712" s="306">
        <f t="shared" ca="1" si="333"/>
        <v>677.64536374242232</v>
      </c>
      <c r="K712" s="307">
        <f t="shared" ca="1" si="334"/>
        <v>-11.090560073893885</v>
      </c>
      <c r="L712" s="304">
        <f t="shared" ca="1" si="319"/>
        <v>677.73611348691793</v>
      </c>
      <c r="M712" s="306">
        <f t="shared" ca="1" si="335"/>
        <v>-1.5378594793916718</v>
      </c>
      <c r="N712" s="304">
        <f t="shared" ca="1" si="336"/>
        <v>-88.112857653328788</v>
      </c>
      <c r="P712" s="310">
        <f t="shared" ca="1" si="337"/>
        <v>23</v>
      </c>
      <c r="Q712" s="304">
        <f t="shared" ca="1" si="338"/>
        <v>0</v>
      </c>
      <c r="R712" s="306">
        <f t="shared" ca="1" si="339"/>
        <v>0</v>
      </c>
      <c r="S712" s="307">
        <f t="shared" ca="1" si="340"/>
        <v>2.0842999999999985</v>
      </c>
      <c r="T712" s="304">
        <f t="shared" ca="1" si="320"/>
        <v>20.446982999999985</v>
      </c>
      <c r="U712" s="311">
        <f t="shared" ca="1" si="321"/>
        <v>0</v>
      </c>
      <c r="V712" s="306">
        <f t="shared" ca="1" si="322"/>
        <v>1.2263593474052552</v>
      </c>
      <c r="W712" s="304">
        <f t="shared" ca="1" si="323"/>
        <v>20.355266687239215</v>
      </c>
      <c r="Y712" s="314" t="str">
        <f t="shared" ca="1" si="341"/>
        <v/>
      </c>
      <c r="Z712" s="315" t="str">
        <f t="shared" ca="1" si="342"/>
        <v/>
      </c>
      <c r="AA712" s="316" t="str">
        <f t="shared" ca="1" si="343"/>
        <v/>
      </c>
      <c r="AC712" s="310" t="e">
        <f t="shared" ca="1" si="344"/>
        <v>#N/A</v>
      </c>
      <c r="AD712" s="323" t="e">
        <f t="shared" ca="1" si="345"/>
        <v>#N/A</v>
      </c>
      <c r="AE712" s="324" t="e">
        <f t="shared" ca="1" si="324"/>
        <v>#N/A</v>
      </c>
      <c r="AG712" s="306">
        <f t="shared" ca="1" si="346"/>
        <v>3.8695271511425489E-2</v>
      </c>
      <c r="AH712" s="304">
        <f t="shared" ca="1" si="347"/>
        <v>-9.7659840042197761</v>
      </c>
    </row>
    <row r="713" spans="1:34" x14ac:dyDescent="0.25">
      <c r="A713" s="347">
        <f t="shared" ca="1" si="325"/>
        <v>1E-4</v>
      </c>
      <c r="B713" s="304">
        <f t="shared" ca="1" si="326"/>
        <v>47.111500000000753</v>
      </c>
      <c r="D713" s="306">
        <f t="shared" ca="1" si="327"/>
        <v>-0.32160298423655109</v>
      </c>
      <c r="E713" s="307">
        <f t="shared" ca="1" si="328"/>
        <v>-4.9300185602657365E-2</v>
      </c>
      <c r="F713" s="304">
        <f t="shared" ca="1" si="329"/>
        <v>0.32535978204183719</v>
      </c>
      <c r="G713" s="306">
        <f t="shared" ca="1" si="330"/>
        <v>4.0373491836447606</v>
      </c>
      <c r="H713" s="307">
        <f t="shared" ca="1" si="331"/>
        <v>-122.53514690958342</v>
      </c>
      <c r="I713" s="304">
        <f t="shared" ca="1" si="332"/>
        <v>122.60164116594797</v>
      </c>
      <c r="J713" s="306">
        <f t="shared" ca="1" si="333"/>
        <v>677.64536374242232</v>
      </c>
      <c r="K713" s="307">
        <f t="shared" ca="1" si="334"/>
        <v>-11.102813588338343</v>
      </c>
      <c r="L713" s="304">
        <f t="shared" ca="1" si="319"/>
        <v>677.73631411573126</v>
      </c>
      <c r="M713" s="306">
        <f t="shared" ca="1" si="335"/>
        <v>-1.5378597428890057</v>
      </c>
      <c r="N713" s="304">
        <f t="shared" ca="1" si="336"/>
        <v>-88.112872750613946</v>
      </c>
      <c r="P713" s="310">
        <f t="shared" ca="1" si="337"/>
        <v>23</v>
      </c>
      <c r="Q713" s="304">
        <f t="shared" ca="1" si="338"/>
        <v>0</v>
      </c>
      <c r="R713" s="306">
        <f t="shared" ca="1" si="339"/>
        <v>0</v>
      </c>
      <c r="S713" s="307">
        <f t="shared" ca="1" si="340"/>
        <v>2.0842999999999985</v>
      </c>
      <c r="T713" s="304">
        <f t="shared" ca="1" si="320"/>
        <v>20.446982999999985</v>
      </c>
      <c r="U713" s="311">
        <f t="shared" ca="1" si="321"/>
        <v>0</v>
      </c>
      <c r="V713" s="306">
        <f t="shared" ca="1" si="322"/>
        <v>1.2263608501278362</v>
      </c>
      <c r="W713" s="304">
        <f t="shared" ca="1" si="323"/>
        <v>20.355292914102925</v>
      </c>
      <c r="Y713" s="314" t="str">
        <f t="shared" ca="1" si="341"/>
        <v/>
      </c>
      <c r="Z713" s="315" t="str">
        <f t="shared" ca="1" si="342"/>
        <v/>
      </c>
      <c r="AA713" s="316" t="str">
        <f t="shared" ca="1" si="343"/>
        <v/>
      </c>
      <c r="AC713" s="310" t="e">
        <f t="shared" ca="1" si="344"/>
        <v>#N/A</v>
      </c>
      <c r="AD713" s="323" t="e">
        <f t="shared" ca="1" si="345"/>
        <v>#N/A</v>
      </c>
      <c r="AE713" s="324" t="e">
        <f t="shared" ca="1" si="324"/>
        <v>#N/A</v>
      </c>
      <c r="AG713" s="306">
        <f t="shared" ca="1" si="346"/>
        <v>3.8682773397328063E-2</v>
      </c>
      <c r="AH713" s="304">
        <f t="shared" ca="1" si="347"/>
        <v>-9.7659965874582504</v>
      </c>
    </row>
    <row r="714" spans="1:34" x14ac:dyDescent="0.25">
      <c r="A714" s="347">
        <f t="shared" ca="1" si="325"/>
        <v>1E-4</v>
      </c>
      <c r="B714" s="304">
        <f t="shared" ca="1" si="326"/>
        <v>47.111600000000756</v>
      </c>
      <c r="D714" s="306">
        <f t="shared" ca="1" si="327"/>
        <v>-0.32160082668611395</v>
      </c>
      <c r="E714" s="307">
        <f t="shared" ca="1" si="328"/>
        <v>-4.9287524629972879E-2</v>
      </c>
      <c r="F714" s="304">
        <f t="shared" ca="1" si="329"/>
        <v>0.32535573117641881</v>
      </c>
      <c r="G714" s="306">
        <f t="shared" ca="1" si="330"/>
        <v>4.0373170235620917</v>
      </c>
      <c r="H714" s="307">
        <f t="shared" ca="1" si="331"/>
        <v>-122.53515183833588</v>
      </c>
      <c r="I714" s="304">
        <f t="shared" ca="1" si="332"/>
        <v>122.60164503297976</v>
      </c>
      <c r="J714" s="306">
        <f t="shared" ca="1" si="333"/>
        <v>677.64536374242232</v>
      </c>
      <c r="K714" s="307">
        <f t="shared" ca="1" si="334"/>
        <v>-11.115067103275738</v>
      </c>
      <c r="L714" s="304">
        <f t="shared" ca="1" si="319"/>
        <v>677.7365149660377</v>
      </c>
      <c r="M714" s="306">
        <f t="shared" ca="1" si="335"/>
        <v>-1.5378600063842243</v>
      </c>
      <c r="N714" s="304">
        <f t="shared" ca="1" si="336"/>
        <v>-88.112887847777884</v>
      </c>
      <c r="P714" s="310">
        <f t="shared" ca="1" si="337"/>
        <v>23</v>
      </c>
      <c r="Q714" s="304">
        <f t="shared" ca="1" si="338"/>
        <v>0</v>
      </c>
      <c r="R714" s="306">
        <f t="shared" ca="1" si="339"/>
        <v>0</v>
      </c>
      <c r="S714" s="307">
        <f t="shared" ca="1" si="340"/>
        <v>2.0842999999999985</v>
      </c>
      <c r="T714" s="304">
        <f t="shared" ca="1" si="320"/>
        <v>20.446982999999985</v>
      </c>
      <c r="U714" s="311">
        <f t="shared" ca="1" si="321"/>
        <v>0</v>
      </c>
      <c r="V714" s="306">
        <f t="shared" ca="1" si="322"/>
        <v>1.2263623528523202</v>
      </c>
      <c r="W714" s="304">
        <f t="shared" ca="1" si="323"/>
        <v>20.355319140586403</v>
      </c>
      <c r="Y714" s="314" t="str">
        <f t="shared" ca="1" si="341"/>
        <v/>
      </c>
      <c r="Z714" s="315" t="str">
        <f t="shared" ca="1" si="342"/>
        <v/>
      </c>
      <c r="AA714" s="316" t="str">
        <f t="shared" ca="1" si="343"/>
        <v/>
      </c>
      <c r="AC714" s="310" t="e">
        <f t="shared" ca="1" si="344"/>
        <v>#N/A</v>
      </c>
      <c r="AD714" s="323" t="e">
        <f t="shared" ca="1" si="345"/>
        <v>#N/A</v>
      </c>
      <c r="AE714" s="324" t="e">
        <f t="shared" ca="1" si="324"/>
        <v>#N/A</v>
      </c>
      <c r="AG714" s="306">
        <f t="shared" ca="1" si="346"/>
        <v>3.8670275464303572E-2</v>
      </c>
      <c r="AH714" s="304">
        <f t="shared" ca="1" si="347"/>
        <v>-9.7660091705142928</v>
      </c>
    </row>
    <row r="715" spans="1:34" x14ac:dyDescent="0.25">
      <c r="A715" s="347">
        <f t="shared" ca="1" si="325"/>
        <v>1E-4</v>
      </c>
      <c r="B715" s="304">
        <f t="shared" ca="1" si="326"/>
        <v>47.111700000000759</v>
      </c>
      <c r="D715" s="306">
        <f t="shared" ca="1" si="327"/>
        <v>-0.32159866914366758</v>
      </c>
      <c r="E715" s="307">
        <f t="shared" ca="1" si="328"/>
        <v>-4.9274863840757632E-2</v>
      </c>
      <c r="F715" s="304">
        <f t="shared" ca="1" si="329"/>
        <v>0.32535168080325538</v>
      </c>
      <c r="G715" s="306">
        <f t="shared" ca="1" si="330"/>
        <v>4.0372848636951773</v>
      </c>
      <c r="H715" s="307">
        <f t="shared" ca="1" si="331"/>
        <v>-122.53515676582226</v>
      </c>
      <c r="I715" s="304">
        <f t="shared" ca="1" si="332"/>
        <v>122.60164889876179</v>
      </c>
      <c r="J715" s="306">
        <f t="shared" ca="1" si="333"/>
        <v>677.64536374242232</v>
      </c>
      <c r="K715" s="307">
        <f t="shared" ca="1" si="334"/>
        <v>-11.127320618705946</v>
      </c>
      <c r="L715" s="304">
        <f t="shared" ca="1" si="319"/>
        <v>677.73671603783669</v>
      </c>
      <c r="M715" s="306">
        <f t="shared" ca="1" si="335"/>
        <v>-1.5378602698773272</v>
      </c>
      <c r="N715" s="304">
        <f t="shared" ca="1" si="336"/>
        <v>-88.112902944820618</v>
      </c>
      <c r="P715" s="310">
        <f t="shared" ca="1" si="337"/>
        <v>23</v>
      </c>
      <c r="Q715" s="304">
        <f t="shared" ca="1" si="338"/>
        <v>0</v>
      </c>
      <c r="R715" s="306">
        <f t="shared" ca="1" si="339"/>
        <v>0</v>
      </c>
      <c r="S715" s="307">
        <f t="shared" ca="1" si="340"/>
        <v>2.0842999999999985</v>
      </c>
      <c r="T715" s="304">
        <f t="shared" ca="1" si="320"/>
        <v>20.446982999999985</v>
      </c>
      <c r="U715" s="311">
        <f t="shared" ca="1" si="321"/>
        <v>0</v>
      </c>
      <c r="V715" s="306">
        <f t="shared" ca="1" si="322"/>
        <v>1.2263638555787069</v>
      </c>
      <c r="W715" s="304">
        <f t="shared" ca="1" si="323"/>
        <v>20.355345366689662</v>
      </c>
      <c r="Y715" s="314" t="str">
        <f t="shared" ca="1" si="341"/>
        <v/>
      </c>
      <c r="Z715" s="315" t="str">
        <f t="shared" ca="1" si="342"/>
        <v/>
      </c>
      <c r="AA715" s="316" t="str">
        <f t="shared" ca="1" si="343"/>
        <v/>
      </c>
      <c r="AC715" s="310" t="e">
        <f t="shared" ca="1" si="344"/>
        <v>#N/A</v>
      </c>
      <c r="AD715" s="323" t="e">
        <f t="shared" ca="1" si="345"/>
        <v>#N/A</v>
      </c>
      <c r="AE715" s="324" t="e">
        <f t="shared" ca="1" si="324"/>
        <v>#N/A</v>
      </c>
      <c r="AG715" s="306">
        <f t="shared" ca="1" si="346"/>
        <v>3.8657777712337804E-2</v>
      </c>
      <c r="AH715" s="304">
        <f t="shared" ca="1" si="347"/>
        <v>-9.7660217533879088</v>
      </c>
    </row>
    <row r="716" spans="1:34" x14ac:dyDescent="0.25">
      <c r="A716" s="347">
        <f t="shared" ca="1" si="325"/>
        <v>1E-4</v>
      </c>
      <c r="B716" s="304">
        <f t="shared" ca="1" si="326"/>
        <v>47.111800000000763</v>
      </c>
      <c r="D716" s="306">
        <f t="shared" ca="1" si="327"/>
        <v>-0.32159651160921437</v>
      </c>
      <c r="E716" s="307">
        <f t="shared" ca="1" si="328"/>
        <v>-4.926220323500452E-2</v>
      </c>
      <c r="F716" s="304">
        <f t="shared" ca="1" si="329"/>
        <v>0.32534763092234503</v>
      </c>
      <c r="G716" s="306">
        <f t="shared" ca="1" si="330"/>
        <v>4.0372527040440165</v>
      </c>
      <c r="H716" s="307">
        <f t="shared" ca="1" si="331"/>
        <v>-122.53516169204259</v>
      </c>
      <c r="I716" s="304">
        <f t="shared" ca="1" si="332"/>
        <v>122.60165276329408</v>
      </c>
      <c r="J716" s="306">
        <f t="shared" ca="1" si="333"/>
        <v>677.64536374242232</v>
      </c>
      <c r="K716" s="307">
        <f t="shared" ca="1" si="334"/>
        <v>-11.139574134628839</v>
      </c>
      <c r="L716" s="304">
        <f t="shared" ca="1" si="319"/>
        <v>677.73691733112832</v>
      </c>
      <c r="M716" s="306">
        <f t="shared" ca="1" si="335"/>
        <v>-1.5378605333683144</v>
      </c>
      <c r="N716" s="304">
        <f t="shared" ca="1" si="336"/>
        <v>-88.11291804174212</v>
      </c>
      <c r="P716" s="310">
        <f t="shared" ca="1" si="337"/>
        <v>23</v>
      </c>
      <c r="Q716" s="304">
        <f t="shared" ca="1" si="338"/>
        <v>0</v>
      </c>
      <c r="R716" s="306">
        <f t="shared" ca="1" si="339"/>
        <v>0</v>
      </c>
      <c r="S716" s="307">
        <f t="shared" ca="1" si="340"/>
        <v>2.0842999999999985</v>
      </c>
      <c r="T716" s="304">
        <f t="shared" ca="1" si="320"/>
        <v>20.446982999999985</v>
      </c>
      <c r="U716" s="311">
        <f t="shared" ca="1" si="321"/>
        <v>0</v>
      </c>
      <c r="V716" s="306">
        <f t="shared" ca="1" si="322"/>
        <v>1.226365358306996</v>
      </c>
      <c r="W716" s="304">
        <f t="shared" ca="1" si="323"/>
        <v>20.355371592412695</v>
      </c>
      <c r="Y716" s="314" t="str">
        <f t="shared" ca="1" si="341"/>
        <v/>
      </c>
      <c r="Z716" s="315" t="str">
        <f t="shared" ca="1" si="342"/>
        <v/>
      </c>
      <c r="AA716" s="316" t="str">
        <f t="shared" ca="1" si="343"/>
        <v/>
      </c>
      <c r="AC716" s="310" t="e">
        <f t="shared" ca="1" si="344"/>
        <v>#N/A</v>
      </c>
      <c r="AD716" s="323" t="e">
        <f t="shared" ca="1" si="345"/>
        <v>#N/A</v>
      </c>
      <c r="AE716" s="324" t="e">
        <f t="shared" ca="1" si="324"/>
        <v>#N/A</v>
      </c>
      <c r="AG716" s="306">
        <f t="shared" ca="1" si="346"/>
        <v>3.864528014143076E-2</v>
      </c>
      <c r="AH716" s="304">
        <f t="shared" ca="1" si="347"/>
        <v>-9.7660343360791035</v>
      </c>
    </row>
    <row r="717" spans="1:34" x14ac:dyDescent="0.25">
      <c r="A717" s="347">
        <f t="shared" ca="1" si="325"/>
        <v>1E-4</v>
      </c>
      <c r="B717" s="304">
        <f t="shared" ca="1" si="326"/>
        <v>47.111900000000766</v>
      </c>
      <c r="D717" s="306">
        <f t="shared" ca="1" si="327"/>
        <v>-0.32159435408275472</v>
      </c>
      <c r="E717" s="307">
        <f t="shared" ca="1" si="328"/>
        <v>-4.9249542812713543E-2</v>
      </c>
      <c r="F717" s="304">
        <f t="shared" ca="1" si="329"/>
        <v>0.32534358153368498</v>
      </c>
      <c r="G717" s="306">
        <f t="shared" ca="1" si="330"/>
        <v>4.0372205446086085</v>
      </c>
      <c r="H717" s="307">
        <f t="shared" ca="1" si="331"/>
        <v>-122.53516661699688</v>
      </c>
      <c r="I717" s="304">
        <f t="shared" ca="1" si="332"/>
        <v>122.6016566265766</v>
      </c>
      <c r="J717" s="306">
        <f t="shared" ca="1" si="333"/>
        <v>677.64536374242232</v>
      </c>
      <c r="K717" s="307">
        <f t="shared" ca="1" si="334"/>
        <v>-11.151827651044291</v>
      </c>
      <c r="L717" s="304">
        <f t="shared" ca="1" si="319"/>
        <v>677.73711884591239</v>
      </c>
      <c r="M717" s="306">
        <f t="shared" ca="1" si="335"/>
        <v>-1.5378607968571865</v>
      </c>
      <c r="N717" s="304">
        <f t="shared" ca="1" si="336"/>
        <v>-88.112933138542445</v>
      </c>
      <c r="P717" s="310">
        <f t="shared" ca="1" si="337"/>
        <v>23</v>
      </c>
      <c r="Q717" s="304">
        <f t="shared" ca="1" si="338"/>
        <v>0</v>
      </c>
      <c r="R717" s="306">
        <f t="shared" ca="1" si="339"/>
        <v>0</v>
      </c>
      <c r="S717" s="307">
        <f t="shared" ca="1" si="340"/>
        <v>2.0842999999999985</v>
      </c>
      <c r="T717" s="304">
        <f t="shared" ca="1" si="320"/>
        <v>20.446982999999985</v>
      </c>
      <c r="U717" s="311">
        <f t="shared" ca="1" si="321"/>
        <v>0</v>
      </c>
      <c r="V717" s="306">
        <f t="shared" ca="1" si="322"/>
        <v>1.2263668610371883</v>
      </c>
      <c r="W717" s="304">
        <f t="shared" ca="1" si="323"/>
        <v>20.355397817755509</v>
      </c>
      <c r="Y717" s="314" t="str">
        <f t="shared" ca="1" si="341"/>
        <v/>
      </c>
      <c r="Z717" s="315" t="str">
        <f t="shared" ca="1" si="342"/>
        <v/>
      </c>
      <c r="AA717" s="316" t="str">
        <f t="shared" ca="1" si="343"/>
        <v/>
      </c>
      <c r="AC717" s="310" t="e">
        <f t="shared" ca="1" si="344"/>
        <v>#N/A</v>
      </c>
      <c r="AD717" s="323" t="e">
        <f t="shared" ca="1" si="345"/>
        <v>#N/A</v>
      </c>
      <c r="AE717" s="324" t="e">
        <f t="shared" ca="1" si="324"/>
        <v>#N/A</v>
      </c>
      <c r="AG717" s="306">
        <f t="shared" ca="1" si="346"/>
        <v>3.8632782751580663E-2</v>
      </c>
      <c r="AH717" s="304">
        <f t="shared" ca="1" si="347"/>
        <v>-9.7660469185878753</v>
      </c>
    </row>
    <row r="718" spans="1:34" x14ac:dyDescent="0.25">
      <c r="A718" s="347">
        <f t="shared" ca="1" si="325"/>
        <v>1E-4</v>
      </c>
      <c r="B718" s="304">
        <f t="shared" ca="1" si="326"/>
        <v>47.112000000000769</v>
      </c>
      <c r="D718" s="306">
        <f t="shared" ca="1" si="327"/>
        <v>-0.3215921965642845</v>
      </c>
      <c r="E718" s="307">
        <f t="shared" ca="1" si="328"/>
        <v>-4.9236882573882923E-2</v>
      </c>
      <c r="F718" s="304">
        <f t="shared" ca="1" si="329"/>
        <v>0.32533953263726761</v>
      </c>
      <c r="G718" s="306">
        <f t="shared" ca="1" si="330"/>
        <v>4.0371883853889523</v>
      </c>
      <c r="H718" s="307">
        <f t="shared" ca="1" si="331"/>
        <v>-122.53517154068513</v>
      </c>
      <c r="I718" s="304">
        <f t="shared" ca="1" si="332"/>
        <v>122.60166048860941</v>
      </c>
      <c r="J718" s="306">
        <f t="shared" ca="1" si="333"/>
        <v>677.64536374242232</v>
      </c>
      <c r="K718" s="307">
        <f t="shared" ca="1" si="334"/>
        <v>-11.164081167952176</v>
      </c>
      <c r="L718" s="304">
        <f t="shared" ca="1" si="319"/>
        <v>677.73732058218866</v>
      </c>
      <c r="M718" s="306">
        <f t="shared" ca="1" si="335"/>
        <v>-1.5378610603439429</v>
      </c>
      <c r="N718" s="304">
        <f t="shared" ca="1" si="336"/>
        <v>-88.112948235221538</v>
      </c>
      <c r="P718" s="310">
        <f t="shared" ca="1" si="337"/>
        <v>23</v>
      </c>
      <c r="Q718" s="304">
        <f t="shared" ca="1" si="338"/>
        <v>0</v>
      </c>
      <c r="R718" s="306">
        <f t="shared" ca="1" si="339"/>
        <v>0</v>
      </c>
      <c r="S718" s="307">
        <f t="shared" ca="1" si="340"/>
        <v>2.0842999999999985</v>
      </c>
      <c r="T718" s="304">
        <f t="shared" ca="1" si="320"/>
        <v>20.446982999999985</v>
      </c>
      <c r="U718" s="311">
        <f t="shared" ca="1" si="321"/>
        <v>0</v>
      </c>
      <c r="V718" s="306">
        <f t="shared" ca="1" si="322"/>
        <v>1.2263683637692837</v>
      </c>
      <c r="W718" s="304">
        <f t="shared" ca="1" si="323"/>
        <v>20.355424042718116</v>
      </c>
      <c r="Y718" s="314" t="str">
        <f t="shared" ca="1" si="341"/>
        <v/>
      </c>
      <c r="Z718" s="315" t="str">
        <f t="shared" ca="1" si="342"/>
        <v/>
      </c>
      <c r="AA718" s="316" t="str">
        <f t="shared" ca="1" si="343"/>
        <v/>
      </c>
      <c r="AC718" s="310" t="e">
        <f t="shared" ca="1" si="344"/>
        <v>#N/A</v>
      </c>
      <c r="AD718" s="323" t="e">
        <f t="shared" ca="1" si="345"/>
        <v>#N/A</v>
      </c>
      <c r="AE718" s="324" t="e">
        <f t="shared" ca="1" si="324"/>
        <v>#N/A</v>
      </c>
      <c r="AG718" s="306">
        <f t="shared" ca="1" si="346"/>
        <v>3.8620285542787514E-2</v>
      </c>
      <c r="AH718" s="304">
        <f t="shared" ca="1" si="347"/>
        <v>-9.7660595009142277</v>
      </c>
    </row>
    <row r="719" spans="1:34" x14ac:dyDescent="0.25">
      <c r="A719" s="347">
        <f t="shared" ca="1" si="325"/>
        <v>1E-4</v>
      </c>
      <c r="B719" s="304">
        <f t="shared" ca="1" si="326"/>
        <v>47.112100000000773</v>
      </c>
      <c r="D719" s="306">
        <f t="shared" ca="1" si="327"/>
        <v>-0.3215900390538084</v>
      </c>
      <c r="E719" s="307">
        <f t="shared" ca="1" si="328"/>
        <v>-4.9224222518510885E-2</v>
      </c>
      <c r="F719" s="304">
        <f t="shared" ca="1" si="329"/>
        <v>0.32533548423309422</v>
      </c>
      <c r="G719" s="306">
        <f t="shared" ca="1" si="330"/>
        <v>4.0371562263850471</v>
      </c>
      <c r="H719" s="307">
        <f t="shared" ca="1" si="331"/>
        <v>-122.53517646310738</v>
      </c>
      <c r="I719" s="304">
        <f t="shared" ca="1" si="332"/>
        <v>122.60166434939251</v>
      </c>
      <c r="J719" s="306">
        <f t="shared" ca="1" si="333"/>
        <v>677.64536374242232</v>
      </c>
      <c r="K719" s="307">
        <f t="shared" ca="1" si="334"/>
        <v>-11.176334685352366</v>
      </c>
      <c r="L719" s="304">
        <f t="shared" ca="1" si="319"/>
        <v>677.73752253995713</v>
      </c>
      <c r="M719" s="306">
        <f t="shared" ca="1" si="335"/>
        <v>-1.5378613238285839</v>
      </c>
      <c r="N719" s="304">
        <f t="shared" ca="1" si="336"/>
        <v>-88.11296333177944</v>
      </c>
      <c r="P719" s="310">
        <f t="shared" ca="1" si="337"/>
        <v>23</v>
      </c>
      <c r="Q719" s="304">
        <f t="shared" ca="1" si="338"/>
        <v>0</v>
      </c>
      <c r="R719" s="306">
        <f t="shared" ca="1" si="339"/>
        <v>0</v>
      </c>
      <c r="S719" s="307">
        <f t="shared" ca="1" si="340"/>
        <v>2.0842999999999985</v>
      </c>
      <c r="T719" s="304">
        <f t="shared" ca="1" si="320"/>
        <v>20.446982999999985</v>
      </c>
      <c r="U719" s="311">
        <f t="shared" ca="1" si="321"/>
        <v>0</v>
      </c>
      <c r="V719" s="306">
        <f t="shared" ca="1" si="322"/>
        <v>1.2263698665032814</v>
      </c>
      <c r="W719" s="304">
        <f t="shared" ca="1" si="323"/>
        <v>20.355450267300505</v>
      </c>
      <c r="Y719" s="314" t="str">
        <f t="shared" ca="1" si="341"/>
        <v/>
      </c>
      <c r="Z719" s="315" t="str">
        <f t="shared" ca="1" si="342"/>
        <v/>
      </c>
      <c r="AA719" s="316" t="str">
        <f t="shared" ca="1" si="343"/>
        <v/>
      </c>
      <c r="AC719" s="310" t="e">
        <f t="shared" ca="1" si="344"/>
        <v>#N/A</v>
      </c>
      <c r="AD719" s="323" t="e">
        <f t="shared" ca="1" si="345"/>
        <v>#N/A</v>
      </c>
      <c r="AE719" s="324" t="e">
        <f t="shared" ca="1" si="324"/>
        <v>#N/A</v>
      </c>
      <c r="AG719" s="306">
        <f t="shared" ca="1" si="346"/>
        <v>3.8607788515045982E-2</v>
      </c>
      <c r="AH719" s="304">
        <f t="shared" ca="1" si="347"/>
        <v>-9.7660720830581642</v>
      </c>
    </row>
    <row r="720" spans="1:34" x14ac:dyDescent="0.25">
      <c r="A720" s="347">
        <f t="shared" ca="1" si="325"/>
        <v>1E-4</v>
      </c>
      <c r="B720" s="304">
        <f t="shared" ca="1" si="326"/>
        <v>47.112200000000776</v>
      </c>
      <c r="D720" s="306">
        <f t="shared" ca="1" si="327"/>
        <v>-0.32158788155132434</v>
      </c>
      <c r="E720" s="307">
        <f t="shared" ca="1" si="328"/>
        <v>-4.9211562646597429E-2</v>
      </c>
      <c r="F720" s="304">
        <f t="shared" ca="1" si="329"/>
        <v>0.32533143632115941</v>
      </c>
      <c r="G720" s="306">
        <f t="shared" ca="1" si="330"/>
        <v>4.037124067596892</v>
      </c>
      <c r="H720" s="307">
        <f t="shared" ca="1" si="331"/>
        <v>-122.53518138426364</v>
      </c>
      <c r="I720" s="304">
        <f t="shared" ca="1" si="332"/>
        <v>122.60166820892593</v>
      </c>
      <c r="J720" s="306">
        <f t="shared" ca="1" si="333"/>
        <v>677.64536374242232</v>
      </c>
      <c r="K720" s="307">
        <f t="shared" ca="1" si="334"/>
        <v>-11.188588203244734</v>
      </c>
      <c r="L720" s="304">
        <f t="shared" ca="1" si="319"/>
        <v>677.73772471921734</v>
      </c>
      <c r="M720" s="306">
        <f t="shared" ca="1" si="335"/>
        <v>-1.5378615873111094</v>
      </c>
      <c r="N720" s="304">
        <f t="shared" ca="1" si="336"/>
        <v>-88.112978428216124</v>
      </c>
      <c r="P720" s="310">
        <f t="shared" ca="1" si="337"/>
        <v>23</v>
      </c>
      <c r="Q720" s="304">
        <f t="shared" ca="1" si="338"/>
        <v>0</v>
      </c>
      <c r="R720" s="306">
        <f t="shared" ca="1" si="339"/>
        <v>0</v>
      </c>
      <c r="S720" s="307">
        <f t="shared" ca="1" si="340"/>
        <v>2.0842999999999985</v>
      </c>
      <c r="T720" s="304">
        <f t="shared" ca="1" si="320"/>
        <v>20.446982999999985</v>
      </c>
      <c r="U720" s="311">
        <f t="shared" ca="1" si="321"/>
        <v>0</v>
      </c>
      <c r="V720" s="306">
        <f t="shared" ca="1" si="322"/>
        <v>1.226371369239182</v>
      </c>
      <c r="W720" s="304">
        <f t="shared" ca="1" si="323"/>
        <v>20.355476491502696</v>
      </c>
      <c r="Y720" s="314" t="str">
        <f t="shared" ca="1" si="341"/>
        <v/>
      </c>
      <c r="Z720" s="315" t="str">
        <f t="shared" ca="1" si="342"/>
        <v/>
      </c>
      <c r="AA720" s="316" t="str">
        <f t="shared" ca="1" si="343"/>
        <v/>
      </c>
      <c r="AC720" s="310" t="e">
        <f t="shared" ca="1" si="344"/>
        <v>#N/A</v>
      </c>
      <c r="AD720" s="323" t="e">
        <f t="shared" ca="1" si="345"/>
        <v>#N/A</v>
      </c>
      <c r="AE720" s="324" t="e">
        <f t="shared" ca="1" si="324"/>
        <v>#N/A</v>
      </c>
      <c r="AG720" s="306">
        <f t="shared" ca="1" si="346"/>
        <v>3.8595291668359621E-2</v>
      </c>
      <c r="AH720" s="304">
        <f t="shared" ca="1" si="347"/>
        <v>-9.7660846650196795</v>
      </c>
    </row>
    <row r="721" spans="1:34" x14ac:dyDescent="0.25">
      <c r="A721" s="347">
        <f t="shared" ca="1" si="325"/>
        <v>1E-4</v>
      </c>
      <c r="B721" s="304">
        <f t="shared" ca="1" si="326"/>
        <v>47.112300000000779</v>
      </c>
      <c r="D721" s="306">
        <f t="shared" ca="1" si="327"/>
        <v>-0.32158572405683294</v>
      </c>
      <c r="E721" s="307">
        <f t="shared" ca="1" si="328"/>
        <v>-4.9198902958135449E-2</v>
      </c>
      <c r="F721" s="304">
        <f t="shared" ca="1" si="329"/>
        <v>0.32532738890145957</v>
      </c>
      <c r="G721" s="306">
        <f t="shared" ca="1" si="330"/>
        <v>4.0370919090244861</v>
      </c>
      <c r="H721" s="307">
        <f t="shared" ca="1" si="331"/>
        <v>-122.53518630415394</v>
      </c>
      <c r="I721" s="304">
        <f t="shared" ca="1" si="332"/>
        <v>122.60167206720971</v>
      </c>
      <c r="J721" s="306">
        <f t="shared" ca="1" si="333"/>
        <v>677.64536374242232</v>
      </c>
      <c r="K721" s="307">
        <f t="shared" ca="1" si="334"/>
        <v>-11.200841721629155</v>
      </c>
      <c r="L721" s="304">
        <f t="shared" ca="1" si="319"/>
        <v>677.7379271199693</v>
      </c>
      <c r="M721" s="306">
        <f t="shared" ca="1" si="335"/>
        <v>-1.5378618507915196</v>
      </c>
      <c r="N721" s="304">
        <f t="shared" ca="1" si="336"/>
        <v>-88.112993524531618</v>
      </c>
      <c r="P721" s="310">
        <f t="shared" ca="1" si="337"/>
        <v>23</v>
      </c>
      <c r="Q721" s="304">
        <f t="shared" ca="1" si="338"/>
        <v>0</v>
      </c>
      <c r="R721" s="306">
        <f t="shared" ca="1" si="339"/>
        <v>0</v>
      </c>
      <c r="S721" s="307">
        <f t="shared" ca="1" si="340"/>
        <v>2.0842999999999985</v>
      </c>
      <c r="T721" s="304">
        <f t="shared" ca="1" si="320"/>
        <v>20.446982999999985</v>
      </c>
      <c r="U721" s="311">
        <f t="shared" ca="1" si="321"/>
        <v>0</v>
      </c>
      <c r="V721" s="306">
        <f t="shared" ca="1" si="322"/>
        <v>1.2263728719769853</v>
      </c>
      <c r="W721" s="304">
        <f t="shared" ca="1" si="323"/>
        <v>20.355502715324693</v>
      </c>
      <c r="Y721" s="314" t="str">
        <f t="shared" ca="1" si="341"/>
        <v/>
      </c>
      <c r="Z721" s="315" t="str">
        <f t="shared" ca="1" si="342"/>
        <v/>
      </c>
      <c r="AA721" s="316" t="str">
        <f t="shared" ca="1" si="343"/>
        <v/>
      </c>
      <c r="AC721" s="310" t="e">
        <f t="shared" ca="1" si="344"/>
        <v>#N/A</v>
      </c>
      <c r="AD721" s="323" t="e">
        <f t="shared" ca="1" si="345"/>
        <v>#N/A</v>
      </c>
      <c r="AE721" s="324" t="e">
        <f t="shared" ca="1" si="324"/>
        <v>#N/A</v>
      </c>
      <c r="AG721" s="306">
        <f t="shared" ca="1" si="346"/>
        <v>3.8582795002721326E-2</v>
      </c>
      <c r="AH721" s="304">
        <f t="shared" ca="1" si="347"/>
        <v>-9.7660972467987861</v>
      </c>
    </row>
    <row r="722" spans="1:34" x14ac:dyDescent="0.25">
      <c r="A722" s="347">
        <f t="shared" ca="1" si="325"/>
        <v>1E-4</v>
      </c>
      <c r="B722" s="304">
        <f t="shared" ca="1" si="326"/>
        <v>47.112400000000783</v>
      </c>
      <c r="D722" s="306">
        <f t="shared" ca="1" si="327"/>
        <v>-0.32158356657033438</v>
      </c>
      <c r="E722" s="307">
        <f t="shared" ca="1" si="328"/>
        <v>-4.9186243453123168E-2</v>
      </c>
      <c r="F722" s="304">
        <f t="shared" ca="1" si="329"/>
        <v>0.32532334197399143</v>
      </c>
      <c r="G722" s="306">
        <f t="shared" ca="1" si="330"/>
        <v>4.0370597506678294</v>
      </c>
      <c r="H722" s="307">
        <f t="shared" ca="1" si="331"/>
        <v>-122.53519122277828</v>
      </c>
      <c r="I722" s="304">
        <f t="shared" ca="1" si="332"/>
        <v>122.60167592424379</v>
      </c>
      <c r="J722" s="306">
        <f t="shared" ca="1" si="333"/>
        <v>677.64536374242232</v>
      </c>
      <c r="K722" s="307">
        <f t="shared" ca="1" si="334"/>
        <v>-11.213095240505501</v>
      </c>
      <c r="L722" s="304">
        <f t="shared" ca="1" si="319"/>
        <v>677.73812974221278</v>
      </c>
      <c r="M722" s="306">
        <f t="shared" ca="1" si="335"/>
        <v>-1.5378621142698143</v>
      </c>
      <c r="N722" s="304">
        <f t="shared" ca="1" si="336"/>
        <v>-88.113008620725893</v>
      </c>
      <c r="P722" s="310">
        <f t="shared" ca="1" si="337"/>
        <v>23</v>
      </c>
      <c r="Q722" s="304">
        <f t="shared" ca="1" si="338"/>
        <v>0</v>
      </c>
      <c r="R722" s="306">
        <f t="shared" ca="1" si="339"/>
        <v>0</v>
      </c>
      <c r="S722" s="307">
        <f t="shared" ca="1" si="340"/>
        <v>2.0842999999999985</v>
      </c>
      <c r="T722" s="304">
        <f t="shared" ca="1" si="320"/>
        <v>20.446982999999985</v>
      </c>
      <c r="U722" s="311">
        <f t="shared" ca="1" si="321"/>
        <v>0</v>
      </c>
      <c r="V722" s="306">
        <f t="shared" ca="1" si="322"/>
        <v>1.2263743747166918</v>
      </c>
      <c r="W722" s="304">
        <f t="shared" ca="1" si="323"/>
        <v>20.355528938766486</v>
      </c>
      <c r="Y722" s="314" t="str">
        <f t="shared" ca="1" si="341"/>
        <v/>
      </c>
      <c r="Z722" s="315" t="str">
        <f t="shared" ca="1" si="342"/>
        <v/>
      </c>
      <c r="AA722" s="316" t="str">
        <f t="shared" ca="1" si="343"/>
        <v/>
      </c>
      <c r="AC722" s="310" t="e">
        <f t="shared" ca="1" si="344"/>
        <v>#N/A</v>
      </c>
      <c r="AD722" s="323" t="e">
        <f t="shared" ca="1" si="345"/>
        <v>#N/A</v>
      </c>
      <c r="AE722" s="324" t="e">
        <f t="shared" ca="1" si="324"/>
        <v>#N/A</v>
      </c>
      <c r="AG722" s="306">
        <f t="shared" ca="1" si="346"/>
        <v>3.8570298518125767E-2</v>
      </c>
      <c r="AH722" s="304">
        <f t="shared" ca="1" si="347"/>
        <v>-9.7661098283954839</v>
      </c>
    </row>
    <row r="723" spans="1:34" x14ac:dyDescent="0.25">
      <c r="A723" s="347">
        <f t="shared" ca="1" si="325"/>
        <v>1E-4</v>
      </c>
      <c r="B723" s="304">
        <f t="shared" ca="1" si="326"/>
        <v>47.112500000000786</v>
      </c>
      <c r="D723" s="306">
        <f t="shared" ca="1" si="327"/>
        <v>-0.32158140909182881</v>
      </c>
      <c r="E723" s="307">
        <f t="shared" ca="1" si="328"/>
        <v>-4.9173584131562365E-2</v>
      </c>
      <c r="F723" s="304">
        <f t="shared" ca="1" si="329"/>
        <v>0.32531929553875222</v>
      </c>
      <c r="G723" s="306">
        <f t="shared" ca="1" si="330"/>
        <v>4.0370275925269201</v>
      </c>
      <c r="H723" s="307">
        <f t="shared" ca="1" si="331"/>
        <v>-122.53519614013669</v>
      </c>
      <c r="I723" s="304">
        <f t="shared" ca="1" si="332"/>
        <v>122.60167978002828</v>
      </c>
      <c r="J723" s="306">
        <f t="shared" ca="1" si="333"/>
        <v>677.64536374242232</v>
      </c>
      <c r="K723" s="307">
        <f t="shared" ca="1" si="334"/>
        <v>-11.225348759873647</v>
      </c>
      <c r="L723" s="304">
        <f t="shared" ca="1" si="319"/>
        <v>677.73833258594766</v>
      </c>
      <c r="M723" s="306">
        <f t="shared" ca="1" si="335"/>
        <v>-1.5378623777459937</v>
      </c>
      <c r="N723" s="304">
        <f t="shared" ca="1" si="336"/>
        <v>-88.113023716798978</v>
      </c>
      <c r="P723" s="310">
        <f t="shared" ca="1" si="337"/>
        <v>23</v>
      </c>
      <c r="Q723" s="304">
        <f t="shared" ca="1" si="338"/>
        <v>0</v>
      </c>
      <c r="R723" s="306">
        <f t="shared" ca="1" si="339"/>
        <v>0</v>
      </c>
      <c r="S723" s="307">
        <f t="shared" ca="1" si="340"/>
        <v>2.0842999999999985</v>
      </c>
      <c r="T723" s="304">
        <f t="shared" ca="1" si="320"/>
        <v>20.446982999999985</v>
      </c>
      <c r="U723" s="311">
        <f t="shared" ca="1" si="321"/>
        <v>0</v>
      </c>
      <c r="V723" s="306">
        <f t="shared" ca="1" si="322"/>
        <v>1.2263758774583005</v>
      </c>
      <c r="W723" s="304">
        <f t="shared" ca="1" si="323"/>
        <v>20.355555161828093</v>
      </c>
      <c r="Y723" s="314" t="str">
        <f t="shared" ca="1" si="341"/>
        <v/>
      </c>
      <c r="Z723" s="315" t="str">
        <f t="shared" ca="1" si="342"/>
        <v/>
      </c>
      <c r="AA723" s="316" t="str">
        <f t="shared" ca="1" si="343"/>
        <v/>
      </c>
      <c r="AC723" s="310" t="e">
        <f t="shared" ca="1" si="344"/>
        <v>#N/A</v>
      </c>
      <c r="AD723" s="323" t="e">
        <f t="shared" ca="1" si="345"/>
        <v>#N/A</v>
      </c>
      <c r="AE723" s="324" t="e">
        <f t="shared" ca="1" si="324"/>
        <v>#N/A</v>
      </c>
      <c r="AG723" s="306">
        <f t="shared" ca="1" si="346"/>
        <v>3.8557802214576498E-2</v>
      </c>
      <c r="AH723" s="304">
        <f t="shared" ca="1" si="347"/>
        <v>-9.7661224098097694</v>
      </c>
    </row>
    <row r="724" spans="1:34" x14ac:dyDescent="0.25">
      <c r="A724" s="347">
        <f t="shared" ca="1" si="325"/>
        <v>1E-4</v>
      </c>
      <c r="B724" s="304">
        <f t="shared" ca="1" si="326"/>
        <v>47.112600000000789</v>
      </c>
      <c r="D724" s="306">
        <f t="shared" ca="1" si="327"/>
        <v>-0.32157925162131656</v>
      </c>
      <c r="E724" s="307">
        <f t="shared" ca="1" si="328"/>
        <v>-4.916092499345126E-2</v>
      </c>
      <c r="F724" s="304">
        <f t="shared" ca="1" si="329"/>
        <v>0.32531524959573871</v>
      </c>
      <c r="G724" s="306">
        <f t="shared" ca="1" si="330"/>
        <v>4.0369954346017582</v>
      </c>
      <c r="H724" s="307">
        <f t="shared" ca="1" si="331"/>
        <v>-122.53520105622918</v>
      </c>
      <c r="I724" s="304">
        <f t="shared" ca="1" si="332"/>
        <v>122.60168363456313</v>
      </c>
      <c r="J724" s="306">
        <f t="shared" ca="1" si="333"/>
        <v>677.64536374242232</v>
      </c>
      <c r="K724" s="307">
        <f t="shared" ca="1" si="334"/>
        <v>-11.237602279733466</v>
      </c>
      <c r="L724" s="304">
        <f t="shared" ca="1" si="319"/>
        <v>677.73853565117372</v>
      </c>
      <c r="M724" s="306">
        <f t="shared" ca="1" si="335"/>
        <v>-1.5378626412200578</v>
      </c>
      <c r="N724" s="304">
        <f t="shared" ca="1" si="336"/>
        <v>-88.113038812750858</v>
      </c>
      <c r="P724" s="310">
        <f t="shared" ca="1" si="337"/>
        <v>23</v>
      </c>
      <c r="Q724" s="304">
        <f t="shared" ca="1" si="338"/>
        <v>0</v>
      </c>
      <c r="R724" s="306">
        <f t="shared" ca="1" si="339"/>
        <v>0</v>
      </c>
      <c r="S724" s="307">
        <f t="shared" ca="1" si="340"/>
        <v>2.0842999999999985</v>
      </c>
      <c r="T724" s="304">
        <f t="shared" ca="1" si="320"/>
        <v>20.446982999999985</v>
      </c>
      <c r="U724" s="311">
        <f t="shared" ca="1" si="321"/>
        <v>0</v>
      </c>
      <c r="V724" s="306">
        <f t="shared" ca="1" si="322"/>
        <v>1.2263773802018121</v>
      </c>
      <c r="W724" s="304">
        <f t="shared" ca="1" si="323"/>
        <v>20.355581384509506</v>
      </c>
      <c r="Y724" s="314" t="str">
        <f t="shared" ca="1" si="341"/>
        <v/>
      </c>
      <c r="Z724" s="315" t="str">
        <f t="shared" ca="1" si="342"/>
        <v/>
      </c>
      <c r="AA724" s="316" t="str">
        <f t="shared" ca="1" si="343"/>
        <v/>
      </c>
      <c r="AC724" s="310" t="e">
        <f t="shared" ca="1" si="344"/>
        <v>#N/A</v>
      </c>
      <c r="AD724" s="323" t="e">
        <f t="shared" ca="1" si="345"/>
        <v>#N/A</v>
      </c>
      <c r="AE724" s="324" t="e">
        <f t="shared" ca="1" si="324"/>
        <v>#N/A</v>
      </c>
      <c r="AG724" s="306">
        <f t="shared" ca="1" si="346"/>
        <v>3.8545306092073517E-2</v>
      </c>
      <c r="AH724" s="304">
        <f t="shared" ca="1" si="347"/>
        <v>-9.766134991041648</v>
      </c>
    </row>
    <row r="725" spans="1:34" x14ac:dyDescent="0.25">
      <c r="A725" s="347">
        <f t="shared" ca="1" si="325"/>
        <v>1E-4</v>
      </c>
      <c r="B725" s="304">
        <f t="shared" ca="1" si="326"/>
        <v>47.112700000000792</v>
      </c>
      <c r="D725" s="306">
        <f t="shared" ca="1" si="327"/>
        <v>-0.32157709415879587</v>
      </c>
      <c r="E725" s="307">
        <f t="shared" ca="1" si="328"/>
        <v>-4.9148266038786304E-2</v>
      </c>
      <c r="F725" s="304">
        <f t="shared" ca="1" si="329"/>
        <v>0.32531120414494546</v>
      </c>
      <c r="G725" s="306">
        <f t="shared" ca="1" si="330"/>
        <v>4.036963276892342</v>
      </c>
      <c r="H725" s="307">
        <f t="shared" ca="1" si="331"/>
        <v>-122.53520597105579</v>
      </c>
      <c r="I725" s="304">
        <f t="shared" ca="1" si="332"/>
        <v>122.60168748784839</v>
      </c>
      <c r="J725" s="306">
        <f t="shared" ca="1" si="333"/>
        <v>677.64536374242232</v>
      </c>
      <c r="K725" s="307">
        <f t="shared" ca="1" si="334"/>
        <v>-11.249855800084831</v>
      </c>
      <c r="L725" s="304">
        <f t="shared" ca="1" si="319"/>
        <v>677.73873893789084</v>
      </c>
      <c r="M725" s="306">
        <f t="shared" ca="1" si="335"/>
        <v>-1.5378629046920065</v>
      </c>
      <c r="N725" s="304">
        <f t="shared" ca="1" si="336"/>
        <v>-88.113053908581534</v>
      </c>
      <c r="P725" s="310">
        <f t="shared" ca="1" si="337"/>
        <v>23</v>
      </c>
      <c r="Q725" s="304">
        <f t="shared" ca="1" si="338"/>
        <v>0</v>
      </c>
      <c r="R725" s="306">
        <f t="shared" ca="1" si="339"/>
        <v>0</v>
      </c>
      <c r="S725" s="307">
        <f t="shared" ca="1" si="340"/>
        <v>2.0842999999999985</v>
      </c>
      <c r="T725" s="304">
        <f t="shared" ca="1" si="320"/>
        <v>20.446982999999985</v>
      </c>
      <c r="U725" s="311">
        <f t="shared" ca="1" si="321"/>
        <v>0</v>
      </c>
      <c r="V725" s="306">
        <f t="shared" ca="1" si="322"/>
        <v>1.2263788829472264</v>
      </c>
      <c r="W725" s="304">
        <f t="shared" ca="1" si="323"/>
        <v>20.355607606810739</v>
      </c>
      <c r="Y725" s="314" t="str">
        <f t="shared" ca="1" si="341"/>
        <v/>
      </c>
      <c r="Z725" s="315" t="str">
        <f t="shared" ca="1" si="342"/>
        <v/>
      </c>
      <c r="AA725" s="316" t="str">
        <f t="shared" ca="1" si="343"/>
        <v/>
      </c>
      <c r="AC725" s="310" t="e">
        <f t="shared" ca="1" si="344"/>
        <v>#N/A</v>
      </c>
      <c r="AD725" s="323" t="e">
        <f t="shared" ca="1" si="345"/>
        <v>#N/A</v>
      </c>
      <c r="AE725" s="324" t="e">
        <f t="shared" ca="1" si="324"/>
        <v>#N/A</v>
      </c>
      <c r="AG725" s="306">
        <f t="shared" ca="1" si="346"/>
        <v>3.8532810150611496E-2</v>
      </c>
      <c r="AH725" s="304">
        <f t="shared" ca="1" si="347"/>
        <v>-9.7661475720911195</v>
      </c>
    </row>
    <row r="726" spans="1:34" x14ac:dyDescent="0.25">
      <c r="A726" s="347">
        <f t="shared" ca="1" si="325"/>
        <v>1E-4</v>
      </c>
      <c r="B726" s="304">
        <f t="shared" ca="1" si="326"/>
        <v>47.112800000000796</v>
      </c>
      <c r="D726" s="306">
        <f t="shared" ca="1" si="327"/>
        <v>-0.32157493670426912</v>
      </c>
      <c r="E726" s="307">
        <f t="shared" ca="1" si="328"/>
        <v>-4.9135607267563941E-2</v>
      </c>
      <c r="F726" s="304">
        <f t="shared" ca="1" si="329"/>
        <v>0.3253071591863711</v>
      </c>
      <c r="G726" s="306">
        <f t="shared" ca="1" si="330"/>
        <v>4.0369311193986714</v>
      </c>
      <c r="H726" s="307">
        <f t="shared" ca="1" si="331"/>
        <v>-122.53521088461652</v>
      </c>
      <c r="I726" s="304">
        <f t="shared" ca="1" si="332"/>
        <v>122.6016913398841</v>
      </c>
      <c r="J726" s="306">
        <f t="shared" ca="1" si="333"/>
        <v>677.64536374242232</v>
      </c>
      <c r="K726" s="307">
        <f t="shared" ca="1" si="334"/>
        <v>-11.262109320927614</v>
      </c>
      <c r="L726" s="304">
        <f t="shared" ca="1" si="319"/>
        <v>677.7389424460988</v>
      </c>
      <c r="M726" s="306">
        <f t="shared" ca="1" si="335"/>
        <v>-1.5378631681618398</v>
      </c>
      <c r="N726" s="304">
        <f t="shared" ca="1" si="336"/>
        <v>-88.11306900429102</v>
      </c>
      <c r="P726" s="310">
        <f t="shared" ca="1" si="337"/>
        <v>23</v>
      </c>
      <c r="Q726" s="304">
        <f t="shared" ca="1" si="338"/>
        <v>0</v>
      </c>
      <c r="R726" s="306">
        <f t="shared" ca="1" si="339"/>
        <v>0</v>
      </c>
      <c r="S726" s="307">
        <f t="shared" ca="1" si="340"/>
        <v>2.0842999999999985</v>
      </c>
      <c r="T726" s="304">
        <f t="shared" ca="1" si="320"/>
        <v>20.446982999999985</v>
      </c>
      <c r="U726" s="311">
        <f t="shared" ca="1" si="321"/>
        <v>0</v>
      </c>
      <c r="V726" s="306">
        <f t="shared" ca="1" si="322"/>
        <v>1.2263803856945434</v>
      </c>
      <c r="W726" s="304">
        <f t="shared" ca="1" si="323"/>
        <v>20.355633828731797</v>
      </c>
      <c r="Y726" s="314" t="str">
        <f t="shared" ca="1" si="341"/>
        <v/>
      </c>
      <c r="Z726" s="315" t="str">
        <f t="shared" ca="1" si="342"/>
        <v/>
      </c>
      <c r="AA726" s="316" t="str">
        <f t="shared" ca="1" si="343"/>
        <v/>
      </c>
      <c r="AC726" s="310" t="e">
        <f t="shared" ca="1" si="344"/>
        <v>#N/A</v>
      </c>
      <c r="AD726" s="323" t="e">
        <f t="shared" ca="1" si="345"/>
        <v>#N/A</v>
      </c>
      <c r="AE726" s="324" t="e">
        <f t="shared" ca="1" si="324"/>
        <v>#N/A</v>
      </c>
      <c r="AG726" s="306">
        <f t="shared" ca="1" si="346"/>
        <v>3.8520314390188659E-2</v>
      </c>
      <c r="AH726" s="304">
        <f t="shared" ca="1" si="347"/>
        <v>-9.7661601529581894</v>
      </c>
    </row>
    <row r="727" spans="1:34" x14ac:dyDescent="0.25">
      <c r="A727" s="347">
        <f t="shared" ca="1" si="325"/>
        <v>1E-4</v>
      </c>
      <c r="B727" s="304">
        <f t="shared" ca="1" si="326"/>
        <v>47.112900000000799</v>
      </c>
      <c r="D727" s="306">
        <f t="shared" ca="1" si="327"/>
        <v>-0.32157277925773664</v>
      </c>
      <c r="E727" s="307">
        <f t="shared" ca="1" si="328"/>
        <v>-4.9122948679782397E-2</v>
      </c>
      <c r="F727" s="304">
        <f t="shared" ca="1" si="329"/>
        <v>0.32530311472001244</v>
      </c>
      <c r="G727" s="306">
        <f t="shared" ca="1" si="330"/>
        <v>4.0368989621207456</v>
      </c>
      <c r="H727" s="307">
        <f t="shared" ca="1" si="331"/>
        <v>-122.53521579691139</v>
      </c>
      <c r="I727" s="304">
        <f t="shared" ca="1" si="332"/>
        <v>122.60169519067024</v>
      </c>
      <c r="J727" s="306">
        <f t="shared" ca="1" si="333"/>
        <v>677.64536374242232</v>
      </c>
      <c r="K727" s="307">
        <f t="shared" ca="1" si="334"/>
        <v>-11.27436284226169</v>
      </c>
      <c r="L727" s="304">
        <f t="shared" ca="1" si="319"/>
        <v>677.73914617579737</v>
      </c>
      <c r="M727" s="306">
        <f t="shared" ca="1" si="335"/>
        <v>-1.5378634316295579</v>
      </c>
      <c r="N727" s="304">
        <f t="shared" ca="1" si="336"/>
        <v>-88.113084099879302</v>
      </c>
      <c r="P727" s="310">
        <f t="shared" ca="1" si="337"/>
        <v>23</v>
      </c>
      <c r="Q727" s="304">
        <f t="shared" ca="1" si="338"/>
        <v>0</v>
      </c>
      <c r="R727" s="306">
        <f t="shared" ca="1" si="339"/>
        <v>0</v>
      </c>
      <c r="S727" s="307">
        <f t="shared" ca="1" si="340"/>
        <v>2.0842999999999985</v>
      </c>
      <c r="T727" s="304">
        <f t="shared" ca="1" si="320"/>
        <v>20.446982999999985</v>
      </c>
      <c r="U727" s="311">
        <f t="shared" ca="1" si="321"/>
        <v>0</v>
      </c>
      <c r="V727" s="306">
        <f t="shared" ca="1" si="322"/>
        <v>1.2263818884437632</v>
      </c>
      <c r="W727" s="304">
        <f t="shared" ca="1" si="323"/>
        <v>20.355660050272682</v>
      </c>
      <c r="Y727" s="314" t="str">
        <f t="shared" ca="1" si="341"/>
        <v/>
      </c>
      <c r="Z727" s="315" t="str">
        <f t="shared" ca="1" si="342"/>
        <v/>
      </c>
      <c r="AA727" s="316" t="str">
        <f t="shared" ca="1" si="343"/>
        <v/>
      </c>
      <c r="AC727" s="310" t="e">
        <f t="shared" ca="1" si="344"/>
        <v>#N/A</v>
      </c>
      <c r="AD727" s="323" t="e">
        <f t="shared" ca="1" si="345"/>
        <v>#N/A</v>
      </c>
      <c r="AE727" s="324" t="e">
        <f t="shared" ca="1" si="324"/>
        <v>#N/A</v>
      </c>
      <c r="AG727" s="306">
        <f t="shared" ca="1" si="346"/>
        <v>3.8507818810799677E-2</v>
      </c>
      <c r="AH727" s="304">
        <f t="shared" ca="1" si="347"/>
        <v>-9.7661727336428594</v>
      </c>
    </row>
    <row r="728" spans="1:34" x14ac:dyDescent="0.25">
      <c r="A728" s="347">
        <f t="shared" ca="1" si="325"/>
        <v>1E-4</v>
      </c>
      <c r="B728" s="304">
        <f t="shared" ca="1" si="326"/>
        <v>47.113000000000802</v>
      </c>
      <c r="D728" s="306">
        <f t="shared" ca="1" si="327"/>
        <v>-0.32157062181919654</v>
      </c>
      <c r="E728" s="307">
        <f t="shared" ca="1" si="328"/>
        <v>-4.9110290275438118E-2</v>
      </c>
      <c r="F728" s="304">
        <f t="shared" ca="1" si="329"/>
        <v>0.32529907074586384</v>
      </c>
      <c r="G728" s="306">
        <f t="shared" ca="1" si="330"/>
        <v>4.0368668050585637</v>
      </c>
      <c r="H728" s="307">
        <f t="shared" ca="1" si="331"/>
        <v>-122.53522070794041</v>
      </c>
      <c r="I728" s="304">
        <f t="shared" ca="1" si="332"/>
        <v>122.60169904020682</v>
      </c>
      <c r="J728" s="306">
        <f t="shared" ca="1" si="333"/>
        <v>677.64536374242232</v>
      </c>
      <c r="K728" s="307">
        <f t="shared" ca="1" si="334"/>
        <v>-11.286616364086932</v>
      </c>
      <c r="L728" s="304">
        <f t="shared" ca="1" si="319"/>
        <v>677.73935012698644</v>
      </c>
      <c r="M728" s="306">
        <f t="shared" ca="1" si="335"/>
        <v>-1.5378636950951607</v>
      </c>
      <c r="N728" s="304">
        <f t="shared" ca="1" si="336"/>
        <v>-88.113099195346393</v>
      </c>
      <c r="P728" s="310">
        <f t="shared" ca="1" si="337"/>
        <v>23</v>
      </c>
      <c r="Q728" s="304">
        <f t="shared" ca="1" si="338"/>
        <v>0</v>
      </c>
      <c r="R728" s="306">
        <f t="shared" ca="1" si="339"/>
        <v>0</v>
      </c>
      <c r="S728" s="307">
        <f t="shared" ca="1" si="340"/>
        <v>2.0842999999999985</v>
      </c>
      <c r="T728" s="304">
        <f t="shared" ca="1" si="320"/>
        <v>20.446982999999985</v>
      </c>
      <c r="U728" s="311">
        <f t="shared" ca="1" si="321"/>
        <v>0</v>
      </c>
      <c r="V728" s="306">
        <f t="shared" ca="1" si="322"/>
        <v>1.2263833911948856</v>
      </c>
      <c r="W728" s="304">
        <f t="shared" ca="1" si="323"/>
        <v>20.355686271433395</v>
      </c>
      <c r="Y728" s="314" t="str">
        <f t="shared" ca="1" si="341"/>
        <v/>
      </c>
      <c r="Z728" s="315" t="str">
        <f t="shared" ca="1" si="342"/>
        <v/>
      </c>
      <c r="AA728" s="316" t="str">
        <f t="shared" ca="1" si="343"/>
        <v/>
      </c>
      <c r="AC728" s="310" t="e">
        <f t="shared" ca="1" si="344"/>
        <v>#N/A</v>
      </c>
      <c r="AD728" s="323" t="e">
        <f t="shared" ca="1" si="345"/>
        <v>#N/A</v>
      </c>
      <c r="AE728" s="324" t="e">
        <f t="shared" ca="1" si="324"/>
        <v>#N/A</v>
      </c>
      <c r="AG728" s="306">
        <f t="shared" ca="1" si="346"/>
        <v>3.8495323412448101E-2</v>
      </c>
      <c r="AH728" s="304">
        <f t="shared" ca="1" si="347"/>
        <v>-9.7661853141451314</v>
      </c>
    </row>
    <row r="729" spans="1:34" x14ac:dyDescent="0.25">
      <c r="A729" s="347">
        <f t="shared" ca="1" si="325"/>
        <v>1E-4</v>
      </c>
      <c r="B729" s="304">
        <f t="shared" ca="1" si="326"/>
        <v>47.113100000000806</v>
      </c>
      <c r="D729" s="306">
        <f t="shared" ca="1" si="327"/>
        <v>-0.32156846438864911</v>
      </c>
      <c r="E729" s="307">
        <f t="shared" ca="1" si="328"/>
        <v>-4.909763205453288E-2</v>
      </c>
      <c r="F729" s="304">
        <f t="shared" ca="1" si="329"/>
        <v>0.32529502726392262</v>
      </c>
      <c r="G729" s="306">
        <f t="shared" ca="1" si="330"/>
        <v>4.0368346482121247</v>
      </c>
      <c r="H729" s="307">
        <f t="shared" ca="1" si="331"/>
        <v>-122.53522561770362</v>
      </c>
      <c r="I729" s="304">
        <f t="shared" ca="1" si="332"/>
        <v>122.6017028884939</v>
      </c>
      <c r="J729" s="306">
        <f t="shared" ca="1" si="333"/>
        <v>677.64536374242232</v>
      </c>
      <c r="K729" s="307">
        <f t="shared" ca="1" si="334"/>
        <v>-11.298869886403214</v>
      </c>
      <c r="L729" s="304">
        <f t="shared" ca="1" si="319"/>
        <v>677.73955429966577</v>
      </c>
      <c r="M729" s="306">
        <f t="shared" ca="1" si="335"/>
        <v>-1.5378639585586484</v>
      </c>
      <c r="N729" s="304">
        <f t="shared" ca="1" si="336"/>
        <v>-88.113114290692295</v>
      </c>
      <c r="P729" s="310">
        <f t="shared" ca="1" si="337"/>
        <v>23</v>
      </c>
      <c r="Q729" s="304">
        <f t="shared" ca="1" si="338"/>
        <v>0</v>
      </c>
      <c r="R729" s="306">
        <f t="shared" ca="1" si="339"/>
        <v>0</v>
      </c>
      <c r="S729" s="307">
        <f t="shared" ca="1" si="340"/>
        <v>2.0842999999999985</v>
      </c>
      <c r="T729" s="304">
        <f t="shared" ca="1" si="320"/>
        <v>20.446982999999985</v>
      </c>
      <c r="U729" s="311">
        <f t="shared" ca="1" si="321"/>
        <v>0</v>
      </c>
      <c r="V729" s="306">
        <f t="shared" ca="1" si="322"/>
        <v>1.2263848939479107</v>
      </c>
      <c r="W729" s="304">
        <f t="shared" ca="1" si="323"/>
        <v>20.355712492213943</v>
      </c>
      <c r="Y729" s="314" t="str">
        <f t="shared" ca="1" si="341"/>
        <v/>
      </c>
      <c r="Z729" s="315" t="str">
        <f t="shared" ca="1" si="342"/>
        <v/>
      </c>
      <c r="AA729" s="316" t="str">
        <f t="shared" ca="1" si="343"/>
        <v/>
      </c>
      <c r="AC729" s="310" t="e">
        <f t="shared" ca="1" si="344"/>
        <v>#N/A</v>
      </c>
      <c r="AD729" s="323" t="e">
        <f t="shared" ca="1" si="345"/>
        <v>#N/A</v>
      </c>
      <c r="AE729" s="324" t="e">
        <f t="shared" ca="1" si="324"/>
        <v>#N/A</v>
      </c>
      <c r="AG729" s="306">
        <f t="shared" ca="1" si="346"/>
        <v>3.8482828195128604E-2</v>
      </c>
      <c r="AH729" s="304">
        <f t="shared" ca="1" si="347"/>
        <v>-9.7661978944650052</v>
      </c>
    </row>
    <row r="730" spans="1:34" x14ac:dyDescent="0.25">
      <c r="A730" s="347">
        <f t="shared" ca="1" si="325"/>
        <v>1E-4</v>
      </c>
      <c r="B730" s="304">
        <f t="shared" ca="1" si="326"/>
        <v>47.113200000000809</v>
      </c>
      <c r="D730" s="306">
        <f t="shared" ca="1" si="327"/>
        <v>-0.32156630696609467</v>
      </c>
      <c r="E730" s="307">
        <f t="shared" ca="1" si="328"/>
        <v>-4.9084974017064908E-2</v>
      </c>
      <c r="F730" s="304">
        <f t="shared" ca="1" si="329"/>
        <v>0.32529098427418573</v>
      </c>
      <c r="G730" s="306">
        <f t="shared" ca="1" si="330"/>
        <v>4.0368024915814278</v>
      </c>
      <c r="H730" s="307">
        <f t="shared" ca="1" si="331"/>
        <v>-122.53523052620102</v>
      </c>
      <c r="I730" s="304">
        <f t="shared" ca="1" si="332"/>
        <v>122.60170673553148</v>
      </c>
      <c r="J730" s="306">
        <f t="shared" ca="1" si="333"/>
        <v>677.64536374242232</v>
      </c>
      <c r="K730" s="307">
        <f t="shared" ca="1" si="334"/>
        <v>-11.31112340921041</v>
      </c>
      <c r="L730" s="304">
        <f t="shared" ca="1" si="319"/>
        <v>677.73975869383537</v>
      </c>
      <c r="M730" s="306">
        <f t="shared" ca="1" si="335"/>
        <v>-1.5378642220200207</v>
      </c>
      <c r="N730" s="304">
        <f t="shared" ca="1" si="336"/>
        <v>-88.113129385916992</v>
      </c>
      <c r="P730" s="310">
        <f t="shared" ca="1" si="337"/>
        <v>23</v>
      </c>
      <c r="Q730" s="304">
        <f t="shared" ca="1" si="338"/>
        <v>0</v>
      </c>
      <c r="R730" s="306">
        <f t="shared" ca="1" si="339"/>
        <v>0</v>
      </c>
      <c r="S730" s="307">
        <f t="shared" ca="1" si="340"/>
        <v>2.0842999999999985</v>
      </c>
      <c r="T730" s="304">
        <f t="shared" ca="1" si="320"/>
        <v>20.446982999999985</v>
      </c>
      <c r="U730" s="311">
        <f t="shared" ca="1" si="321"/>
        <v>0</v>
      </c>
      <c r="V730" s="306">
        <f t="shared" ca="1" si="322"/>
        <v>1.2263863967028383</v>
      </c>
      <c r="W730" s="304">
        <f t="shared" ca="1" si="323"/>
        <v>20.355738712614325</v>
      </c>
      <c r="Y730" s="314" t="str">
        <f t="shared" ca="1" si="341"/>
        <v/>
      </c>
      <c r="Z730" s="315" t="str">
        <f t="shared" ca="1" si="342"/>
        <v/>
      </c>
      <c r="AA730" s="316" t="str">
        <f t="shared" ca="1" si="343"/>
        <v/>
      </c>
      <c r="AC730" s="310" t="e">
        <f t="shared" ca="1" si="344"/>
        <v>#N/A</v>
      </c>
      <c r="AD730" s="323" t="e">
        <f t="shared" ca="1" si="345"/>
        <v>#N/A</v>
      </c>
      <c r="AE730" s="324" t="e">
        <f t="shared" ca="1" si="324"/>
        <v>#N/A</v>
      </c>
      <c r="AG730" s="306">
        <f t="shared" ca="1" si="346"/>
        <v>3.8470333158841186E-2</v>
      </c>
      <c r="AH730" s="304">
        <f t="shared" ca="1" si="347"/>
        <v>-9.7662104746024845</v>
      </c>
    </row>
    <row r="731" spans="1:34" x14ac:dyDescent="0.25">
      <c r="A731" s="347">
        <f t="shared" ca="1" si="325"/>
        <v>1E-4</v>
      </c>
      <c r="B731" s="304">
        <f t="shared" ca="1" si="326"/>
        <v>47.113300000000812</v>
      </c>
      <c r="D731" s="306">
        <f t="shared" ca="1" si="327"/>
        <v>-0.32156414955153551</v>
      </c>
      <c r="E731" s="307">
        <f t="shared" ca="1" si="328"/>
        <v>-4.9072316163030649E-2</v>
      </c>
      <c r="F731" s="304">
        <f t="shared" ca="1" si="329"/>
        <v>0.32528694177665163</v>
      </c>
      <c r="G731" s="306">
        <f t="shared" ca="1" si="330"/>
        <v>4.036770335166473</v>
      </c>
      <c r="H731" s="307">
        <f t="shared" ca="1" si="331"/>
        <v>-122.53523543343263</v>
      </c>
      <c r="I731" s="304">
        <f t="shared" ca="1" si="332"/>
        <v>122.60171058131955</v>
      </c>
      <c r="J731" s="306">
        <f t="shared" ca="1" si="333"/>
        <v>677.64536374242232</v>
      </c>
      <c r="K731" s="307">
        <f t="shared" ca="1" si="334"/>
        <v>-11.323376932508392</v>
      </c>
      <c r="L731" s="304">
        <f t="shared" ca="1" si="319"/>
        <v>677.7399633094949</v>
      </c>
      <c r="M731" s="306">
        <f t="shared" ca="1" si="335"/>
        <v>-1.5378644854792778</v>
      </c>
      <c r="N731" s="304">
        <f t="shared" ca="1" si="336"/>
        <v>-88.113144481020498</v>
      </c>
      <c r="P731" s="310">
        <f t="shared" ca="1" si="337"/>
        <v>23</v>
      </c>
      <c r="Q731" s="304">
        <f t="shared" ca="1" si="338"/>
        <v>0</v>
      </c>
      <c r="R731" s="306">
        <f t="shared" ca="1" si="339"/>
        <v>0</v>
      </c>
      <c r="S731" s="307">
        <f t="shared" ca="1" si="340"/>
        <v>2.0842999999999985</v>
      </c>
      <c r="T731" s="304">
        <f t="shared" ca="1" si="320"/>
        <v>20.446982999999985</v>
      </c>
      <c r="U731" s="311">
        <f t="shared" ca="1" si="321"/>
        <v>0</v>
      </c>
      <c r="V731" s="306">
        <f t="shared" ca="1" si="322"/>
        <v>1.2263878994596686</v>
      </c>
      <c r="W731" s="304">
        <f t="shared" ca="1" si="323"/>
        <v>20.35576493263455</v>
      </c>
      <c r="Y731" s="314" t="str">
        <f t="shared" ca="1" si="341"/>
        <v/>
      </c>
      <c r="Z731" s="315" t="str">
        <f t="shared" ca="1" si="342"/>
        <v/>
      </c>
      <c r="AA731" s="316" t="str">
        <f t="shared" ca="1" si="343"/>
        <v/>
      </c>
      <c r="AC731" s="310" t="e">
        <f t="shared" ca="1" si="344"/>
        <v>#N/A</v>
      </c>
      <c r="AD731" s="323" t="e">
        <f t="shared" ca="1" si="345"/>
        <v>#N/A</v>
      </c>
      <c r="AE731" s="324" t="e">
        <f t="shared" ca="1" si="324"/>
        <v>#N/A</v>
      </c>
      <c r="AG731" s="306">
        <f t="shared" ca="1" si="346"/>
        <v>3.8457838303584069E-2</v>
      </c>
      <c r="AH731" s="304">
        <f t="shared" ca="1" si="347"/>
        <v>-9.7662230545575692</v>
      </c>
    </row>
    <row r="732" spans="1:34" x14ac:dyDescent="0.25">
      <c r="A732" s="347">
        <f t="shared" ca="1" si="325"/>
        <v>1E-4</v>
      </c>
      <c r="B732" s="304">
        <f t="shared" ca="1" si="326"/>
        <v>47.113400000000816</v>
      </c>
      <c r="D732" s="306">
        <f t="shared" ca="1" si="327"/>
        <v>-0.32156199214496989</v>
      </c>
      <c r="E732" s="307">
        <f t="shared" ca="1" si="328"/>
        <v>-4.9059658492428326E-2</v>
      </c>
      <c r="F732" s="304">
        <f t="shared" ca="1" si="329"/>
        <v>0.32528289977131503</v>
      </c>
      <c r="G732" s="306">
        <f t="shared" ca="1" si="330"/>
        <v>4.0367381789672585</v>
      </c>
      <c r="H732" s="307">
        <f t="shared" ca="1" si="331"/>
        <v>-122.53524033939848</v>
      </c>
      <c r="I732" s="304">
        <f t="shared" ca="1" si="332"/>
        <v>122.60171442585818</v>
      </c>
      <c r="J732" s="306">
        <f t="shared" ca="1" si="333"/>
        <v>677.64536374242232</v>
      </c>
      <c r="K732" s="307">
        <f t="shared" ca="1" si="334"/>
        <v>-11.335630456297034</v>
      </c>
      <c r="L732" s="304">
        <f t="shared" ca="1" si="319"/>
        <v>677.74016814664424</v>
      </c>
      <c r="M732" s="306">
        <f t="shared" ca="1" si="335"/>
        <v>-1.5378647489364197</v>
      </c>
      <c r="N732" s="304">
        <f t="shared" ca="1" si="336"/>
        <v>-88.113159576002801</v>
      </c>
      <c r="P732" s="310">
        <f t="shared" ca="1" si="337"/>
        <v>23</v>
      </c>
      <c r="Q732" s="304">
        <f t="shared" ca="1" si="338"/>
        <v>0</v>
      </c>
      <c r="R732" s="306">
        <f t="shared" ca="1" si="339"/>
        <v>0</v>
      </c>
      <c r="S732" s="307">
        <f t="shared" ca="1" si="340"/>
        <v>2.0842999999999985</v>
      </c>
      <c r="T732" s="304">
        <f t="shared" ca="1" si="320"/>
        <v>20.446982999999985</v>
      </c>
      <c r="U732" s="311">
        <f t="shared" ca="1" si="321"/>
        <v>0</v>
      </c>
      <c r="V732" s="306">
        <f t="shared" ca="1" si="322"/>
        <v>1.2263894022184019</v>
      </c>
      <c r="W732" s="304">
        <f t="shared" ca="1" si="323"/>
        <v>20.355791152274634</v>
      </c>
      <c r="Y732" s="314" t="str">
        <f t="shared" ca="1" si="341"/>
        <v/>
      </c>
      <c r="Z732" s="315" t="str">
        <f t="shared" ca="1" si="342"/>
        <v/>
      </c>
      <c r="AA732" s="316" t="str">
        <f t="shared" ca="1" si="343"/>
        <v/>
      </c>
      <c r="AC732" s="310" t="e">
        <f t="shared" ca="1" si="344"/>
        <v>#N/A</v>
      </c>
      <c r="AD732" s="323" t="e">
        <f t="shared" ca="1" si="345"/>
        <v>#N/A</v>
      </c>
      <c r="AE732" s="324" t="e">
        <f t="shared" ca="1" si="324"/>
        <v>#N/A</v>
      </c>
      <c r="AG732" s="306">
        <f t="shared" ca="1" si="346"/>
        <v>3.8445343629355477E-2</v>
      </c>
      <c r="AH732" s="304">
        <f t="shared" ca="1" si="347"/>
        <v>-9.7662356343302612</v>
      </c>
    </row>
    <row r="733" spans="1:34" x14ac:dyDescent="0.25">
      <c r="A733" s="347">
        <f t="shared" ca="1" si="325"/>
        <v>1E-4</v>
      </c>
      <c r="B733" s="304">
        <f t="shared" ca="1" si="326"/>
        <v>47.113500000000819</v>
      </c>
      <c r="D733" s="306">
        <f t="shared" ca="1" si="327"/>
        <v>-0.32155983474639838</v>
      </c>
      <c r="E733" s="307">
        <f t="shared" ca="1" si="328"/>
        <v>-4.9047001005249058E-2</v>
      </c>
      <c r="F733" s="304">
        <f t="shared" ca="1" si="329"/>
        <v>0.32527885825817199</v>
      </c>
      <c r="G733" s="306">
        <f t="shared" ca="1" si="330"/>
        <v>4.0367060229837834</v>
      </c>
      <c r="H733" s="307">
        <f t="shared" ca="1" si="331"/>
        <v>-122.53524524409859</v>
      </c>
      <c r="I733" s="304">
        <f t="shared" ca="1" si="332"/>
        <v>122.60171826914736</v>
      </c>
      <c r="J733" s="306">
        <f t="shared" ca="1" si="333"/>
        <v>677.64536374242232</v>
      </c>
      <c r="K733" s="307">
        <f t="shared" ca="1" si="334"/>
        <v>-11.347883980576208</v>
      </c>
      <c r="L733" s="304">
        <f t="shared" ca="1" si="319"/>
        <v>677.74037320528316</v>
      </c>
      <c r="M733" s="306">
        <f t="shared" ca="1" si="335"/>
        <v>-1.5378650123914466</v>
      </c>
      <c r="N733" s="304">
        <f t="shared" ca="1" si="336"/>
        <v>-88.113174670863941</v>
      </c>
      <c r="P733" s="310">
        <f t="shared" ca="1" si="337"/>
        <v>23</v>
      </c>
      <c r="Q733" s="304">
        <f t="shared" ca="1" si="338"/>
        <v>0</v>
      </c>
      <c r="R733" s="306">
        <f t="shared" ca="1" si="339"/>
        <v>0</v>
      </c>
      <c r="S733" s="307">
        <f t="shared" ca="1" si="340"/>
        <v>2.0842999999999985</v>
      </c>
      <c r="T733" s="304">
        <f t="shared" ca="1" si="320"/>
        <v>20.446982999999985</v>
      </c>
      <c r="U733" s="311">
        <f t="shared" ca="1" si="321"/>
        <v>0</v>
      </c>
      <c r="V733" s="306">
        <f t="shared" ca="1" si="322"/>
        <v>1.2263909049790371</v>
      </c>
      <c r="W733" s="304">
        <f t="shared" ca="1" si="323"/>
        <v>20.355817371534556</v>
      </c>
      <c r="Y733" s="314" t="str">
        <f t="shared" ca="1" si="341"/>
        <v/>
      </c>
      <c r="Z733" s="315" t="str">
        <f t="shared" ca="1" si="342"/>
        <v/>
      </c>
      <c r="AA733" s="316" t="str">
        <f t="shared" ca="1" si="343"/>
        <v/>
      </c>
      <c r="AC733" s="310" t="e">
        <f t="shared" ca="1" si="344"/>
        <v>#N/A</v>
      </c>
      <c r="AD733" s="323" t="e">
        <f t="shared" ca="1" si="345"/>
        <v>#N/A</v>
      </c>
      <c r="AE733" s="324" t="e">
        <f t="shared" ca="1" si="324"/>
        <v>#N/A</v>
      </c>
      <c r="AG733" s="306">
        <f t="shared" ca="1" si="346"/>
        <v>3.8432849136142977E-2</v>
      </c>
      <c r="AH733" s="304">
        <f t="shared" ca="1" si="347"/>
        <v>-9.7662482139205729</v>
      </c>
    </row>
    <row r="734" spans="1:34" x14ac:dyDescent="0.25">
      <c r="A734" s="347">
        <f t="shared" ca="1" si="325"/>
        <v>1E-4</v>
      </c>
      <c r="B734" s="304">
        <f t="shared" ca="1" si="326"/>
        <v>47.113600000000822</v>
      </c>
      <c r="D734" s="306">
        <f t="shared" ca="1" si="327"/>
        <v>-0.32155767735581853</v>
      </c>
      <c r="E734" s="307">
        <f t="shared" ca="1" si="328"/>
        <v>-4.9034343701503502E-2</v>
      </c>
      <c r="F734" s="304">
        <f t="shared" ca="1" si="329"/>
        <v>0.32527481723721846</v>
      </c>
      <c r="G734" s="306">
        <f t="shared" ca="1" si="330"/>
        <v>4.0366738672160478</v>
      </c>
      <c r="H734" s="307">
        <f t="shared" ca="1" si="331"/>
        <v>-122.53525014753296</v>
      </c>
      <c r="I734" s="304">
        <f t="shared" ca="1" si="332"/>
        <v>122.60172211118709</v>
      </c>
      <c r="J734" s="306">
        <f t="shared" ca="1" si="333"/>
        <v>677.64536374242232</v>
      </c>
      <c r="K734" s="307">
        <f t="shared" ca="1" si="334"/>
        <v>-11.36013750534579</v>
      </c>
      <c r="L734" s="304">
        <f t="shared" ca="1" si="319"/>
        <v>677.74057848541145</v>
      </c>
      <c r="M734" s="306">
        <f t="shared" ca="1" si="335"/>
        <v>-1.5378652758443581</v>
      </c>
      <c r="N734" s="304">
        <f t="shared" ca="1" si="336"/>
        <v>-88.113189765603863</v>
      </c>
      <c r="P734" s="310">
        <f t="shared" ca="1" si="337"/>
        <v>23</v>
      </c>
      <c r="Q734" s="304">
        <f t="shared" ca="1" si="338"/>
        <v>0</v>
      </c>
      <c r="R734" s="306">
        <f t="shared" ca="1" si="339"/>
        <v>0</v>
      </c>
      <c r="S734" s="307">
        <f t="shared" ca="1" si="340"/>
        <v>2.0842999999999985</v>
      </c>
      <c r="T734" s="304">
        <f t="shared" ca="1" si="320"/>
        <v>20.446982999999985</v>
      </c>
      <c r="U734" s="311">
        <f t="shared" ca="1" si="321"/>
        <v>0</v>
      </c>
      <c r="V734" s="306">
        <f t="shared" ca="1" si="322"/>
        <v>1.2263924077415751</v>
      </c>
      <c r="W734" s="304">
        <f t="shared" ca="1" si="323"/>
        <v>20.355843590414331</v>
      </c>
      <c r="Y734" s="314" t="str">
        <f t="shared" ca="1" si="341"/>
        <v/>
      </c>
      <c r="Z734" s="315" t="str">
        <f t="shared" ca="1" si="342"/>
        <v/>
      </c>
      <c r="AA734" s="316" t="str">
        <f t="shared" ca="1" si="343"/>
        <v/>
      </c>
      <c r="AC734" s="310" t="e">
        <f t="shared" ca="1" si="344"/>
        <v>#N/A</v>
      </c>
      <c r="AD734" s="323" t="e">
        <f t="shared" ca="1" si="345"/>
        <v>#N/A</v>
      </c>
      <c r="AE734" s="324" t="e">
        <f t="shared" ca="1" si="324"/>
        <v>#N/A</v>
      </c>
      <c r="AG734" s="306">
        <f t="shared" ca="1" si="346"/>
        <v>3.8420354823962555E-2</v>
      </c>
      <c r="AH734" s="304">
        <f t="shared" ca="1" si="347"/>
        <v>-9.76626079332849</v>
      </c>
    </row>
    <row r="735" spans="1:34" x14ac:dyDescent="0.25">
      <c r="A735" s="347">
        <f t="shared" ca="1" si="325"/>
        <v>1E-4</v>
      </c>
      <c r="B735" s="304">
        <f t="shared" ca="1" si="326"/>
        <v>47.113700000000826</v>
      </c>
      <c r="D735" s="306">
        <f t="shared" ca="1" si="327"/>
        <v>-0.32155551997323523</v>
      </c>
      <c r="E735" s="307">
        <f t="shared" ca="1" si="328"/>
        <v>-4.9021686581182777E-2</v>
      </c>
      <c r="F735" s="304">
        <f t="shared" ca="1" si="329"/>
        <v>0.32527077670845472</v>
      </c>
      <c r="G735" s="306">
        <f t="shared" ca="1" si="330"/>
        <v>4.0366417116640507</v>
      </c>
      <c r="H735" s="307">
        <f t="shared" ca="1" si="331"/>
        <v>-122.53525504970162</v>
      </c>
      <c r="I735" s="304">
        <f t="shared" ca="1" si="332"/>
        <v>122.60172595197741</v>
      </c>
      <c r="J735" s="306">
        <f t="shared" ca="1" si="333"/>
        <v>677.64536374242232</v>
      </c>
      <c r="K735" s="307">
        <f t="shared" ca="1" si="334"/>
        <v>-11.372391030605652</v>
      </c>
      <c r="L735" s="304">
        <f t="shared" ca="1" si="319"/>
        <v>677.74078398702909</v>
      </c>
      <c r="M735" s="306">
        <f t="shared" ca="1" si="335"/>
        <v>-1.5378655392951546</v>
      </c>
      <c r="N735" s="304">
        <f t="shared" ca="1" si="336"/>
        <v>-88.113204860222609</v>
      </c>
      <c r="P735" s="310">
        <f t="shared" ca="1" si="337"/>
        <v>23</v>
      </c>
      <c r="Q735" s="304">
        <f t="shared" ca="1" si="338"/>
        <v>0</v>
      </c>
      <c r="R735" s="306">
        <f t="shared" ca="1" si="339"/>
        <v>0</v>
      </c>
      <c r="S735" s="307">
        <f t="shared" ca="1" si="340"/>
        <v>2.0842999999999985</v>
      </c>
      <c r="T735" s="304">
        <f t="shared" ca="1" si="320"/>
        <v>20.446982999999985</v>
      </c>
      <c r="U735" s="311">
        <f t="shared" ca="1" si="321"/>
        <v>0</v>
      </c>
      <c r="V735" s="306">
        <f t="shared" ca="1" si="322"/>
        <v>1.2263939105060162</v>
      </c>
      <c r="W735" s="304">
        <f t="shared" ca="1" si="323"/>
        <v>20.35586980891398</v>
      </c>
      <c r="Y735" s="314" t="str">
        <f t="shared" ca="1" si="341"/>
        <v/>
      </c>
      <c r="Z735" s="315" t="str">
        <f t="shared" ca="1" si="342"/>
        <v/>
      </c>
      <c r="AA735" s="316" t="str">
        <f t="shared" ca="1" si="343"/>
        <v/>
      </c>
      <c r="AC735" s="310" t="e">
        <f t="shared" ca="1" si="344"/>
        <v>#N/A</v>
      </c>
      <c r="AD735" s="323" t="e">
        <f t="shared" ca="1" si="345"/>
        <v>#N/A</v>
      </c>
      <c r="AE735" s="324" t="e">
        <f t="shared" ca="1" si="324"/>
        <v>#N/A</v>
      </c>
      <c r="AG735" s="306">
        <f t="shared" ca="1" si="346"/>
        <v>3.8407860692803553E-2</v>
      </c>
      <c r="AH735" s="304">
        <f t="shared" ca="1" si="347"/>
        <v>-9.7662733725540214</v>
      </c>
    </row>
    <row r="736" spans="1:34" x14ac:dyDescent="0.25">
      <c r="A736" s="347">
        <f t="shared" ca="1" si="325"/>
        <v>1E-4</v>
      </c>
      <c r="B736" s="304">
        <f t="shared" ca="1" si="326"/>
        <v>47.113800000000829</v>
      </c>
      <c r="D736" s="306">
        <f t="shared" ca="1" si="327"/>
        <v>-0.3215533625986447</v>
      </c>
      <c r="E736" s="307">
        <f t="shared" ca="1" si="328"/>
        <v>-4.9009029644283331E-2</v>
      </c>
      <c r="F736" s="304">
        <f t="shared" ca="1" si="329"/>
        <v>0.32526673667187322</v>
      </c>
      <c r="G736" s="306">
        <f t="shared" ca="1" si="330"/>
        <v>4.0366095563277913</v>
      </c>
      <c r="H736" s="307">
        <f t="shared" ca="1" si="331"/>
        <v>-122.53525995060458</v>
      </c>
      <c r="I736" s="304">
        <f t="shared" ca="1" si="332"/>
        <v>122.60172979151834</v>
      </c>
      <c r="J736" s="306">
        <f t="shared" ca="1" si="333"/>
        <v>677.64536374242232</v>
      </c>
      <c r="K736" s="307">
        <f t="shared" ca="1" si="334"/>
        <v>-11.384644556355667</v>
      </c>
      <c r="L736" s="304">
        <f t="shared" ca="1" si="319"/>
        <v>677.74098971013575</v>
      </c>
      <c r="M736" s="306">
        <f t="shared" ca="1" si="335"/>
        <v>-1.5378658027438359</v>
      </c>
      <c r="N736" s="304">
        <f t="shared" ca="1" si="336"/>
        <v>-88.113219954720179</v>
      </c>
      <c r="P736" s="310">
        <f t="shared" ca="1" si="337"/>
        <v>23</v>
      </c>
      <c r="Q736" s="304">
        <f t="shared" ca="1" si="338"/>
        <v>0</v>
      </c>
      <c r="R736" s="306">
        <f t="shared" ca="1" si="339"/>
        <v>0</v>
      </c>
      <c r="S736" s="307">
        <f t="shared" ca="1" si="340"/>
        <v>2.0842999999999985</v>
      </c>
      <c r="T736" s="304">
        <f t="shared" ca="1" si="320"/>
        <v>20.446982999999985</v>
      </c>
      <c r="U736" s="311">
        <f t="shared" ca="1" si="321"/>
        <v>0</v>
      </c>
      <c r="V736" s="306">
        <f t="shared" ca="1" si="322"/>
        <v>1.2263954132723593</v>
      </c>
      <c r="W736" s="304">
        <f t="shared" ca="1" si="323"/>
        <v>20.355896027033477</v>
      </c>
      <c r="Y736" s="314" t="str">
        <f t="shared" ca="1" si="341"/>
        <v/>
      </c>
      <c r="Z736" s="315" t="str">
        <f t="shared" ca="1" si="342"/>
        <v/>
      </c>
      <c r="AA736" s="316" t="str">
        <f t="shared" ca="1" si="343"/>
        <v/>
      </c>
      <c r="AC736" s="310" t="e">
        <f t="shared" ca="1" si="344"/>
        <v>#N/A</v>
      </c>
      <c r="AD736" s="323" t="e">
        <f t="shared" ca="1" si="345"/>
        <v>#N/A</v>
      </c>
      <c r="AE736" s="324" t="e">
        <f t="shared" ca="1" si="324"/>
        <v>#N/A</v>
      </c>
      <c r="AG736" s="306">
        <f t="shared" ca="1" si="346"/>
        <v>3.8395366742658865E-2</v>
      </c>
      <c r="AH736" s="304">
        <f t="shared" ca="1" si="347"/>
        <v>-9.7662859515971761</v>
      </c>
    </row>
    <row r="737" spans="1:34" x14ac:dyDescent="0.25">
      <c r="A737" s="347">
        <f t="shared" ca="1" si="325"/>
        <v>1E-4</v>
      </c>
      <c r="B737" s="304">
        <f t="shared" ca="1" si="326"/>
        <v>47.113900000000832</v>
      </c>
      <c r="D737" s="306">
        <f t="shared" ca="1" si="327"/>
        <v>-0.32155120523204894</v>
      </c>
      <c r="E737" s="307">
        <f t="shared" ca="1" si="328"/>
        <v>-4.8996372890808715E-2</v>
      </c>
      <c r="F737" s="304">
        <f t="shared" ca="1" si="329"/>
        <v>0.3252626971274733</v>
      </c>
      <c r="G737" s="306">
        <f t="shared" ca="1" si="330"/>
        <v>4.0365774012072677</v>
      </c>
      <c r="H737" s="307">
        <f t="shared" ca="1" si="331"/>
        <v>-122.53526485024187</v>
      </c>
      <c r="I737" s="304">
        <f t="shared" ca="1" si="332"/>
        <v>122.60173362980989</v>
      </c>
      <c r="J737" s="306">
        <f t="shared" ca="1" si="333"/>
        <v>677.64536374242232</v>
      </c>
      <c r="K737" s="307">
        <f t="shared" ca="1" si="334"/>
        <v>-11.39689808259571</v>
      </c>
      <c r="L737" s="304">
        <f t="shared" ca="1" si="319"/>
        <v>677.74119565473143</v>
      </c>
      <c r="M737" s="306">
        <f t="shared" ca="1" si="335"/>
        <v>-1.5378660661904022</v>
      </c>
      <c r="N737" s="304">
        <f t="shared" ca="1" si="336"/>
        <v>-88.113235049096545</v>
      </c>
      <c r="P737" s="310">
        <f t="shared" ca="1" si="337"/>
        <v>23</v>
      </c>
      <c r="Q737" s="304">
        <f t="shared" ca="1" si="338"/>
        <v>0</v>
      </c>
      <c r="R737" s="306">
        <f t="shared" ca="1" si="339"/>
        <v>0</v>
      </c>
      <c r="S737" s="307">
        <f t="shared" ca="1" si="340"/>
        <v>2.0842999999999985</v>
      </c>
      <c r="T737" s="304">
        <f t="shared" ca="1" si="320"/>
        <v>20.446982999999985</v>
      </c>
      <c r="U737" s="311">
        <f t="shared" ca="1" si="321"/>
        <v>0</v>
      </c>
      <c r="V737" s="306">
        <f t="shared" ca="1" si="322"/>
        <v>1.2263969160406052</v>
      </c>
      <c r="W737" s="304">
        <f t="shared" ca="1" si="323"/>
        <v>20.355922244772849</v>
      </c>
      <c r="Y737" s="314" t="str">
        <f t="shared" ca="1" si="341"/>
        <v/>
      </c>
      <c r="Z737" s="315" t="str">
        <f t="shared" ca="1" si="342"/>
        <v/>
      </c>
      <c r="AA737" s="316" t="str">
        <f t="shared" ca="1" si="343"/>
        <v/>
      </c>
      <c r="AC737" s="310" t="e">
        <f t="shared" ca="1" si="344"/>
        <v>#N/A</v>
      </c>
      <c r="AD737" s="323" t="e">
        <f t="shared" ca="1" si="345"/>
        <v>#N/A</v>
      </c>
      <c r="AE737" s="324" t="e">
        <f t="shared" ca="1" si="324"/>
        <v>#N/A</v>
      </c>
      <c r="AG737" s="306">
        <f t="shared" ca="1" si="346"/>
        <v>3.8382872973535598E-2</v>
      </c>
      <c r="AH737" s="304">
        <f t="shared" ca="1" si="347"/>
        <v>-9.7662985304579433</v>
      </c>
    </row>
    <row r="738" spans="1:34" x14ac:dyDescent="0.25">
      <c r="A738" s="347">
        <f t="shared" ca="1" si="325"/>
        <v>1E-4</v>
      </c>
      <c r="B738" s="304">
        <f t="shared" ca="1" si="326"/>
        <v>47.114000000000836</v>
      </c>
      <c r="D738" s="306">
        <f t="shared" ca="1" si="327"/>
        <v>-0.3215490478734464</v>
      </c>
      <c r="E738" s="307">
        <f t="shared" ca="1" si="328"/>
        <v>-4.8983716320750048E-2</v>
      </c>
      <c r="F738" s="304">
        <f t="shared" ca="1" si="329"/>
        <v>0.32525865807524884</v>
      </c>
      <c r="G738" s="306">
        <f t="shared" ca="1" si="330"/>
        <v>4.03654524630248</v>
      </c>
      <c r="H738" s="307">
        <f t="shared" ca="1" si="331"/>
        <v>-122.5352697486135</v>
      </c>
      <c r="I738" s="304">
        <f t="shared" ca="1" si="332"/>
        <v>122.60173746685209</v>
      </c>
      <c r="J738" s="306">
        <f t="shared" ca="1" si="333"/>
        <v>677.64536374242232</v>
      </c>
      <c r="K738" s="307">
        <f t="shared" ca="1" si="334"/>
        <v>-11.409151609325653</v>
      </c>
      <c r="L738" s="304">
        <f t="shared" ca="1" si="319"/>
        <v>677.74140182081578</v>
      </c>
      <c r="M738" s="306">
        <f t="shared" ca="1" si="335"/>
        <v>-1.5378663296348534</v>
      </c>
      <c r="N738" s="304">
        <f t="shared" ca="1" si="336"/>
        <v>-88.113250143351735</v>
      </c>
      <c r="P738" s="310">
        <f t="shared" ca="1" si="337"/>
        <v>23</v>
      </c>
      <c r="Q738" s="304">
        <f t="shared" ca="1" si="338"/>
        <v>0</v>
      </c>
      <c r="R738" s="306">
        <f t="shared" ca="1" si="339"/>
        <v>0</v>
      </c>
      <c r="S738" s="307">
        <f t="shared" ca="1" si="340"/>
        <v>2.0842999999999985</v>
      </c>
      <c r="T738" s="304">
        <f t="shared" ca="1" si="320"/>
        <v>20.446982999999985</v>
      </c>
      <c r="U738" s="311">
        <f t="shared" ca="1" si="321"/>
        <v>0</v>
      </c>
      <c r="V738" s="306">
        <f t="shared" ca="1" si="322"/>
        <v>1.2263984188107537</v>
      </c>
      <c r="W738" s="304">
        <f t="shared" ca="1" si="323"/>
        <v>20.355948462132098</v>
      </c>
      <c r="Y738" s="314" t="str">
        <f t="shared" ca="1" si="341"/>
        <v/>
      </c>
      <c r="Z738" s="315" t="str">
        <f t="shared" ca="1" si="342"/>
        <v/>
      </c>
      <c r="AA738" s="316" t="str">
        <f t="shared" ca="1" si="343"/>
        <v/>
      </c>
      <c r="AC738" s="310" t="e">
        <f t="shared" ca="1" si="344"/>
        <v>#N/A</v>
      </c>
      <c r="AD738" s="323" t="e">
        <f t="shared" ca="1" si="345"/>
        <v>#N/A</v>
      </c>
      <c r="AE738" s="324" t="e">
        <f t="shared" ca="1" si="324"/>
        <v>#N/A</v>
      </c>
      <c r="AG738" s="306">
        <f t="shared" ca="1" si="346"/>
        <v>3.8370379385424869E-2</v>
      </c>
      <c r="AH738" s="304">
        <f t="shared" ca="1" si="347"/>
        <v>-9.7663111091363355</v>
      </c>
    </row>
    <row r="739" spans="1:34" x14ac:dyDescent="0.25">
      <c r="A739" s="347">
        <f t="shared" ca="1" si="325"/>
        <v>1E-4</v>
      </c>
      <c r="B739" s="304">
        <f t="shared" ca="1" si="326"/>
        <v>47.114100000000839</v>
      </c>
      <c r="D739" s="306">
        <f t="shared" ca="1" si="327"/>
        <v>-0.32154689052283952</v>
      </c>
      <c r="E739" s="307">
        <f t="shared" ca="1" si="328"/>
        <v>-4.897105993410733E-2</v>
      </c>
      <c r="F739" s="304">
        <f t="shared" ca="1" si="329"/>
        <v>0.32525461951519902</v>
      </c>
      <c r="G739" s="306">
        <f t="shared" ca="1" si="330"/>
        <v>4.0365130916134273</v>
      </c>
      <c r="H739" s="307">
        <f t="shared" ca="1" si="331"/>
        <v>-122.5352746457195</v>
      </c>
      <c r="I739" s="304">
        <f t="shared" ca="1" si="332"/>
        <v>122.60174130264494</v>
      </c>
      <c r="J739" s="306">
        <f t="shared" ca="1" si="333"/>
        <v>677.64536374242232</v>
      </c>
      <c r="K739" s="307">
        <f t="shared" ca="1" si="334"/>
        <v>-11.421405136545369</v>
      </c>
      <c r="L739" s="304">
        <f t="shared" ca="1" si="319"/>
        <v>677.74160820838858</v>
      </c>
      <c r="M739" s="306">
        <f t="shared" ca="1" si="335"/>
        <v>-1.5378665930771895</v>
      </c>
      <c r="N739" s="304">
        <f t="shared" ca="1" si="336"/>
        <v>-88.113265237485749</v>
      </c>
      <c r="P739" s="310">
        <f t="shared" ca="1" si="337"/>
        <v>23</v>
      </c>
      <c r="Q739" s="304">
        <f t="shared" ca="1" si="338"/>
        <v>0</v>
      </c>
      <c r="R739" s="306">
        <f t="shared" ca="1" si="339"/>
        <v>0</v>
      </c>
      <c r="S739" s="307">
        <f t="shared" ca="1" si="340"/>
        <v>2.0842999999999985</v>
      </c>
      <c r="T739" s="304">
        <f t="shared" ca="1" si="320"/>
        <v>20.446982999999985</v>
      </c>
      <c r="U739" s="311">
        <f t="shared" ca="1" si="321"/>
        <v>0</v>
      </c>
      <c r="V739" s="306">
        <f t="shared" ca="1" si="322"/>
        <v>1.2263999215828045</v>
      </c>
      <c r="W739" s="304">
        <f t="shared" ca="1" si="323"/>
        <v>20.355974679111217</v>
      </c>
      <c r="Y739" s="314" t="str">
        <f t="shared" ca="1" si="341"/>
        <v/>
      </c>
      <c r="Z739" s="315" t="str">
        <f t="shared" ca="1" si="342"/>
        <v/>
      </c>
      <c r="AA739" s="316" t="str">
        <f t="shared" ca="1" si="343"/>
        <v/>
      </c>
      <c r="AC739" s="310" t="e">
        <f t="shared" ca="1" si="344"/>
        <v>#N/A</v>
      </c>
      <c r="AD739" s="323" t="e">
        <f t="shared" ca="1" si="345"/>
        <v>#N/A</v>
      </c>
      <c r="AE739" s="324" t="e">
        <f t="shared" ca="1" si="324"/>
        <v>#N/A</v>
      </c>
      <c r="AG739" s="306">
        <f t="shared" ca="1" si="346"/>
        <v>3.8357885978324902E-2</v>
      </c>
      <c r="AH739" s="304">
        <f t="shared" ca="1" si="347"/>
        <v>-9.7663236876323527</v>
      </c>
    </row>
    <row r="740" spans="1:34" x14ac:dyDescent="0.25">
      <c r="A740" s="347">
        <f t="shared" ca="1" si="325"/>
        <v>1E-4</v>
      </c>
      <c r="B740" s="304">
        <f t="shared" ca="1" si="326"/>
        <v>47.114200000000842</v>
      </c>
      <c r="D740" s="306">
        <f t="shared" ca="1" si="327"/>
        <v>-0.32154473318022625</v>
      </c>
      <c r="E740" s="307">
        <f t="shared" ca="1" si="328"/>
        <v>-4.8958403730884115E-2</v>
      </c>
      <c r="F740" s="304">
        <f t="shared" ca="1" si="329"/>
        <v>0.32525058144731911</v>
      </c>
      <c r="G740" s="306">
        <f t="shared" ca="1" si="330"/>
        <v>4.0364809371401096</v>
      </c>
      <c r="H740" s="307">
        <f t="shared" ca="1" si="331"/>
        <v>-122.53527954155987</v>
      </c>
      <c r="I740" s="304">
        <f t="shared" ca="1" si="332"/>
        <v>122.60174513718847</v>
      </c>
      <c r="J740" s="306">
        <f t="shared" ca="1" si="333"/>
        <v>677.64536374242232</v>
      </c>
      <c r="K740" s="307">
        <f t="shared" ca="1" si="334"/>
        <v>-11.433658664254732</v>
      </c>
      <c r="L740" s="304">
        <f t="shared" ca="1" si="319"/>
        <v>677.74181481744984</v>
      </c>
      <c r="M740" s="306">
        <f t="shared" ca="1" si="335"/>
        <v>-1.5378668565174107</v>
      </c>
      <c r="N740" s="304">
        <f t="shared" ca="1" si="336"/>
        <v>-88.113280331498572</v>
      </c>
      <c r="P740" s="310">
        <f t="shared" ca="1" si="337"/>
        <v>23</v>
      </c>
      <c r="Q740" s="304">
        <f t="shared" ca="1" si="338"/>
        <v>0</v>
      </c>
      <c r="R740" s="306">
        <f t="shared" ca="1" si="339"/>
        <v>0</v>
      </c>
      <c r="S740" s="307">
        <f t="shared" ca="1" si="340"/>
        <v>2.0842999999999985</v>
      </c>
      <c r="T740" s="304">
        <f t="shared" ca="1" si="320"/>
        <v>20.446982999999985</v>
      </c>
      <c r="U740" s="311">
        <f t="shared" ca="1" si="321"/>
        <v>0</v>
      </c>
      <c r="V740" s="306">
        <f t="shared" ca="1" si="322"/>
        <v>1.226401424356758</v>
      </c>
      <c r="W740" s="304">
        <f t="shared" ca="1" si="323"/>
        <v>20.356000895710221</v>
      </c>
      <c r="Y740" s="314" t="str">
        <f t="shared" ca="1" si="341"/>
        <v/>
      </c>
      <c r="Z740" s="315" t="str">
        <f t="shared" ca="1" si="342"/>
        <v/>
      </c>
      <c r="AA740" s="316" t="str">
        <f t="shared" ca="1" si="343"/>
        <v/>
      </c>
      <c r="AC740" s="310" t="e">
        <f t="shared" ca="1" si="344"/>
        <v>#N/A</v>
      </c>
      <c r="AD740" s="323" t="e">
        <f t="shared" ca="1" si="345"/>
        <v>#N/A</v>
      </c>
      <c r="AE740" s="324" t="e">
        <f t="shared" ca="1" si="324"/>
        <v>#N/A</v>
      </c>
      <c r="AG740" s="306">
        <f t="shared" ca="1" si="346"/>
        <v>3.8345392752241025E-2</v>
      </c>
      <c r="AH740" s="304">
        <f t="shared" ca="1" si="347"/>
        <v>-9.7663362659459914</v>
      </c>
    </row>
    <row r="741" spans="1:34" x14ac:dyDescent="0.25">
      <c r="A741" s="347">
        <f t="shared" ca="1" si="325"/>
        <v>1E-4</v>
      </c>
      <c r="B741" s="304">
        <f t="shared" ca="1" si="326"/>
        <v>47.114300000000846</v>
      </c>
      <c r="D741" s="306">
        <f t="shared" ca="1" si="327"/>
        <v>-0.32154257584560697</v>
      </c>
      <c r="E741" s="307">
        <f t="shared" ca="1" si="328"/>
        <v>-4.8945747711069743E-2</v>
      </c>
      <c r="F741" s="304">
        <f t="shared" ca="1" si="329"/>
        <v>0.32524654387160457</v>
      </c>
      <c r="G741" s="306">
        <f t="shared" ca="1" si="330"/>
        <v>4.0364487828825251</v>
      </c>
      <c r="H741" s="307">
        <f t="shared" ca="1" si="331"/>
        <v>-122.53528443613465</v>
      </c>
      <c r="I741" s="304">
        <f t="shared" ca="1" si="332"/>
        <v>122.60174897048269</v>
      </c>
      <c r="J741" s="306">
        <f t="shared" ca="1" si="333"/>
        <v>677.64536374242232</v>
      </c>
      <c r="K741" s="307">
        <f t="shared" ca="1" si="334"/>
        <v>-11.445912192453617</v>
      </c>
      <c r="L741" s="304">
        <f t="shared" ca="1" si="319"/>
        <v>677.74202164799931</v>
      </c>
      <c r="M741" s="306">
        <f t="shared" ca="1" si="335"/>
        <v>-1.5378671199555167</v>
      </c>
      <c r="N741" s="304">
        <f t="shared" ca="1" si="336"/>
        <v>-88.113295425390206</v>
      </c>
      <c r="P741" s="310">
        <f t="shared" ca="1" si="337"/>
        <v>23</v>
      </c>
      <c r="Q741" s="304">
        <f t="shared" ca="1" si="338"/>
        <v>0</v>
      </c>
      <c r="R741" s="306">
        <f t="shared" ca="1" si="339"/>
        <v>0</v>
      </c>
      <c r="S741" s="307">
        <f t="shared" ca="1" si="340"/>
        <v>2.0842999999999985</v>
      </c>
      <c r="T741" s="304">
        <f t="shared" ca="1" si="320"/>
        <v>20.446982999999985</v>
      </c>
      <c r="U741" s="311">
        <f t="shared" ca="1" si="321"/>
        <v>0</v>
      </c>
      <c r="V741" s="306">
        <f t="shared" ca="1" si="322"/>
        <v>1.226402927132614</v>
      </c>
      <c r="W741" s="304">
        <f t="shared" ca="1" si="323"/>
        <v>20.356027111929105</v>
      </c>
      <c r="Y741" s="314" t="str">
        <f t="shared" ca="1" si="341"/>
        <v/>
      </c>
      <c r="Z741" s="315" t="str">
        <f t="shared" ca="1" si="342"/>
        <v/>
      </c>
      <c r="AA741" s="316" t="str">
        <f t="shared" ca="1" si="343"/>
        <v/>
      </c>
      <c r="AC741" s="310" t="e">
        <f t="shared" ca="1" si="344"/>
        <v>#N/A</v>
      </c>
      <c r="AD741" s="323" t="e">
        <f t="shared" ca="1" si="345"/>
        <v>#N/A</v>
      </c>
      <c r="AE741" s="324" t="e">
        <f t="shared" ca="1" si="324"/>
        <v>#N/A</v>
      </c>
      <c r="AG741" s="306">
        <f t="shared" ca="1" si="346"/>
        <v>3.8332899707160806E-2</v>
      </c>
      <c r="AH741" s="304">
        <f t="shared" ca="1" si="347"/>
        <v>-9.7663488440772603</v>
      </c>
    </row>
    <row r="742" spans="1:34" x14ac:dyDescent="0.25">
      <c r="A742" s="347">
        <f t="shared" ca="1" si="325"/>
        <v>1E-4</v>
      </c>
      <c r="B742" s="304">
        <f t="shared" ca="1" si="326"/>
        <v>47.114400000000849</v>
      </c>
      <c r="D742" s="306">
        <f t="shared" ca="1" si="327"/>
        <v>-0.32154041851898418</v>
      </c>
      <c r="E742" s="307">
        <f t="shared" ca="1" si="328"/>
        <v>-4.8933091874669543E-2</v>
      </c>
      <c r="F742" s="304">
        <f t="shared" ca="1" si="329"/>
        <v>0.32524250678805555</v>
      </c>
      <c r="G742" s="306">
        <f t="shared" ca="1" si="330"/>
        <v>4.0364166288406729</v>
      </c>
      <c r="H742" s="307">
        <f t="shared" ca="1" si="331"/>
        <v>-122.53528932944383</v>
      </c>
      <c r="I742" s="304">
        <f t="shared" ca="1" si="332"/>
        <v>122.60175280252763</v>
      </c>
      <c r="J742" s="306">
        <f t="shared" ca="1" si="333"/>
        <v>677.64536374242232</v>
      </c>
      <c r="K742" s="307">
        <f t="shared" ca="1" si="334"/>
        <v>-11.458165721141896</v>
      </c>
      <c r="L742" s="304">
        <f t="shared" ca="1" si="319"/>
        <v>677.74222870003678</v>
      </c>
      <c r="M742" s="306">
        <f t="shared" ca="1" si="335"/>
        <v>-1.537867383391508</v>
      </c>
      <c r="N742" s="304">
        <f t="shared" ca="1" si="336"/>
        <v>-88.113310519160677</v>
      </c>
      <c r="P742" s="310">
        <f t="shared" ca="1" si="337"/>
        <v>23</v>
      </c>
      <c r="Q742" s="304">
        <f t="shared" ca="1" si="338"/>
        <v>0</v>
      </c>
      <c r="R742" s="306">
        <f t="shared" ca="1" si="339"/>
        <v>0</v>
      </c>
      <c r="S742" s="307">
        <f t="shared" ca="1" si="340"/>
        <v>2.0842999999999985</v>
      </c>
      <c r="T742" s="304">
        <f t="shared" ca="1" si="320"/>
        <v>20.446982999999985</v>
      </c>
      <c r="U742" s="311">
        <f t="shared" ca="1" si="321"/>
        <v>0</v>
      </c>
      <c r="V742" s="306">
        <f t="shared" ca="1" si="322"/>
        <v>1.2264044299103729</v>
      </c>
      <c r="W742" s="304">
        <f t="shared" ca="1" si="323"/>
        <v>20.356053327767889</v>
      </c>
      <c r="Y742" s="314" t="str">
        <f t="shared" ca="1" si="341"/>
        <v/>
      </c>
      <c r="Z742" s="315" t="str">
        <f t="shared" ca="1" si="342"/>
        <v/>
      </c>
      <c r="AA742" s="316" t="str">
        <f t="shared" ca="1" si="343"/>
        <v/>
      </c>
      <c r="AC742" s="310" t="e">
        <f t="shared" ca="1" si="344"/>
        <v>#N/A</v>
      </c>
      <c r="AD742" s="323" t="e">
        <f t="shared" ca="1" si="345"/>
        <v>#N/A</v>
      </c>
      <c r="AE742" s="324" t="e">
        <f t="shared" ca="1" si="324"/>
        <v>#N/A</v>
      </c>
      <c r="AG742" s="306">
        <f t="shared" ca="1" si="346"/>
        <v>3.8320406843091348E-2</v>
      </c>
      <c r="AH742" s="304">
        <f t="shared" ca="1" si="347"/>
        <v>-9.7663614220261579</v>
      </c>
    </row>
    <row r="743" spans="1:34" x14ac:dyDescent="0.25">
      <c r="A743" s="347">
        <f t="shared" ca="1" si="325"/>
        <v>1E-4</v>
      </c>
      <c r="B743" s="304">
        <f t="shared" ca="1" si="326"/>
        <v>47.114500000000852</v>
      </c>
      <c r="D743" s="306">
        <f t="shared" ca="1" si="327"/>
        <v>-0.32153826120035384</v>
      </c>
      <c r="E743" s="307">
        <f t="shared" ca="1" si="328"/>
        <v>-4.8920436221672858E-2</v>
      </c>
      <c r="F743" s="304">
        <f t="shared" ca="1" si="329"/>
        <v>0.32523847019666313</v>
      </c>
      <c r="G743" s="306">
        <f t="shared" ca="1" si="330"/>
        <v>4.036384475014553</v>
      </c>
      <c r="H743" s="307">
        <f t="shared" ca="1" si="331"/>
        <v>-122.53529422148745</v>
      </c>
      <c r="I743" s="304">
        <f t="shared" ca="1" si="332"/>
        <v>122.60175663332329</v>
      </c>
      <c r="J743" s="306">
        <f t="shared" ca="1" si="333"/>
        <v>677.64536374242232</v>
      </c>
      <c r="K743" s="307">
        <f t="shared" ca="1" si="334"/>
        <v>-11.470419250319443</v>
      </c>
      <c r="L743" s="304">
        <f t="shared" ca="1" si="319"/>
        <v>677.74243597356212</v>
      </c>
      <c r="M743" s="306">
        <f t="shared" ca="1" si="335"/>
        <v>-1.537867646825384</v>
      </c>
      <c r="N743" s="304">
        <f t="shared" ca="1" si="336"/>
        <v>-88.113325612809959</v>
      </c>
      <c r="P743" s="310">
        <f t="shared" ca="1" si="337"/>
        <v>23</v>
      </c>
      <c r="Q743" s="304">
        <f t="shared" ca="1" si="338"/>
        <v>0</v>
      </c>
      <c r="R743" s="306">
        <f t="shared" ca="1" si="339"/>
        <v>0</v>
      </c>
      <c r="S743" s="307">
        <f t="shared" ca="1" si="340"/>
        <v>2.0842999999999985</v>
      </c>
      <c r="T743" s="304">
        <f t="shared" ca="1" si="320"/>
        <v>20.446982999999985</v>
      </c>
      <c r="U743" s="311">
        <f t="shared" ca="1" si="321"/>
        <v>0</v>
      </c>
      <c r="V743" s="306">
        <f t="shared" ca="1" si="322"/>
        <v>1.2264059326900338</v>
      </c>
      <c r="W743" s="304">
        <f t="shared" ca="1" si="323"/>
        <v>20.356079543226556</v>
      </c>
      <c r="Y743" s="314" t="str">
        <f t="shared" ca="1" si="341"/>
        <v/>
      </c>
      <c r="Z743" s="315" t="str">
        <f t="shared" ca="1" si="342"/>
        <v/>
      </c>
      <c r="AA743" s="316" t="str">
        <f t="shared" ca="1" si="343"/>
        <v/>
      </c>
      <c r="AC743" s="310" t="e">
        <f t="shared" ca="1" si="344"/>
        <v>#N/A</v>
      </c>
      <c r="AD743" s="323" t="e">
        <f t="shared" ca="1" si="345"/>
        <v>#N/A</v>
      </c>
      <c r="AE743" s="324" t="e">
        <f t="shared" ca="1" si="324"/>
        <v>#N/A</v>
      </c>
      <c r="AG743" s="306">
        <f t="shared" ca="1" si="346"/>
        <v>3.8307914160021994E-2</v>
      </c>
      <c r="AH743" s="304">
        <f t="shared" ca="1" si="347"/>
        <v>-9.7663739997926893</v>
      </c>
    </row>
    <row r="744" spans="1:34" x14ac:dyDescent="0.25">
      <c r="A744" s="347">
        <f t="shared" ca="1" si="325"/>
        <v>1E-4</v>
      </c>
      <c r="B744" s="304">
        <f t="shared" ca="1" si="326"/>
        <v>47.114600000000856</v>
      </c>
      <c r="D744" s="306">
        <f t="shared" ca="1" si="327"/>
        <v>-0.32153610388972043</v>
      </c>
      <c r="E744" s="307">
        <f t="shared" ca="1" si="328"/>
        <v>-4.890778075208857E-2</v>
      </c>
      <c r="F744" s="304">
        <f t="shared" ca="1" si="329"/>
        <v>0.32523443409742986</v>
      </c>
      <c r="G744" s="306">
        <f t="shared" ca="1" si="330"/>
        <v>4.0363523214041637</v>
      </c>
      <c r="H744" s="307">
        <f t="shared" ca="1" si="331"/>
        <v>-122.53529911226552</v>
      </c>
      <c r="I744" s="304">
        <f t="shared" ca="1" si="332"/>
        <v>122.60176046286972</v>
      </c>
      <c r="J744" s="306">
        <f t="shared" ca="1" si="333"/>
        <v>677.64536374242232</v>
      </c>
      <c r="K744" s="307">
        <f t="shared" ca="1" si="334"/>
        <v>-11.48267277998613</v>
      </c>
      <c r="L744" s="304">
        <f t="shared" ca="1" si="319"/>
        <v>677.74264346857501</v>
      </c>
      <c r="M744" s="306">
        <f t="shared" ca="1" si="335"/>
        <v>-1.5378679102571453</v>
      </c>
      <c r="N744" s="304">
        <f t="shared" ca="1" si="336"/>
        <v>-88.113340706338064</v>
      </c>
      <c r="P744" s="310">
        <f t="shared" ca="1" si="337"/>
        <v>23</v>
      </c>
      <c r="Q744" s="304">
        <f t="shared" ca="1" si="338"/>
        <v>0</v>
      </c>
      <c r="R744" s="306">
        <f t="shared" ca="1" si="339"/>
        <v>0</v>
      </c>
      <c r="S744" s="307">
        <f t="shared" ca="1" si="340"/>
        <v>2.0842999999999985</v>
      </c>
      <c r="T744" s="304">
        <f t="shared" ca="1" si="320"/>
        <v>20.446982999999985</v>
      </c>
      <c r="U744" s="311">
        <f t="shared" ca="1" si="321"/>
        <v>0</v>
      </c>
      <c r="V744" s="306">
        <f t="shared" ca="1" si="322"/>
        <v>1.2264074354715973</v>
      </c>
      <c r="W744" s="304">
        <f t="shared" ca="1" si="323"/>
        <v>20.356105758305127</v>
      </c>
      <c r="Y744" s="314" t="str">
        <f t="shared" ca="1" si="341"/>
        <v/>
      </c>
      <c r="Z744" s="315" t="str">
        <f t="shared" ca="1" si="342"/>
        <v/>
      </c>
      <c r="AA744" s="316" t="str">
        <f t="shared" ca="1" si="343"/>
        <v/>
      </c>
      <c r="AC744" s="310" t="e">
        <f t="shared" ca="1" si="344"/>
        <v>#N/A</v>
      </c>
      <c r="AD744" s="323" t="e">
        <f t="shared" ca="1" si="345"/>
        <v>#N/A</v>
      </c>
      <c r="AE744" s="324" t="e">
        <f t="shared" ca="1" si="324"/>
        <v>#N/A</v>
      </c>
      <c r="AG744" s="306">
        <f t="shared" ca="1" si="346"/>
        <v>3.8295421657959849E-2</v>
      </c>
      <c r="AH744" s="304">
        <f t="shared" ca="1" si="347"/>
        <v>-9.766386577376851</v>
      </c>
    </row>
    <row r="745" spans="1:34" x14ac:dyDescent="0.25">
      <c r="A745" s="347">
        <f t="shared" ca="1" si="325"/>
        <v>1E-4</v>
      </c>
      <c r="B745" s="304">
        <f t="shared" ca="1" si="326"/>
        <v>47.114700000000859</v>
      </c>
      <c r="D745" s="306">
        <f t="shared" ca="1" si="327"/>
        <v>-0.32153394658708007</v>
      </c>
      <c r="E745" s="307">
        <f t="shared" ca="1" si="328"/>
        <v>-4.889512546590602E-2</v>
      </c>
      <c r="F745" s="304">
        <f t="shared" ca="1" si="329"/>
        <v>0.32523039849034707</v>
      </c>
      <c r="G745" s="306">
        <f t="shared" ca="1" si="330"/>
        <v>4.0363201680095049</v>
      </c>
      <c r="H745" s="307">
        <f t="shared" ca="1" si="331"/>
        <v>-122.53530400177807</v>
      </c>
      <c r="I745" s="304">
        <f t="shared" ca="1" si="332"/>
        <v>122.60176429116692</v>
      </c>
      <c r="J745" s="306">
        <f t="shared" ca="1" si="333"/>
        <v>677.64536374242232</v>
      </c>
      <c r="K745" s="307">
        <f t="shared" ca="1" si="334"/>
        <v>-11.494926310141832</v>
      </c>
      <c r="L745" s="304">
        <f t="shared" ca="1" si="319"/>
        <v>677.74285118507555</v>
      </c>
      <c r="M745" s="306">
        <f t="shared" ca="1" si="335"/>
        <v>-1.5378681736867914</v>
      </c>
      <c r="N745" s="304">
        <f t="shared" ca="1" si="336"/>
        <v>-88.113355799744994</v>
      </c>
      <c r="P745" s="310">
        <f t="shared" ca="1" si="337"/>
        <v>23</v>
      </c>
      <c r="Q745" s="304">
        <f t="shared" ca="1" si="338"/>
        <v>0</v>
      </c>
      <c r="R745" s="306">
        <f t="shared" ca="1" si="339"/>
        <v>0</v>
      </c>
      <c r="S745" s="307">
        <f t="shared" ca="1" si="340"/>
        <v>2.0842999999999985</v>
      </c>
      <c r="T745" s="304">
        <f t="shared" ca="1" si="320"/>
        <v>20.446982999999985</v>
      </c>
      <c r="U745" s="311">
        <f t="shared" ca="1" si="321"/>
        <v>0</v>
      </c>
      <c r="V745" s="306">
        <f t="shared" ca="1" si="322"/>
        <v>1.2264089382550631</v>
      </c>
      <c r="W745" s="304">
        <f t="shared" ca="1" si="323"/>
        <v>20.356131973003599</v>
      </c>
      <c r="Y745" s="314" t="str">
        <f t="shared" ca="1" si="341"/>
        <v/>
      </c>
      <c r="Z745" s="315" t="str">
        <f t="shared" ca="1" si="342"/>
        <v/>
      </c>
      <c r="AA745" s="316" t="str">
        <f t="shared" ca="1" si="343"/>
        <v/>
      </c>
      <c r="AC745" s="310" t="e">
        <f t="shared" ca="1" si="344"/>
        <v>#N/A</v>
      </c>
      <c r="AD745" s="323" t="e">
        <f t="shared" ca="1" si="345"/>
        <v>#N/A</v>
      </c>
      <c r="AE745" s="324" t="e">
        <f t="shared" ca="1" si="324"/>
        <v>#N/A</v>
      </c>
      <c r="AG745" s="306">
        <f t="shared" ca="1" si="346"/>
        <v>3.8282929336899585E-2</v>
      </c>
      <c r="AH745" s="304">
        <f t="shared" ca="1" si="347"/>
        <v>-9.7663991547786502</v>
      </c>
    </row>
    <row r="746" spans="1:34" x14ac:dyDescent="0.25">
      <c r="A746" s="347">
        <f t="shared" ca="1" si="325"/>
        <v>1E-4</v>
      </c>
      <c r="B746" s="304">
        <f t="shared" ca="1" si="326"/>
        <v>47.114800000000862</v>
      </c>
      <c r="D746" s="306">
        <f t="shared" ca="1" si="327"/>
        <v>-0.32153178929243736</v>
      </c>
      <c r="E746" s="307">
        <f t="shared" ca="1" si="328"/>
        <v>-4.8882470363126984E-2</v>
      </c>
      <c r="F746" s="304">
        <f t="shared" ca="1" si="329"/>
        <v>0.32522636337541633</v>
      </c>
      <c r="G746" s="306">
        <f t="shared" ca="1" si="330"/>
        <v>4.0362880148305758</v>
      </c>
      <c r="H746" s="307">
        <f t="shared" ca="1" si="331"/>
        <v>-122.53530889002511</v>
      </c>
      <c r="I746" s="304">
        <f t="shared" ca="1" si="332"/>
        <v>122.60176811821488</v>
      </c>
      <c r="J746" s="306">
        <f t="shared" ca="1" si="333"/>
        <v>677.64536374242232</v>
      </c>
      <c r="K746" s="307">
        <f t="shared" ca="1" si="334"/>
        <v>-11.507179840786423</v>
      </c>
      <c r="L746" s="304">
        <f t="shared" ca="1" si="319"/>
        <v>677.74305912306329</v>
      </c>
      <c r="M746" s="306">
        <f t="shared" ca="1" si="335"/>
        <v>-1.5378684371143228</v>
      </c>
      <c r="N746" s="304">
        <f t="shared" ca="1" si="336"/>
        <v>-88.113370893030748</v>
      </c>
      <c r="P746" s="310">
        <f t="shared" ca="1" si="337"/>
        <v>23</v>
      </c>
      <c r="Q746" s="304">
        <f t="shared" ca="1" si="338"/>
        <v>0</v>
      </c>
      <c r="R746" s="306">
        <f t="shared" ca="1" si="339"/>
        <v>0</v>
      </c>
      <c r="S746" s="307">
        <f t="shared" ca="1" si="340"/>
        <v>2.0842999999999985</v>
      </c>
      <c r="T746" s="304">
        <f t="shared" ca="1" si="320"/>
        <v>20.446982999999985</v>
      </c>
      <c r="U746" s="311">
        <f t="shared" ca="1" si="321"/>
        <v>0</v>
      </c>
      <c r="V746" s="306">
        <f t="shared" ca="1" si="322"/>
        <v>1.226410441040432</v>
      </c>
      <c r="W746" s="304">
        <f t="shared" ca="1" si="323"/>
        <v>20.356158187321977</v>
      </c>
      <c r="Y746" s="314" t="str">
        <f t="shared" ca="1" si="341"/>
        <v/>
      </c>
      <c r="Z746" s="315" t="str">
        <f t="shared" ca="1" si="342"/>
        <v/>
      </c>
      <c r="AA746" s="316" t="str">
        <f t="shared" ca="1" si="343"/>
        <v/>
      </c>
      <c r="AC746" s="310" t="e">
        <f t="shared" ca="1" si="344"/>
        <v>#N/A</v>
      </c>
      <c r="AD746" s="323" t="e">
        <f t="shared" ca="1" si="345"/>
        <v>#N/A</v>
      </c>
      <c r="AE746" s="324" t="e">
        <f t="shared" ca="1" si="324"/>
        <v>#N/A</v>
      </c>
      <c r="AG746" s="306">
        <f t="shared" ca="1" si="346"/>
        <v>3.8270437196834095E-2</v>
      </c>
      <c r="AH746" s="304">
        <f t="shared" ca="1" si="347"/>
        <v>-9.7664117319980868</v>
      </c>
    </row>
    <row r="747" spans="1:34" x14ac:dyDescent="0.25">
      <c r="A747" s="347">
        <f t="shared" ca="1" si="325"/>
        <v>1E-4</v>
      </c>
      <c r="B747" s="304">
        <f t="shared" ca="1" si="326"/>
        <v>47.114900000000866</v>
      </c>
      <c r="D747" s="306">
        <f t="shared" ca="1" si="327"/>
        <v>-0.32152963200578832</v>
      </c>
      <c r="E747" s="307">
        <f t="shared" ca="1" si="328"/>
        <v>-4.8869815443746134E-2</v>
      </c>
      <c r="F747" s="304">
        <f t="shared" ca="1" si="329"/>
        <v>0.32522232875262957</v>
      </c>
      <c r="G747" s="306">
        <f t="shared" ca="1" si="330"/>
        <v>4.0362558618673754</v>
      </c>
      <c r="H747" s="307">
        <f t="shared" ca="1" si="331"/>
        <v>-122.53531377700665</v>
      </c>
      <c r="I747" s="304">
        <f t="shared" ca="1" si="332"/>
        <v>122.60177194401366</v>
      </c>
      <c r="J747" s="306">
        <f t="shared" ca="1" si="333"/>
        <v>677.64536374242232</v>
      </c>
      <c r="K747" s="307">
        <f t="shared" ca="1" si="334"/>
        <v>-11.519433371919774</v>
      </c>
      <c r="L747" s="304">
        <f t="shared" ca="1" si="319"/>
        <v>677.74326728253811</v>
      </c>
      <c r="M747" s="306">
        <f t="shared" ca="1" si="335"/>
        <v>-1.5378687005397391</v>
      </c>
      <c r="N747" s="304">
        <f t="shared" ca="1" si="336"/>
        <v>-88.113385986195325</v>
      </c>
      <c r="P747" s="310">
        <f t="shared" ca="1" si="337"/>
        <v>23</v>
      </c>
      <c r="Q747" s="304">
        <f t="shared" ca="1" si="338"/>
        <v>0</v>
      </c>
      <c r="R747" s="306">
        <f t="shared" ca="1" si="339"/>
        <v>0</v>
      </c>
      <c r="S747" s="307">
        <f t="shared" ca="1" si="340"/>
        <v>2.0842999999999985</v>
      </c>
      <c r="T747" s="304">
        <f t="shared" ca="1" si="320"/>
        <v>20.446982999999985</v>
      </c>
      <c r="U747" s="311">
        <f t="shared" ca="1" si="321"/>
        <v>0</v>
      </c>
      <c r="V747" s="306">
        <f t="shared" ca="1" si="322"/>
        <v>1.2264119438277026</v>
      </c>
      <c r="W747" s="304">
        <f t="shared" ca="1" si="323"/>
        <v>20.356184401260268</v>
      </c>
      <c r="Y747" s="314" t="str">
        <f t="shared" ca="1" si="341"/>
        <v/>
      </c>
      <c r="Z747" s="315" t="str">
        <f t="shared" ca="1" si="342"/>
        <v/>
      </c>
      <c r="AA747" s="316" t="str">
        <f t="shared" ca="1" si="343"/>
        <v/>
      </c>
      <c r="AC747" s="310" t="e">
        <f t="shared" ca="1" si="344"/>
        <v>#N/A</v>
      </c>
      <c r="AD747" s="323" t="e">
        <f t="shared" ca="1" si="345"/>
        <v>#N/A</v>
      </c>
      <c r="AE747" s="324" t="e">
        <f t="shared" ca="1" si="324"/>
        <v>#N/A</v>
      </c>
      <c r="AG747" s="306">
        <f t="shared" ca="1" si="346"/>
        <v>3.8257945237766933E-2</v>
      </c>
      <c r="AH747" s="304">
        <f t="shared" ca="1" si="347"/>
        <v>-9.7664243090351643</v>
      </c>
    </row>
    <row r="748" spans="1:34" x14ac:dyDescent="0.25">
      <c r="A748" s="347">
        <f t="shared" ca="1" si="325"/>
        <v>1E-4</v>
      </c>
      <c r="B748" s="304">
        <f t="shared" ca="1" si="326"/>
        <v>47.115000000000869</v>
      </c>
      <c r="D748" s="306">
        <f t="shared" ca="1" si="327"/>
        <v>-0.32152747472713522</v>
      </c>
      <c r="E748" s="307">
        <f t="shared" ca="1" si="328"/>
        <v>-4.8857160707765246E-2</v>
      </c>
      <c r="F748" s="304">
        <f t="shared" ca="1" si="329"/>
        <v>0.32521829462198615</v>
      </c>
      <c r="G748" s="306">
        <f t="shared" ca="1" si="330"/>
        <v>4.0362237091199029</v>
      </c>
      <c r="H748" s="307">
        <f t="shared" ca="1" si="331"/>
        <v>-122.53531866272272</v>
      </c>
      <c r="I748" s="304">
        <f t="shared" ca="1" si="332"/>
        <v>122.60177576856326</v>
      </c>
      <c r="J748" s="306">
        <f t="shared" ca="1" si="333"/>
        <v>677.64536374242232</v>
      </c>
      <c r="K748" s="307">
        <f t="shared" ca="1" si="334"/>
        <v>-11.531686903541761</v>
      </c>
      <c r="L748" s="304">
        <f t="shared" ca="1" si="319"/>
        <v>677.74347566349991</v>
      </c>
      <c r="M748" s="306">
        <f t="shared" ca="1" si="335"/>
        <v>-1.5378689639630407</v>
      </c>
      <c r="N748" s="304">
        <f t="shared" ca="1" si="336"/>
        <v>-88.113401079238727</v>
      </c>
      <c r="P748" s="310">
        <f t="shared" ca="1" si="337"/>
        <v>23</v>
      </c>
      <c r="Q748" s="304">
        <f t="shared" ca="1" si="338"/>
        <v>0</v>
      </c>
      <c r="R748" s="306">
        <f t="shared" ca="1" si="339"/>
        <v>0</v>
      </c>
      <c r="S748" s="307">
        <f t="shared" ca="1" si="340"/>
        <v>2.0842999999999985</v>
      </c>
      <c r="T748" s="304">
        <f t="shared" ca="1" si="320"/>
        <v>20.446982999999985</v>
      </c>
      <c r="U748" s="311">
        <f t="shared" ca="1" si="321"/>
        <v>0</v>
      </c>
      <c r="V748" s="306">
        <f t="shared" ca="1" si="322"/>
        <v>1.2264134466168759</v>
      </c>
      <c r="W748" s="304">
        <f t="shared" ca="1" si="323"/>
        <v>20.356210614818472</v>
      </c>
      <c r="Y748" s="314" t="str">
        <f t="shared" ca="1" si="341"/>
        <v/>
      </c>
      <c r="Z748" s="315" t="str">
        <f t="shared" ca="1" si="342"/>
        <v/>
      </c>
      <c r="AA748" s="316" t="str">
        <f t="shared" ca="1" si="343"/>
        <v/>
      </c>
      <c r="AC748" s="310" t="e">
        <f t="shared" ca="1" si="344"/>
        <v>#N/A</v>
      </c>
      <c r="AD748" s="323" t="e">
        <f t="shared" ca="1" si="345"/>
        <v>#N/A</v>
      </c>
      <c r="AE748" s="324" t="e">
        <f t="shared" ca="1" si="324"/>
        <v>#N/A</v>
      </c>
      <c r="AG748" s="306">
        <f t="shared" ca="1" si="346"/>
        <v>3.8245453459696321E-2</v>
      </c>
      <c r="AH748" s="304">
        <f t="shared" ca="1" si="347"/>
        <v>-9.7664368858898829</v>
      </c>
    </row>
    <row r="749" spans="1:34" x14ac:dyDescent="0.25">
      <c r="A749" s="347">
        <f t="shared" ca="1" si="325"/>
        <v>1E-4</v>
      </c>
      <c r="B749" s="304">
        <f t="shared" ca="1" si="326"/>
        <v>47.115100000000872</v>
      </c>
      <c r="D749" s="306">
        <f t="shared" ca="1" si="327"/>
        <v>-0.32152531745647622</v>
      </c>
      <c r="E749" s="307">
        <f t="shared" ca="1" si="328"/>
        <v>-4.8844506155182543E-2</v>
      </c>
      <c r="F749" s="304">
        <f t="shared" ca="1" si="329"/>
        <v>0.32521426098348066</v>
      </c>
      <c r="G749" s="306">
        <f t="shared" ca="1" si="330"/>
        <v>4.0361915565881574</v>
      </c>
      <c r="H749" s="307">
        <f t="shared" ca="1" si="331"/>
        <v>-122.53532354717333</v>
      </c>
      <c r="I749" s="304">
        <f t="shared" ca="1" si="332"/>
        <v>122.6017795918637</v>
      </c>
      <c r="J749" s="306">
        <f t="shared" ca="1" si="333"/>
        <v>677.64536374242232</v>
      </c>
      <c r="K749" s="307">
        <f t="shared" ca="1" si="334"/>
        <v>-11.543940435652257</v>
      </c>
      <c r="L749" s="304">
        <f t="shared" ca="1" si="319"/>
        <v>677.74368426594856</v>
      </c>
      <c r="M749" s="306">
        <f t="shared" ca="1" si="335"/>
        <v>-1.5378692273842274</v>
      </c>
      <c r="N749" s="304">
        <f t="shared" ca="1" si="336"/>
        <v>-88.113416172160953</v>
      </c>
      <c r="P749" s="310">
        <f t="shared" ca="1" si="337"/>
        <v>23</v>
      </c>
      <c r="Q749" s="304">
        <f t="shared" ca="1" si="338"/>
        <v>0</v>
      </c>
      <c r="R749" s="306">
        <f t="shared" ca="1" si="339"/>
        <v>0</v>
      </c>
      <c r="S749" s="307">
        <f t="shared" ca="1" si="340"/>
        <v>2.0842999999999985</v>
      </c>
      <c r="T749" s="304">
        <f t="shared" ca="1" si="320"/>
        <v>20.446982999999985</v>
      </c>
      <c r="U749" s="311">
        <f t="shared" ca="1" si="321"/>
        <v>0</v>
      </c>
      <c r="V749" s="306">
        <f t="shared" ca="1" si="322"/>
        <v>1.2264149494079515</v>
      </c>
      <c r="W749" s="304">
        <f t="shared" ca="1" si="323"/>
        <v>20.356236827996593</v>
      </c>
      <c r="Y749" s="314" t="str">
        <f t="shared" ca="1" si="341"/>
        <v/>
      </c>
      <c r="Z749" s="315" t="str">
        <f t="shared" ca="1" si="342"/>
        <v/>
      </c>
      <c r="AA749" s="316" t="str">
        <f t="shared" ca="1" si="343"/>
        <v/>
      </c>
      <c r="AC749" s="310" t="e">
        <f t="shared" ca="1" si="344"/>
        <v>#N/A</v>
      </c>
      <c r="AD749" s="323" t="e">
        <f t="shared" ca="1" si="345"/>
        <v>#N/A</v>
      </c>
      <c r="AE749" s="324" t="e">
        <f t="shared" ca="1" si="324"/>
        <v>#N/A</v>
      </c>
      <c r="AG749" s="306">
        <f t="shared" ca="1" si="346"/>
        <v>3.8232961862615156E-2</v>
      </c>
      <c r="AH749" s="304">
        <f t="shared" ca="1" si="347"/>
        <v>-9.7664494625622442</v>
      </c>
    </row>
    <row r="750" spans="1:34" x14ac:dyDescent="0.25">
      <c r="A750" s="347">
        <f t="shared" ca="1" si="325"/>
        <v>1E-4</v>
      </c>
      <c r="B750" s="304">
        <f t="shared" ca="1" si="326"/>
        <v>47.115200000000875</v>
      </c>
      <c r="D750" s="306">
        <f t="shared" ca="1" si="327"/>
        <v>-0.32152316019381388</v>
      </c>
      <c r="E750" s="307">
        <f t="shared" ca="1" si="328"/>
        <v>-4.8831851785994473E-2</v>
      </c>
      <c r="F750" s="304">
        <f t="shared" ca="1" si="329"/>
        <v>0.3252102278371119</v>
      </c>
      <c r="G750" s="306">
        <f t="shared" ca="1" si="330"/>
        <v>4.036159404272138</v>
      </c>
      <c r="H750" s="307">
        <f t="shared" ca="1" si="331"/>
        <v>-122.53532843035852</v>
      </c>
      <c r="I750" s="304">
        <f t="shared" ca="1" si="332"/>
        <v>122.601783413915</v>
      </c>
      <c r="J750" s="306">
        <f t="shared" ca="1" si="333"/>
        <v>677.64536374242232</v>
      </c>
      <c r="K750" s="307">
        <f t="shared" ca="1" si="334"/>
        <v>-11.556193968251133</v>
      </c>
      <c r="L750" s="304">
        <f t="shared" ca="1" si="319"/>
        <v>677.74389308988361</v>
      </c>
      <c r="M750" s="306">
        <f t="shared" ca="1" si="335"/>
        <v>-1.5378694908032993</v>
      </c>
      <c r="N750" s="304">
        <f t="shared" ca="1" si="336"/>
        <v>-88.113431264962017</v>
      </c>
      <c r="P750" s="310">
        <f t="shared" ca="1" si="337"/>
        <v>23</v>
      </c>
      <c r="Q750" s="304">
        <f t="shared" ca="1" si="338"/>
        <v>0</v>
      </c>
      <c r="R750" s="306">
        <f t="shared" ca="1" si="339"/>
        <v>0</v>
      </c>
      <c r="S750" s="307">
        <f t="shared" ca="1" si="340"/>
        <v>2.0842999999999985</v>
      </c>
      <c r="T750" s="304">
        <f t="shared" ca="1" si="320"/>
        <v>20.446982999999985</v>
      </c>
      <c r="U750" s="311">
        <f t="shared" ca="1" si="321"/>
        <v>0</v>
      </c>
      <c r="V750" s="306">
        <f t="shared" ca="1" si="322"/>
        <v>1.22641645220093</v>
      </c>
      <c r="W750" s="304">
        <f t="shared" ca="1" si="323"/>
        <v>20.356263040794644</v>
      </c>
      <c r="Y750" s="314" t="str">
        <f t="shared" ca="1" si="341"/>
        <v/>
      </c>
      <c r="Z750" s="315" t="str">
        <f t="shared" ca="1" si="342"/>
        <v/>
      </c>
      <c r="AA750" s="316" t="str">
        <f t="shared" ca="1" si="343"/>
        <v/>
      </c>
      <c r="AC750" s="310" t="e">
        <f t="shared" ca="1" si="344"/>
        <v>#N/A</v>
      </c>
      <c r="AD750" s="323" t="e">
        <f t="shared" ca="1" si="345"/>
        <v>#N/A</v>
      </c>
      <c r="AE750" s="324" t="e">
        <f t="shared" ca="1" si="324"/>
        <v>#N/A</v>
      </c>
      <c r="AG750" s="306">
        <f t="shared" ca="1" si="346"/>
        <v>3.8220470446526988E-2</v>
      </c>
      <c r="AH750" s="304">
        <f t="shared" ca="1" si="347"/>
        <v>-9.7664620390522519</v>
      </c>
    </row>
    <row r="751" spans="1:34" x14ac:dyDescent="0.25">
      <c r="A751" s="347">
        <f t="shared" ca="1" si="325"/>
        <v>1E-4</v>
      </c>
      <c r="B751" s="304">
        <f t="shared" ca="1" si="326"/>
        <v>47.115300000000879</v>
      </c>
      <c r="D751" s="306">
        <f t="shared" ca="1" si="327"/>
        <v>-0.32152100293914637</v>
      </c>
      <c r="E751" s="307">
        <f t="shared" ca="1" si="328"/>
        <v>-4.8819197600195707E-2</v>
      </c>
      <c r="F751" s="304">
        <f t="shared" ca="1" si="329"/>
        <v>0.32520619518287397</v>
      </c>
      <c r="G751" s="306">
        <f t="shared" ca="1" si="330"/>
        <v>4.0361272521718439</v>
      </c>
      <c r="H751" s="307">
        <f t="shared" ca="1" si="331"/>
        <v>-122.53533331227828</v>
      </c>
      <c r="I751" s="304">
        <f t="shared" ca="1" si="332"/>
        <v>122.60178723471718</v>
      </c>
      <c r="J751" s="306">
        <f t="shared" ca="1" si="333"/>
        <v>677.64536374242232</v>
      </c>
      <c r="K751" s="307">
        <f t="shared" ca="1" si="334"/>
        <v>-11.568447501338264</v>
      </c>
      <c r="L751" s="304">
        <f t="shared" ca="1" si="319"/>
        <v>677.7441021353053</v>
      </c>
      <c r="M751" s="306">
        <f t="shared" ca="1" si="335"/>
        <v>-1.5378697542202562</v>
      </c>
      <c r="N751" s="304">
        <f t="shared" ca="1" si="336"/>
        <v>-88.113446357641905</v>
      </c>
      <c r="P751" s="310">
        <f t="shared" ca="1" si="337"/>
        <v>23</v>
      </c>
      <c r="Q751" s="304">
        <f t="shared" ca="1" si="338"/>
        <v>0</v>
      </c>
      <c r="R751" s="306">
        <f t="shared" ca="1" si="339"/>
        <v>0</v>
      </c>
      <c r="S751" s="307">
        <f t="shared" ca="1" si="340"/>
        <v>2.0842999999999985</v>
      </c>
      <c r="T751" s="304">
        <f t="shared" ca="1" si="320"/>
        <v>20.446982999999985</v>
      </c>
      <c r="U751" s="311">
        <f t="shared" ca="1" si="321"/>
        <v>0</v>
      </c>
      <c r="V751" s="306">
        <f t="shared" ca="1" si="322"/>
        <v>1.2264179549958103</v>
      </c>
      <c r="W751" s="304">
        <f t="shared" ca="1" si="323"/>
        <v>20.356289253212616</v>
      </c>
      <c r="Y751" s="314" t="str">
        <f t="shared" ca="1" si="341"/>
        <v/>
      </c>
      <c r="Z751" s="315" t="str">
        <f t="shared" ca="1" si="342"/>
        <v/>
      </c>
      <c r="AA751" s="316" t="str">
        <f t="shared" ca="1" si="343"/>
        <v/>
      </c>
      <c r="AC751" s="310" t="e">
        <f t="shared" ca="1" si="344"/>
        <v>#N/A</v>
      </c>
      <c r="AD751" s="323" t="e">
        <f t="shared" ca="1" si="345"/>
        <v>#N/A</v>
      </c>
      <c r="AE751" s="324" t="e">
        <f t="shared" ca="1" si="324"/>
        <v>#N/A</v>
      </c>
      <c r="AG751" s="306">
        <f t="shared" ca="1" si="346"/>
        <v>3.820797921142649E-2</v>
      </c>
      <c r="AH751" s="304">
        <f t="shared" ca="1" si="347"/>
        <v>-9.7664746153599094</v>
      </c>
    </row>
    <row r="752" spans="1:34" x14ac:dyDescent="0.25">
      <c r="A752" s="347">
        <f t="shared" ca="1" si="325"/>
        <v>1E-4</v>
      </c>
      <c r="B752" s="304">
        <f t="shared" ca="1" si="326"/>
        <v>47.115400000000882</v>
      </c>
      <c r="D752" s="306">
        <f t="shared" ca="1" si="327"/>
        <v>-0.32151884569247591</v>
      </c>
      <c r="E752" s="307">
        <f t="shared" ca="1" si="328"/>
        <v>-4.8806543597791574E-2</v>
      </c>
      <c r="F752" s="304">
        <f t="shared" ca="1" si="329"/>
        <v>0.3252021630207666</v>
      </c>
      <c r="G752" s="306">
        <f t="shared" ca="1" si="330"/>
        <v>4.0360951002872749</v>
      </c>
      <c r="H752" s="307">
        <f t="shared" ca="1" si="331"/>
        <v>-122.53533819293264</v>
      </c>
      <c r="I752" s="304">
        <f t="shared" ca="1" si="332"/>
        <v>122.60179105427025</v>
      </c>
      <c r="J752" s="306">
        <f t="shared" ca="1" si="333"/>
        <v>677.64536374242232</v>
      </c>
      <c r="K752" s="307">
        <f t="shared" ca="1" si="334"/>
        <v>-11.580701034913524</v>
      </c>
      <c r="L752" s="304">
        <f t="shared" ca="1" si="319"/>
        <v>677.74431140221304</v>
      </c>
      <c r="M752" s="306">
        <f t="shared" ca="1" si="335"/>
        <v>-1.5378700176350986</v>
      </c>
      <c r="N752" s="304">
        <f t="shared" ca="1" si="336"/>
        <v>-88.113461450200631</v>
      </c>
      <c r="P752" s="310">
        <f t="shared" ca="1" si="337"/>
        <v>23</v>
      </c>
      <c r="Q752" s="304">
        <f t="shared" ca="1" si="338"/>
        <v>0</v>
      </c>
      <c r="R752" s="306">
        <f t="shared" ca="1" si="339"/>
        <v>0</v>
      </c>
      <c r="S752" s="307">
        <f t="shared" ca="1" si="340"/>
        <v>2.0842999999999985</v>
      </c>
      <c r="T752" s="304">
        <f t="shared" ca="1" si="320"/>
        <v>20.446982999999985</v>
      </c>
      <c r="U752" s="311">
        <f t="shared" ca="1" si="321"/>
        <v>0</v>
      </c>
      <c r="V752" s="306">
        <f t="shared" ca="1" si="322"/>
        <v>1.2264194577925933</v>
      </c>
      <c r="W752" s="304">
        <f t="shared" ca="1" si="323"/>
        <v>20.356315465250521</v>
      </c>
      <c r="Y752" s="314" t="str">
        <f t="shared" ca="1" si="341"/>
        <v/>
      </c>
      <c r="Z752" s="315" t="str">
        <f t="shared" ca="1" si="342"/>
        <v/>
      </c>
      <c r="AA752" s="316" t="str">
        <f t="shared" ca="1" si="343"/>
        <v/>
      </c>
      <c r="AC752" s="310" t="e">
        <f t="shared" ca="1" si="344"/>
        <v>#N/A</v>
      </c>
      <c r="AD752" s="323" t="e">
        <f t="shared" ca="1" si="345"/>
        <v>#N/A</v>
      </c>
      <c r="AE752" s="324" t="e">
        <f t="shared" ca="1" si="324"/>
        <v>#N/A</v>
      </c>
      <c r="AG752" s="306">
        <f t="shared" ca="1" si="346"/>
        <v>3.8195488157315438E-2</v>
      </c>
      <c r="AH752" s="304">
        <f t="shared" ca="1" si="347"/>
        <v>-9.7664871914852132</v>
      </c>
    </row>
    <row r="753" spans="1:34" x14ac:dyDescent="0.25">
      <c r="A753" s="347">
        <f t="shared" ca="1" si="325"/>
        <v>1E-4</v>
      </c>
      <c r="B753" s="304">
        <f t="shared" ca="1" si="326"/>
        <v>47.115500000000885</v>
      </c>
      <c r="D753" s="306">
        <f t="shared" ca="1" si="327"/>
        <v>-0.32151668845379872</v>
      </c>
      <c r="E753" s="307">
        <f t="shared" ca="1" si="328"/>
        <v>-4.8793889778773192E-2</v>
      </c>
      <c r="F753" s="304">
        <f t="shared" ca="1" si="329"/>
        <v>0.32519813135078146</v>
      </c>
      <c r="G753" s="306">
        <f t="shared" ca="1" si="330"/>
        <v>4.0360629486184294</v>
      </c>
      <c r="H753" s="307">
        <f t="shared" ca="1" si="331"/>
        <v>-122.53534307232162</v>
      </c>
      <c r="I753" s="304">
        <f t="shared" ca="1" si="332"/>
        <v>122.60179487257423</v>
      </c>
      <c r="J753" s="306">
        <f t="shared" ca="1" si="333"/>
        <v>677.64536374242232</v>
      </c>
      <c r="K753" s="307">
        <f t="shared" ca="1" si="334"/>
        <v>-11.592954568976786</v>
      </c>
      <c r="L753" s="304">
        <f t="shared" ca="1" si="319"/>
        <v>677.74452089060685</v>
      </c>
      <c r="M753" s="306">
        <f t="shared" ca="1" si="335"/>
        <v>-1.537870281047826</v>
      </c>
      <c r="N753" s="304">
        <f t="shared" ca="1" si="336"/>
        <v>-88.113476542638182</v>
      </c>
      <c r="P753" s="310">
        <f t="shared" ca="1" si="337"/>
        <v>23</v>
      </c>
      <c r="Q753" s="304">
        <f t="shared" ca="1" si="338"/>
        <v>0</v>
      </c>
      <c r="R753" s="306">
        <f t="shared" ca="1" si="339"/>
        <v>0</v>
      </c>
      <c r="S753" s="307">
        <f t="shared" ca="1" si="340"/>
        <v>2.0842999999999985</v>
      </c>
      <c r="T753" s="304">
        <f t="shared" ca="1" si="320"/>
        <v>20.446982999999985</v>
      </c>
      <c r="U753" s="311">
        <f t="shared" ca="1" si="321"/>
        <v>0</v>
      </c>
      <c r="V753" s="306">
        <f t="shared" ca="1" si="322"/>
        <v>1.2264209605912786</v>
      </c>
      <c r="W753" s="304">
        <f t="shared" ca="1" si="323"/>
        <v>20.356341676908368</v>
      </c>
      <c r="Y753" s="314" t="str">
        <f t="shared" ca="1" si="341"/>
        <v/>
      </c>
      <c r="Z753" s="315" t="str">
        <f t="shared" ca="1" si="342"/>
        <v/>
      </c>
      <c r="AA753" s="316" t="str">
        <f t="shared" ca="1" si="343"/>
        <v/>
      </c>
      <c r="AC753" s="310" t="e">
        <f t="shared" ca="1" si="344"/>
        <v>#N/A</v>
      </c>
      <c r="AD753" s="323" t="e">
        <f t="shared" ca="1" si="345"/>
        <v>#N/A</v>
      </c>
      <c r="AE753" s="324" t="e">
        <f t="shared" ca="1" si="324"/>
        <v>#N/A</v>
      </c>
      <c r="AG753" s="306">
        <f t="shared" ca="1" si="346"/>
        <v>3.8182997284188502E-2</v>
      </c>
      <c r="AH753" s="304">
        <f t="shared" ca="1" si="347"/>
        <v>-9.7664997674281704</v>
      </c>
    </row>
    <row r="754" spans="1:34" x14ac:dyDescent="0.25">
      <c r="A754" s="347">
        <f t="shared" ca="1" si="325"/>
        <v>1E-4</v>
      </c>
      <c r="B754" s="304">
        <f t="shared" ca="1" si="326"/>
        <v>47.115600000000889</v>
      </c>
      <c r="D754" s="306">
        <f t="shared" ca="1" si="327"/>
        <v>-0.32151453122311929</v>
      </c>
      <c r="E754" s="307">
        <f t="shared" ca="1" si="328"/>
        <v>-4.8781236143138784E-2</v>
      </c>
      <c r="F754" s="304">
        <f t="shared" ca="1" si="329"/>
        <v>0.3251941001729195</v>
      </c>
      <c r="G754" s="306">
        <f t="shared" ca="1" si="330"/>
        <v>4.0360307971653073</v>
      </c>
      <c r="H754" s="307">
        <f t="shared" ca="1" si="331"/>
        <v>-122.53534795044524</v>
      </c>
      <c r="I754" s="304">
        <f t="shared" ca="1" si="332"/>
        <v>122.60179868962915</v>
      </c>
      <c r="J754" s="306">
        <f t="shared" ca="1" si="333"/>
        <v>677.64536374242232</v>
      </c>
      <c r="K754" s="307">
        <f t="shared" ca="1" si="334"/>
        <v>-11.605208103527925</v>
      </c>
      <c r="L754" s="304">
        <f t="shared" ca="1" si="319"/>
        <v>677.74473060048649</v>
      </c>
      <c r="M754" s="306">
        <f t="shared" ca="1" si="335"/>
        <v>-1.5378705444584386</v>
      </c>
      <c r="N754" s="304">
        <f t="shared" ca="1" si="336"/>
        <v>-88.11349163495457</v>
      </c>
      <c r="P754" s="310">
        <f t="shared" ca="1" si="337"/>
        <v>23</v>
      </c>
      <c r="Q754" s="304">
        <f t="shared" ca="1" si="338"/>
        <v>0</v>
      </c>
      <c r="R754" s="306">
        <f t="shared" ca="1" si="339"/>
        <v>0</v>
      </c>
      <c r="S754" s="307">
        <f t="shared" ca="1" si="340"/>
        <v>2.0842999999999985</v>
      </c>
      <c r="T754" s="304">
        <f t="shared" ca="1" si="320"/>
        <v>20.446982999999985</v>
      </c>
      <c r="U754" s="311">
        <f t="shared" ca="1" si="321"/>
        <v>0</v>
      </c>
      <c r="V754" s="306">
        <f t="shared" ca="1" si="322"/>
        <v>1.2264224633918663</v>
      </c>
      <c r="W754" s="304">
        <f t="shared" ca="1" si="323"/>
        <v>20.356367888186153</v>
      </c>
      <c r="Y754" s="314" t="str">
        <f t="shared" ca="1" si="341"/>
        <v/>
      </c>
      <c r="Z754" s="315" t="str">
        <f t="shared" ca="1" si="342"/>
        <v/>
      </c>
      <c r="AA754" s="316" t="str">
        <f t="shared" ca="1" si="343"/>
        <v/>
      </c>
      <c r="AC754" s="310" t="e">
        <f t="shared" ca="1" si="344"/>
        <v>#N/A</v>
      </c>
      <c r="AD754" s="323" t="e">
        <f t="shared" ca="1" si="345"/>
        <v>#N/A</v>
      </c>
      <c r="AE754" s="324" t="e">
        <f t="shared" ca="1" si="324"/>
        <v>#N/A</v>
      </c>
      <c r="AG754" s="306">
        <f t="shared" ca="1" si="346"/>
        <v>3.8170506592040354E-2</v>
      </c>
      <c r="AH754" s="304">
        <f t="shared" ca="1" si="347"/>
        <v>-9.7665123431887846</v>
      </c>
    </row>
    <row r="755" spans="1:34" x14ac:dyDescent="0.25">
      <c r="A755" s="347">
        <f t="shared" ca="1" si="325"/>
        <v>1E-4</v>
      </c>
      <c r="B755" s="304">
        <f t="shared" ca="1" si="326"/>
        <v>47.115700000000892</v>
      </c>
      <c r="D755" s="306">
        <f t="shared" ca="1" si="327"/>
        <v>-0.32151237400043581</v>
      </c>
      <c r="E755" s="307">
        <f t="shared" ca="1" si="328"/>
        <v>-4.8768582690891904E-2</v>
      </c>
      <c r="F755" s="304">
        <f t="shared" ca="1" si="329"/>
        <v>0.32519006948717616</v>
      </c>
      <c r="G755" s="306">
        <f t="shared" ca="1" si="330"/>
        <v>4.0359986459279069</v>
      </c>
      <c r="H755" s="307">
        <f t="shared" ca="1" si="331"/>
        <v>-122.53535282730351</v>
      </c>
      <c r="I755" s="304">
        <f t="shared" ca="1" si="332"/>
        <v>122.601802505435</v>
      </c>
      <c r="J755" s="306">
        <f t="shared" ca="1" si="333"/>
        <v>677.64536374242232</v>
      </c>
      <c r="K755" s="307">
        <f t="shared" ca="1" si="334"/>
        <v>-11.617461638566812</v>
      </c>
      <c r="L755" s="304">
        <f t="shared" ca="1" si="319"/>
        <v>677.74494053185185</v>
      </c>
      <c r="M755" s="306">
        <f t="shared" ca="1" si="335"/>
        <v>-1.5378708078669365</v>
      </c>
      <c r="N755" s="304">
        <f t="shared" ca="1" si="336"/>
        <v>-88.113506727149783</v>
      </c>
      <c r="P755" s="310">
        <f t="shared" ca="1" si="337"/>
        <v>23</v>
      </c>
      <c r="Q755" s="304">
        <f t="shared" ca="1" si="338"/>
        <v>0</v>
      </c>
      <c r="R755" s="306">
        <f t="shared" ca="1" si="339"/>
        <v>0</v>
      </c>
      <c r="S755" s="307">
        <f t="shared" ca="1" si="340"/>
        <v>2.0842999999999985</v>
      </c>
      <c r="T755" s="304">
        <f t="shared" ca="1" si="320"/>
        <v>20.446982999999985</v>
      </c>
      <c r="U755" s="311">
        <f t="shared" ca="1" si="321"/>
        <v>0</v>
      </c>
      <c r="V755" s="306">
        <f t="shared" ca="1" si="322"/>
        <v>1.2264239661943561</v>
      </c>
      <c r="W755" s="304">
        <f t="shared" ca="1" si="323"/>
        <v>20.356394099083872</v>
      </c>
      <c r="Y755" s="314" t="str">
        <f t="shared" ca="1" si="341"/>
        <v/>
      </c>
      <c r="Z755" s="315" t="str">
        <f t="shared" ca="1" si="342"/>
        <v/>
      </c>
      <c r="AA755" s="316" t="str">
        <f t="shared" ca="1" si="343"/>
        <v/>
      </c>
      <c r="AC755" s="310" t="e">
        <f t="shared" ca="1" si="344"/>
        <v>#N/A</v>
      </c>
      <c r="AD755" s="323" t="e">
        <f t="shared" ca="1" si="345"/>
        <v>#N/A</v>
      </c>
      <c r="AE755" s="324" t="e">
        <f t="shared" ca="1" si="324"/>
        <v>#N/A</v>
      </c>
      <c r="AG755" s="306">
        <f t="shared" ca="1" si="346"/>
        <v>3.8158016080874546E-2</v>
      </c>
      <c r="AH755" s="304">
        <f t="shared" ca="1" si="347"/>
        <v>-9.7665249187670522</v>
      </c>
    </row>
    <row r="756" spans="1:34" x14ac:dyDescent="0.25">
      <c r="A756" s="347">
        <f t="shared" ca="1" si="325"/>
        <v>1E-4</v>
      </c>
      <c r="B756" s="304">
        <f t="shared" ca="1" si="326"/>
        <v>47.115800000000895</v>
      </c>
      <c r="D756" s="306">
        <f t="shared" ca="1" si="327"/>
        <v>-0.32151021678574832</v>
      </c>
      <c r="E756" s="307">
        <f t="shared" ca="1" si="328"/>
        <v>-4.8755929422032551E-2</v>
      </c>
      <c r="F756" s="304">
        <f t="shared" ca="1" si="329"/>
        <v>0.32518603929354822</v>
      </c>
      <c r="G756" s="306">
        <f t="shared" ca="1" si="330"/>
        <v>4.0359664949062282</v>
      </c>
      <c r="H756" s="307">
        <f t="shared" ca="1" si="331"/>
        <v>-122.53535770289645</v>
      </c>
      <c r="I756" s="304">
        <f t="shared" ca="1" si="332"/>
        <v>122.60180631999184</v>
      </c>
      <c r="J756" s="306">
        <f t="shared" ca="1" si="333"/>
        <v>677.64536374242232</v>
      </c>
      <c r="K756" s="307">
        <f t="shared" ca="1" si="334"/>
        <v>-11.629715174093322</v>
      </c>
      <c r="L756" s="304">
        <f t="shared" ca="1" si="319"/>
        <v>677.74515068470271</v>
      </c>
      <c r="M756" s="306">
        <f t="shared" ca="1" si="335"/>
        <v>-1.5378710712733197</v>
      </c>
      <c r="N756" s="304">
        <f t="shared" ca="1" si="336"/>
        <v>-88.113521819223834</v>
      </c>
      <c r="P756" s="310">
        <f t="shared" ca="1" si="337"/>
        <v>23</v>
      </c>
      <c r="Q756" s="304">
        <f t="shared" ca="1" si="338"/>
        <v>0</v>
      </c>
      <c r="R756" s="306">
        <f t="shared" ca="1" si="339"/>
        <v>0</v>
      </c>
      <c r="S756" s="307">
        <f t="shared" ca="1" si="340"/>
        <v>2.0842999999999985</v>
      </c>
      <c r="T756" s="304">
        <f t="shared" ca="1" si="320"/>
        <v>20.446982999999985</v>
      </c>
      <c r="U756" s="311">
        <f t="shared" ca="1" si="321"/>
        <v>0</v>
      </c>
      <c r="V756" s="306">
        <f t="shared" ca="1" si="322"/>
        <v>1.226425468998749</v>
      </c>
      <c r="W756" s="304">
        <f t="shared" ca="1" si="323"/>
        <v>20.356420309601564</v>
      </c>
      <c r="Y756" s="314" t="str">
        <f t="shared" ca="1" si="341"/>
        <v/>
      </c>
      <c r="Z756" s="315" t="str">
        <f t="shared" ca="1" si="342"/>
        <v/>
      </c>
      <c r="AA756" s="316" t="str">
        <f t="shared" ca="1" si="343"/>
        <v/>
      </c>
      <c r="AC756" s="310" t="e">
        <f t="shared" ca="1" si="344"/>
        <v>#N/A</v>
      </c>
      <c r="AD756" s="323" t="e">
        <f t="shared" ca="1" si="345"/>
        <v>#N/A</v>
      </c>
      <c r="AE756" s="324" t="e">
        <f t="shared" ca="1" si="324"/>
        <v>#N/A</v>
      </c>
      <c r="AG756" s="306">
        <f t="shared" ca="1" si="346"/>
        <v>3.8145525750692855E-2</v>
      </c>
      <c r="AH756" s="304">
        <f t="shared" ca="1" si="347"/>
        <v>-9.7665374941629732</v>
      </c>
    </row>
    <row r="757" spans="1:34" x14ac:dyDescent="0.25">
      <c r="A757" s="347">
        <f t="shared" ca="1" si="325"/>
        <v>1E-4</v>
      </c>
      <c r="B757" s="304">
        <f t="shared" ca="1" si="326"/>
        <v>47.115900000000899</v>
      </c>
      <c r="D757" s="306">
        <f t="shared" ca="1" si="327"/>
        <v>-0.32150805957905776</v>
      </c>
      <c r="E757" s="307">
        <f t="shared" ca="1" si="328"/>
        <v>-4.8743276336537633E-2</v>
      </c>
      <c r="F757" s="304">
        <f t="shared" ca="1" si="329"/>
        <v>0.32518200959202986</v>
      </c>
      <c r="G757" s="306">
        <f t="shared" ca="1" si="330"/>
        <v>4.0359343441002702</v>
      </c>
      <c r="H757" s="307">
        <f t="shared" ca="1" si="331"/>
        <v>-122.53536257722408</v>
      </c>
      <c r="I757" s="304">
        <f t="shared" ca="1" si="332"/>
        <v>122.60181013329964</v>
      </c>
      <c r="J757" s="306">
        <f t="shared" ca="1" si="333"/>
        <v>677.64536374242232</v>
      </c>
      <c r="K757" s="307">
        <f t="shared" ca="1" si="334"/>
        <v>-11.641968710107328</v>
      </c>
      <c r="L757" s="304">
        <f t="shared" ca="1" si="319"/>
        <v>677.74536105903883</v>
      </c>
      <c r="M757" s="306">
        <f t="shared" ca="1" si="335"/>
        <v>-1.5378713346775883</v>
      </c>
      <c r="N757" s="304">
        <f t="shared" ca="1" si="336"/>
        <v>-88.113536911176737</v>
      </c>
      <c r="P757" s="310">
        <f t="shared" ca="1" si="337"/>
        <v>23</v>
      </c>
      <c r="Q757" s="304">
        <f t="shared" ca="1" si="338"/>
        <v>0</v>
      </c>
      <c r="R757" s="306">
        <f t="shared" ca="1" si="339"/>
        <v>0</v>
      </c>
      <c r="S757" s="307">
        <f t="shared" ca="1" si="340"/>
        <v>2.0842999999999985</v>
      </c>
      <c r="T757" s="304">
        <f t="shared" ca="1" si="320"/>
        <v>20.446982999999985</v>
      </c>
      <c r="U757" s="311">
        <f t="shared" ca="1" si="321"/>
        <v>0</v>
      </c>
      <c r="V757" s="306">
        <f t="shared" ca="1" si="322"/>
        <v>1.2264269718050436</v>
      </c>
      <c r="W757" s="304">
        <f t="shared" ca="1" si="323"/>
        <v>20.356446519739183</v>
      </c>
      <c r="Y757" s="314" t="str">
        <f t="shared" ca="1" si="341"/>
        <v/>
      </c>
      <c r="Z757" s="315" t="str">
        <f t="shared" ca="1" si="342"/>
        <v/>
      </c>
      <c r="AA757" s="316" t="str">
        <f t="shared" ca="1" si="343"/>
        <v/>
      </c>
      <c r="AC757" s="310" t="e">
        <f t="shared" ca="1" si="344"/>
        <v>#N/A</v>
      </c>
      <c r="AD757" s="323" t="e">
        <f t="shared" ca="1" si="345"/>
        <v>#N/A</v>
      </c>
      <c r="AE757" s="324" t="e">
        <f t="shared" ca="1" si="324"/>
        <v>#N/A</v>
      </c>
      <c r="AG757" s="306">
        <f t="shared" ca="1" si="346"/>
        <v>3.813303560147574E-2</v>
      </c>
      <c r="AH757" s="304">
        <f t="shared" ca="1" si="347"/>
        <v>-9.7665500693765672</v>
      </c>
    </row>
    <row r="758" spans="1:34" x14ac:dyDescent="0.25">
      <c r="A758" s="347">
        <f t="shared" ca="1" si="325"/>
        <v>1E-4</v>
      </c>
      <c r="B758" s="304">
        <f t="shared" ca="1" si="326"/>
        <v>47.116000000000902</v>
      </c>
      <c r="D758" s="306">
        <f t="shared" ca="1" si="327"/>
        <v>-0.32150590238036136</v>
      </c>
      <c r="E758" s="307">
        <f t="shared" ca="1" si="328"/>
        <v>-4.8730623434437348E-2</v>
      </c>
      <c r="F758" s="304">
        <f t="shared" ca="1" si="329"/>
        <v>0.32517798038261969</v>
      </c>
      <c r="G758" s="306">
        <f t="shared" ca="1" si="330"/>
        <v>4.0359021935100321</v>
      </c>
      <c r="H758" s="307">
        <f t="shared" ca="1" si="331"/>
        <v>-122.53536745028642</v>
      </c>
      <c r="I758" s="304">
        <f t="shared" ca="1" si="332"/>
        <v>122.60181394535844</v>
      </c>
      <c r="J758" s="306">
        <f t="shared" ca="1" si="333"/>
        <v>677.64536374242232</v>
      </c>
      <c r="K758" s="307">
        <f t="shared" ca="1" si="334"/>
        <v>-11.654222246608704</v>
      </c>
      <c r="L758" s="304">
        <f t="shared" ca="1" si="319"/>
        <v>677.74557165486021</v>
      </c>
      <c r="M758" s="306">
        <f t="shared" ca="1" si="335"/>
        <v>-1.5378715980797422</v>
      </c>
      <c r="N758" s="304">
        <f t="shared" ca="1" si="336"/>
        <v>-88.113552003008465</v>
      </c>
      <c r="P758" s="310">
        <f t="shared" ca="1" si="337"/>
        <v>23</v>
      </c>
      <c r="Q758" s="304">
        <f t="shared" ca="1" si="338"/>
        <v>0</v>
      </c>
      <c r="R758" s="306">
        <f t="shared" ca="1" si="339"/>
        <v>0</v>
      </c>
      <c r="S758" s="307">
        <f t="shared" ca="1" si="340"/>
        <v>2.0842999999999985</v>
      </c>
      <c r="T758" s="304">
        <f t="shared" ca="1" si="320"/>
        <v>20.446982999999985</v>
      </c>
      <c r="U758" s="311">
        <f t="shared" ca="1" si="321"/>
        <v>0</v>
      </c>
      <c r="V758" s="306">
        <f t="shared" ca="1" si="322"/>
        <v>1.2264284746132403</v>
      </c>
      <c r="W758" s="304">
        <f t="shared" ca="1" si="323"/>
        <v>20.356472729496765</v>
      </c>
      <c r="Y758" s="314" t="str">
        <f t="shared" ca="1" si="341"/>
        <v/>
      </c>
      <c r="Z758" s="315" t="str">
        <f t="shared" ca="1" si="342"/>
        <v/>
      </c>
      <c r="AA758" s="316" t="str">
        <f t="shared" ca="1" si="343"/>
        <v/>
      </c>
      <c r="AC758" s="310" t="e">
        <f t="shared" ca="1" si="344"/>
        <v>#N/A</v>
      </c>
      <c r="AD758" s="323" t="e">
        <f t="shared" ca="1" si="345"/>
        <v>#N/A</v>
      </c>
      <c r="AE758" s="324" t="e">
        <f t="shared" ca="1" si="324"/>
        <v>#N/A</v>
      </c>
      <c r="AG758" s="306">
        <f t="shared" ca="1" si="346"/>
        <v>3.8120545633246294E-2</v>
      </c>
      <c r="AH758" s="304">
        <f t="shared" ca="1" si="347"/>
        <v>-9.7665626444078093</v>
      </c>
    </row>
    <row r="759" spans="1:34" x14ac:dyDescent="0.25">
      <c r="A759" s="347">
        <f t="shared" ca="1" si="325"/>
        <v>1E-4</v>
      </c>
      <c r="B759" s="304">
        <f t="shared" ca="1" si="326"/>
        <v>47.116100000000905</v>
      </c>
      <c r="D759" s="306">
        <f t="shared" ca="1" si="327"/>
        <v>-0.32150374518966213</v>
      </c>
      <c r="E759" s="307">
        <f t="shared" ca="1" si="328"/>
        <v>-4.8717970715708603E-2</v>
      </c>
      <c r="F759" s="304">
        <f t="shared" ca="1" si="329"/>
        <v>0.32517395166531382</v>
      </c>
      <c r="G759" s="306">
        <f t="shared" ca="1" si="330"/>
        <v>4.035870043135513</v>
      </c>
      <c r="H759" s="307">
        <f t="shared" ca="1" si="331"/>
        <v>-122.53537232208349</v>
      </c>
      <c r="I759" s="304">
        <f t="shared" ca="1" si="332"/>
        <v>122.6018177561683</v>
      </c>
      <c r="J759" s="306">
        <f t="shared" ca="1" si="333"/>
        <v>677.64536374242232</v>
      </c>
      <c r="K759" s="307">
        <f t="shared" ca="1" si="334"/>
        <v>-11.666475783597322</v>
      </c>
      <c r="L759" s="304">
        <f t="shared" ca="1" si="319"/>
        <v>677.74578247216641</v>
      </c>
      <c r="M759" s="306">
        <f t="shared" ca="1" si="335"/>
        <v>-1.5378718614797813</v>
      </c>
      <c r="N759" s="304">
        <f t="shared" ca="1" si="336"/>
        <v>-88.113567094719031</v>
      </c>
      <c r="P759" s="310">
        <f t="shared" ca="1" si="337"/>
        <v>23</v>
      </c>
      <c r="Q759" s="304">
        <f t="shared" ca="1" si="338"/>
        <v>0</v>
      </c>
      <c r="R759" s="306">
        <f t="shared" ca="1" si="339"/>
        <v>0</v>
      </c>
      <c r="S759" s="307">
        <f t="shared" ca="1" si="340"/>
        <v>2.0842999999999985</v>
      </c>
      <c r="T759" s="304">
        <f t="shared" ca="1" si="320"/>
        <v>20.446982999999985</v>
      </c>
      <c r="U759" s="311">
        <f t="shared" ca="1" si="321"/>
        <v>0</v>
      </c>
      <c r="V759" s="306">
        <f t="shared" ca="1" si="322"/>
        <v>1.2264299774233396</v>
      </c>
      <c r="W759" s="304">
        <f t="shared" ca="1" si="323"/>
        <v>20.356498938874324</v>
      </c>
      <c r="Y759" s="314" t="str">
        <f t="shared" ca="1" si="341"/>
        <v/>
      </c>
      <c r="Z759" s="315" t="str">
        <f t="shared" ca="1" si="342"/>
        <v/>
      </c>
      <c r="AA759" s="316" t="str">
        <f t="shared" ca="1" si="343"/>
        <v/>
      </c>
      <c r="AC759" s="310" t="e">
        <f t="shared" ca="1" si="344"/>
        <v>#N/A</v>
      </c>
      <c r="AD759" s="323" t="e">
        <f t="shared" ca="1" si="345"/>
        <v>#N/A</v>
      </c>
      <c r="AE759" s="324" t="e">
        <f t="shared" ca="1" si="324"/>
        <v>#N/A</v>
      </c>
      <c r="AG759" s="306">
        <f t="shared" ca="1" si="346"/>
        <v>3.8108055845988531E-2</v>
      </c>
      <c r="AH759" s="304">
        <f t="shared" ca="1" si="347"/>
        <v>-9.766575219256719</v>
      </c>
    </row>
    <row r="760" spans="1:34" x14ac:dyDescent="0.25">
      <c r="A760" s="347">
        <f t="shared" ca="1" si="325"/>
        <v>1E-4</v>
      </c>
      <c r="B760" s="304">
        <f t="shared" ca="1" si="326"/>
        <v>47.116200000000909</v>
      </c>
      <c r="D760" s="306">
        <f t="shared" ca="1" si="327"/>
        <v>-0.32150158800696049</v>
      </c>
      <c r="E760" s="307">
        <f t="shared" ca="1" si="328"/>
        <v>-4.8705318180347845E-2</v>
      </c>
      <c r="F760" s="304">
        <f t="shared" ca="1" si="329"/>
        <v>0.32516992344010892</v>
      </c>
      <c r="G760" s="306">
        <f t="shared" ca="1" si="330"/>
        <v>4.035837892976712</v>
      </c>
      <c r="H760" s="307">
        <f t="shared" ca="1" si="331"/>
        <v>-122.53537719261531</v>
      </c>
      <c r="I760" s="304">
        <f t="shared" ca="1" si="332"/>
        <v>122.60182156572918</v>
      </c>
      <c r="J760" s="306">
        <f t="shared" ca="1" si="333"/>
        <v>677.64536374242232</v>
      </c>
      <c r="K760" s="307">
        <f t="shared" ca="1" si="334"/>
        <v>-11.678729321073057</v>
      </c>
      <c r="L760" s="304">
        <f t="shared" ca="1" si="319"/>
        <v>677.74599351095742</v>
      </c>
      <c r="M760" s="306">
        <f t="shared" ca="1" si="335"/>
        <v>-1.5378721248777059</v>
      </c>
      <c r="N760" s="304">
        <f t="shared" ca="1" si="336"/>
        <v>-88.113582186308435</v>
      </c>
      <c r="P760" s="310">
        <f t="shared" ca="1" si="337"/>
        <v>23</v>
      </c>
      <c r="Q760" s="304">
        <f t="shared" ca="1" si="338"/>
        <v>0</v>
      </c>
      <c r="R760" s="306">
        <f t="shared" ca="1" si="339"/>
        <v>0</v>
      </c>
      <c r="S760" s="307">
        <f t="shared" ca="1" si="340"/>
        <v>2.0842999999999985</v>
      </c>
      <c r="T760" s="304">
        <f t="shared" ca="1" si="320"/>
        <v>20.446982999999985</v>
      </c>
      <c r="U760" s="311">
        <f t="shared" ca="1" si="321"/>
        <v>0</v>
      </c>
      <c r="V760" s="306">
        <f t="shared" ca="1" si="322"/>
        <v>1.2264314802353413</v>
      </c>
      <c r="W760" s="304">
        <f t="shared" ca="1" si="323"/>
        <v>20.356525147871839</v>
      </c>
      <c r="Y760" s="314" t="str">
        <f t="shared" ca="1" si="341"/>
        <v/>
      </c>
      <c r="Z760" s="315" t="str">
        <f t="shared" ca="1" si="342"/>
        <v/>
      </c>
      <c r="AA760" s="316" t="str">
        <f t="shared" ca="1" si="343"/>
        <v/>
      </c>
      <c r="AC760" s="310" t="e">
        <f t="shared" ca="1" si="344"/>
        <v>#N/A</v>
      </c>
      <c r="AD760" s="323" t="e">
        <f t="shared" ca="1" si="345"/>
        <v>#N/A</v>
      </c>
      <c r="AE760" s="324" t="e">
        <f t="shared" ca="1" si="324"/>
        <v>#N/A</v>
      </c>
      <c r="AG760" s="306">
        <f t="shared" ca="1" si="346"/>
        <v>3.8095566239690015E-2</v>
      </c>
      <c r="AH760" s="304">
        <f t="shared" ca="1" si="347"/>
        <v>-9.7665877939233017</v>
      </c>
    </row>
    <row r="761" spans="1:34" x14ac:dyDescent="0.25">
      <c r="A761" s="347">
        <f t="shared" ca="1" si="325"/>
        <v>1E-4</v>
      </c>
      <c r="B761" s="304">
        <f t="shared" ca="1" si="326"/>
        <v>47.116300000000912</v>
      </c>
      <c r="D761" s="306">
        <f t="shared" ca="1" si="327"/>
        <v>-0.32149943083225424</v>
      </c>
      <c r="E761" s="307">
        <f t="shared" ca="1" si="328"/>
        <v>-4.8692665828363957E-2</v>
      </c>
      <c r="F761" s="304">
        <f t="shared" ca="1" si="329"/>
        <v>0.32516589570700083</v>
      </c>
      <c r="G761" s="306">
        <f t="shared" ca="1" si="330"/>
        <v>4.0358057430336292</v>
      </c>
      <c r="H761" s="307">
        <f t="shared" ca="1" si="331"/>
        <v>-122.5353820618819</v>
      </c>
      <c r="I761" s="304">
        <f t="shared" ca="1" si="332"/>
        <v>122.60182537404111</v>
      </c>
      <c r="J761" s="306">
        <f t="shared" ca="1" si="333"/>
        <v>677.64536374242232</v>
      </c>
      <c r="K761" s="307">
        <f t="shared" ca="1" si="334"/>
        <v>-11.690982859035781</v>
      </c>
      <c r="L761" s="304">
        <f t="shared" ca="1" si="319"/>
        <v>677.74620477123301</v>
      </c>
      <c r="M761" s="306">
        <f t="shared" ca="1" si="335"/>
        <v>-1.5378723882735159</v>
      </c>
      <c r="N761" s="304">
        <f t="shared" ca="1" si="336"/>
        <v>-88.113597277776691</v>
      </c>
      <c r="P761" s="310">
        <f t="shared" ca="1" si="337"/>
        <v>23</v>
      </c>
      <c r="Q761" s="304">
        <f t="shared" ca="1" si="338"/>
        <v>0</v>
      </c>
      <c r="R761" s="306">
        <f t="shared" ca="1" si="339"/>
        <v>0</v>
      </c>
      <c r="S761" s="307">
        <f t="shared" ca="1" si="340"/>
        <v>2.0842999999999985</v>
      </c>
      <c r="T761" s="304">
        <f t="shared" ca="1" si="320"/>
        <v>20.446982999999985</v>
      </c>
      <c r="U761" s="311">
        <f t="shared" ca="1" si="321"/>
        <v>0</v>
      </c>
      <c r="V761" s="306">
        <f t="shared" ca="1" si="322"/>
        <v>1.2264329830492453</v>
      </c>
      <c r="W761" s="304">
        <f t="shared" ca="1" si="323"/>
        <v>20.356551356489327</v>
      </c>
      <c r="Y761" s="314" t="str">
        <f t="shared" ca="1" si="341"/>
        <v/>
      </c>
      <c r="Z761" s="315" t="str">
        <f t="shared" ca="1" si="342"/>
        <v/>
      </c>
      <c r="AA761" s="316" t="str">
        <f t="shared" ca="1" si="343"/>
        <v/>
      </c>
      <c r="AC761" s="310" t="e">
        <f t="shared" ca="1" si="344"/>
        <v>#N/A</v>
      </c>
      <c r="AD761" s="323" t="e">
        <f t="shared" ca="1" si="345"/>
        <v>#N/A</v>
      </c>
      <c r="AE761" s="324" t="e">
        <f t="shared" ca="1" si="324"/>
        <v>#N/A</v>
      </c>
      <c r="AG761" s="306">
        <f t="shared" ca="1" si="346"/>
        <v>3.8083076814368511E-2</v>
      </c>
      <c r="AH761" s="304">
        <f t="shared" ca="1" si="347"/>
        <v>-9.7666003684075484</v>
      </c>
    </row>
    <row r="762" spans="1:34" x14ac:dyDescent="0.25">
      <c r="A762" s="347">
        <f t="shared" ca="1" si="325"/>
        <v>1E-4</v>
      </c>
      <c r="B762" s="304">
        <f t="shared" ca="1" si="326"/>
        <v>47.116400000000915</v>
      </c>
      <c r="D762" s="306">
        <f t="shared" ca="1" si="327"/>
        <v>-0.32149727366554376</v>
      </c>
      <c r="E762" s="307">
        <f t="shared" ca="1" si="328"/>
        <v>-4.868001365974628E-2</v>
      </c>
      <c r="F762" s="304">
        <f t="shared" ca="1" si="329"/>
        <v>0.3251618684659851</v>
      </c>
      <c r="G762" s="306">
        <f t="shared" ca="1" si="330"/>
        <v>4.0357735933062626</v>
      </c>
      <c r="H762" s="307">
        <f t="shared" ca="1" si="331"/>
        <v>-122.53538692988327</v>
      </c>
      <c r="I762" s="304">
        <f t="shared" ca="1" si="332"/>
        <v>122.60182918110414</v>
      </c>
      <c r="J762" s="306">
        <f t="shared" ca="1" si="333"/>
        <v>677.64536374242232</v>
      </c>
      <c r="K762" s="307">
        <f t="shared" ca="1" si="334"/>
        <v>-11.703236397485369</v>
      </c>
      <c r="L762" s="304">
        <f t="shared" ca="1" si="319"/>
        <v>677.74641625299296</v>
      </c>
      <c r="M762" s="306">
        <f t="shared" ca="1" si="335"/>
        <v>-1.5378726516672112</v>
      </c>
      <c r="N762" s="304">
        <f t="shared" ca="1" si="336"/>
        <v>-88.113612369123786</v>
      </c>
      <c r="P762" s="310">
        <f t="shared" ca="1" si="337"/>
        <v>23</v>
      </c>
      <c r="Q762" s="304">
        <f t="shared" ca="1" si="338"/>
        <v>0</v>
      </c>
      <c r="R762" s="306">
        <f t="shared" ca="1" si="339"/>
        <v>0</v>
      </c>
      <c r="S762" s="307">
        <f t="shared" ca="1" si="340"/>
        <v>2.0842999999999985</v>
      </c>
      <c r="T762" s="304">
        <f t="shared" ca="1" si="320"/>
        <v>20.446982999999985</v>
      </c>
      <c r="U762" s="311">
        <f t="shared" ca="1" si="321"/>
        <v>0</v>
      </c>
      <c r="V762" s="306">
        <f t="shared" ca="1" si="322"/>
        <v>1.2264344858650515</v>
      </c>
      <c r="W762" s="304">
        <f t="shared" ca="1" si="323"/>
        <v>20.356577564726791</v>
      </c>
      <c r="Y762" s="314" t="str">
        <f t="shared" ca="1" si="341"/>
        <v/>
      </c>
      <c r="Z762" s="315" t="str">
        <f t="shared" ca="1" si="342"/>
        <v/>
      </c>
      <c r="AA762" s="316" t="str">
        <f t="shared" ca="1" si="343"/>
        <v/>
      </c>
      <c r="AC762" s="310" t="e">
        <f t="shared" ca="1" si="344"/>
        <v>#N/A</v>
      </c>
      <c r="AD762" s="323" t="e">
        <f t="shared" ca="1" si="345"/>
        <v>#N/A</v>
      </c>
      <c r="AE762" s="324" t="e">
        <f t="shared" ca="1" si="324"/>
        <v>#N/A</v>
      </c>
      <c r="AG762" s="306">
        <f t="shared" ca="1" si="346"/>
        <v>3.8070587570011583E-2</v>
      </c>
      <c r="AH762" s="304">
        <f t="shared" ca="1" si="347"/>
        <v>-9.7666129427094663</v>
      </c>
    </row>
    <row r="763" spans="1:34" x14ac:dyDescent="0.25">
      <c r="A763" s="347">
        <f t="shared" ca="1" si="325"/>
        <v>1E-4</v>
      </c>
      <c r="B763" s="304">
        <f t="shared" ca="1" si="326"/>
        <v>47.116500000000919</v>
      </c>
      <c r="D763" s="306">
        <f t="shared" ca="1" si="327"/>
        <v>-0.32149511650683166</v>
      </c>
      <c r="E763" s="307">
        <f t="shared" ca="1" si="328"/>
        <v>-4.866736167449659E-2</v>
      </c>
      <c r="F763" s="304">
        <f t="shared" ca="1" si="329"/>
        <v>0.32515784171706136</v>
      </c>
      <c r="G763" s="306">
        <f t="shared" ca="1" si="330"/>
        <v>4.0357414437946115</v>
      </c>
      <c r="H763" s="307">
        <f t="shared" ca="1" si="331"/>
        <v>-122.53539179661944</v>
      </c>
      <c r="I763" s="304">
        <f t="shared" ca="1" si="332"/>
        <v>122.60183298691823</v>
      </c>
      <c r="J763" s="306">
        <f t="shared" ca="1" si="333"/>
        <v>677.64536374242232</v>
      </c>
      <c r="K763" s="307">
        <f t="shared" ca="1" si="334"/>
        <v>-11.715489936421694</v>
      </c>
      <c r="L763" s="304">
        <f t="shared" ca="1" si="319"/>
        <v>677.74662795623726</v>
      </c>
      <c r="M763" s="306">
        <f t="shared" ca="1" si="335"/>
        <v>-1.5378729150587918</v>
      </c>
      <c r="N763" s="304">
        <f t="shared" ca="1" si="336"/>
        <v>-88.113627460349718</v>
      </c>
      <c r="P763" s="310">
        <f t="shared" ca="1" si="337"/>
        <v>23</v>
      </c>
      <c r="Q763" s="304">
        <f t="shared" ca="1" si="338"/>
        <v>0</v>
      </c>
      <c r="R763" s="306">
        <f t="shared" ca="1" si="339"/>
        <v>0</v>
      </c>
      <c r="S763" s="307">
        <f t="shared" ca="1" si="340"/>
        <v>2.0842999999999985</v>
      </c>
      <c r="T763" s="304">
        <f t="shared" ca="1" si="320"/>
        <v>20.446982999999985</v>
      </c>
      <c r="U763" s="311">
        <f t="shared" ca="1" si="321"/>
        <v>0</v>
      </c>
      <c r="V763" s="306">
        <f t="shared" ca="1" si="322"/>
        <v>1.2264359886827598</v>
      </c>
      <c r="W763" s="304">
        <f t="shared" ca="1" si="323"/>
        <v>20.356603772584226</v>
      </c>
      <c r="Y763" s="314" t="str">
        <f t="shared" ca="1" si="341"/>
        <v/>
      </c>
      <c r="Z763" s="315" t="str">
        <f t="shared" ca="1" si="342"/>
        <v/>
      </c>
      <c r="AA763" s="316" t="str">
        <f t="shared" ca="1" si="343"/>
        <v/>
      </c>
      <c r="AC763" s="310" t="e">
        <f t="shared" ca="1" si="344"/>
        <v>#N/A</v>
      </c>
      <c r="AD763" s="323" t="e">
        <f t="shared" ca="1" si="345"/>
        <v>#N/A</v>
      </c>
      <c r="AE763" s="324" t="e">
        <f t="shared" ca="1" si="324"/>
        <v>#N/A</v>
      </c>
      <c r="AG763" s="306">
        <f t="shared" ca="1" si="346"/>
        <v>3.8058098506615679E-2</v>
      </c>
      <c r="AH763" s="304">
        <f t="shared" ca="1" si="347"/>
        <v>-9.766625516829059</v>
      </c>
    </row>
    <row r="764" spans="1:34" x14ac:dyDescent="0.25">
      <c r="A764" s="347">
        <f t="shared" ca="1" si="325"/>
        <v>1E-4</v>
      </c>
      <c r="B764" s="304">
        <f t="shared" ca="1" si="326"/>
        <v>47.116600000000922</v>
      </c>
      <c r="D764" s="306">
        <f t="shared" ca="1" si="327"/>
        <v>-0.32149295935611782</v>
      </c>
      <c r="E764" s="307">
        <f t="shared" ca="1" si="328"/>
        <v>-4.865470987261844E-2</v>
      </c>
      <c r="F764" s="304">
        <f t="shared" ca="1" si="329"/>
        <v>0.32515381546022659</v>
      </c>
      <c r="G764" s="306">
        <f t="shared" ca="1" si="330"/>
        <v>4.0357092944986759</v>
      </c>
      <c r="H764" s="307">
        <f t="shared" ca="1" si="331"/>
        <v>-122.53539666209042</v>
      </c>
      <c r="I764" s="304">
        <f t="shared" ca="1" si="332"/>
        <v>122.60183679148345</v>
      </c>
      <c r="J764" s="306">
        <f t="shared" ca="1" si="333"/>
        <v>677.64536374242232</v>
      </c>
      <c r="K764" s="307">
        <f t="shared" ca="1" si="334"/>
        <v>-11.72774347584463</v>
      </c>
      <c r="L764" s="304">
        <f t="shared" ca="1" si="319"/>
        <v>677.74683988096547</v>
      </c>
      <c r="M764" s="306">
        <f t="shared" ca="1" si="335"/>
        <v>-1.537873178448258</v>
      </c>
      <c r="N764" s="304">
        <f t="shared" ca="1" si="336"/>
        <v>-88.11364255145449</v>
      </c>
      <c r="P764" s="310">
        <f t="shared" ca="1" si="337"/>
        <v>23</v>
      </c>
      <c r="Q764" s="304">
        <f t="shared" ca="1" si="338"/>
        <v>0</v>
      </c>
      <c r="R764" s="306">
        <f t="shared" ca="1" si="339"/>
        <v>0</v>
      </c>
      <c r="S764" s="307">
        <f t="shared" ca="1" si="340"/>
        <v>2.0842999999999985</v>
      </c>
      <c r="T764" s="304">
        <f t="shared" ca="1" si="320"/>
        <v>20.446982999999985</v>
      </c>
      <c r="U764" s="311">
        <f t="shared" ca="1" si="321"/>
        <v>0</v>
      </c>
      <c r="V764" s="306">
        <f t="shared" ca="1" si="322"/>
        <v>1.2264374915023704</v>
      </c>
      <c r="W764" s="304">
        <f t="shared" ca="1" si="323"/>
        <v>20.356629980061651</v>
      </c>
      <c r="Y764" s="314" t="str">
        <f t="shared" ca="1" si="341"/>
        <v/>
      </c>
      <c r="Z764" s="315" t="str">
        <f t="shared" ca="1" si="342"/>
        <v/>
      </c>
      <c r="AA764" s="316" t="str">
        <f t="shared" ca="1" si="343"/>
        <v/>
      </c>
      <c r="AC764" s="310" t="e">
        <f t="shared" ca="1" si="344"/>
        <v>#N/A</v>
      </c>
      <c r="AD764" s="323" t="e">
        <f t="shared" ca="1" si="345"/>
        <v>#N/A</v>
      </c>
      <c r="AE764" s="324" t="e">
        <f t="shared" ca="1" si="324"/>
        <v>#N/A</v>
      </c>
      <c r="AG764" s="306">
        <f t="shared" ca="1" si="346"/>
        <v>3.804560962418968E-2</v>
      </c>
      <c r="AH764" s="304">
        <f t="shared" ca="1" si="347"/>
        <v>-9.7666380907663193</v>
      </c>
    </row>
    <row r="765" spans="1:34" x14ac:dyDescent="0.25">
      <c r="A765" s="347">
        <f t="shared" ca="1" si="325"/>
        <v>1E-4</v>
      </c>
      <c r="B765" s="304">
        <f t="shared" ca="1" si="326"/>
        <v>47.116700000000925</v>
      </c>
      <c r="D765" s="306">
        <f t="shared" ca="1" si="327"/>
        <v>-0.32149080221339865</v>
      </c>
      <c r="E765" s="307">
        <f t="shared" ca="1" si="328"/>
        <v>-4.8642058254099396E-2</v>
      </c>
      <c r="F765" s="304">
        <f t="shared" ca="1" si="329"/>
        <v>0.3251497896954722</v>
      </c>
      <c r="G765" s="306">
        <f t="shared" ca="1" si="330"/>
        <v>4.0356771454184548</v>
      </c>
      <c r="H765" s="307">
        <f t="shared" ca="1" si="331"/>
        <v>-122.53540152629624</v>
      </c>
      <c r="I765" s="304">
        <f t="shared" ca="1" si="332"/>
        <v>122.60184059479978</v>
      </c>
      <c r="J765" s="306">
        <f t="shared" ca="1" si="333"/>
        <v>677.64536374242232</v>
      </c>
      <c r="K765" s="307">
        <f t="shared" ca="1" si="334"/>
        <v>-11.739997015754049</v>
      </c>
      <c r="L765" s="304">
        <f t="shared" ca="1" si="319"/>
        <v>677.74705202717757</v>
      </c>
      <c r="M765" s="306">
        <f t="shared" ca="1" si="335"/>
        <v>-1.5378734418356097</v>
      </c>
      <c r="N765" s="304">
        <f t="shared" ca="1" si="336"/>
        <v>-88.113657642438127</v>
      </c>
      <c r="P765" s="310">
        <f t="shared" ca="1" si="337"/>
        <v>23</v>
      </c>
      <c r="Q765" s="304">
        <f t="shared" ca="1" si="338"/>
        <v>0</v>
      </c>
      <c r="R765" s="306">
        <f t="shared" ca="1" si="339"/>
        <v>0</v>
      </c>
      <c r="S765" s="307">
        <f t="shared" ca="1" si="340"/>
        <v>2.0842999999999985</v>
      </c>
      <c r="T765" s="304">
        <f t="shared" ca="1" si="320"/>
        <v>20.446982999999985</v>
      </c>
      <c r="U765" s="311">
        <f t="shared" ca="1" si="321"/>
        <v>0</v>
      </c>
      <c r="V765" s="306">
        <f t="shared" ca="1" si="322"/>
        <v>1.2264389943238834</v>
      </c>
      <c r="W765" s="304">
        <f t="shared" ca="1" si="323"/>
        <v>20.356656187159057</v>
      </c>
      <c r="Y765" s="314" t="str">
        <f t="shared" ca="1" si="341"/>
        <v/>
      </c>
      <c r="Z765" s="315" t="str">
        <f t="shared" ca="1" si="342"/>
        <v/>
      </c>
      <c r="AA765" s="316" t="str">
        <f t="shared" ca="1" si="343"/>
        <v/>
      </c>
      <c r="AC765" s="310" t="e">
        <f t="shared" ca="1" si="344"/>
        <v>#N/A</v>
      </c>
      <c r="AD765" s="323" t="e">
        <f t="shared" ca="1" si="345"/>
        <v>#N/A</v>
      </c>
      <c r="AE765" s="324" t="e">
        <f t="shared" ca="1" si="324"/>
        <v>#N/A</v>
      </c>
      <c r="AG765" s="306">
        <f t="shared" ca="1" si="346"/>
        <v>3.8033120922719377E-2</v>
      </c>
      <c r="AH765" s="304">
        <f t="shared" ca="1" si="347"/>
        <v>-9.7666506645212614</v>
      </c>
    </row>
    <row r="766" spans="1:34" x14ac:dyDescent="0.25">
      <c r="A766" s="347">
        <f t="shared" ca="1" si="325"/>
        <v>1E-4</v>
      </c>
      <c r="B766" s="304">
        <f t="shared" ca="1" si="326"/>
        <v>47.116800000000929</v>
      </c>
      <c r="D766" s="306">
        <f t="shared" ca="1" si="327"/>
        <v>-0.32148864507867631</v>
      </c>
      <c r="E766" s="307">
        <f t="shared" ca="1" si="328"/>
        <v>-4.8629406818944787E-2</v>
      </c>
      <c r="F766" s="304">
        <f t="shared" ca="1" si="329"/>
        <v>0.3251457644227978</v>
      </c>
      <c r="G766" s="306">
        <f t="shared" ca="1" si="330"/>
        <v>4.0356449965539465</v>
      </c>
      <c r="H766" s="307">
        <f t="shared" ca="1" si="331"/>
        <v>-122.53540638923693</v>
      </c>
      <c r="I766" s="304">
        <f t="shared" ca="1" si="332"/>
        <v>122.60184439686728</v>
      </c>
      <c r="J766" s="306">
        <f t="shared" ca="1" si="333"/>
        <v>677.64536374242232</v>
      </c>
      <c r="K766" s="307">
        <f t="shared" ca="1" si="334"/>
        <v>-11.752250556149827</v>
      </c>
      <c r="L766" s="304">
        <f t="shared" ca="1" si="319"/>
        <v>677.74726439487335</v>
      </c>
      <c r="M766" s="306">
        <f t="shared" ca="1" si="335"/>
        <v>-1.5378737052208469</v>
      </c>
      <c r="N766" s="304">
        <f t="shared" ca="1" si="336"/>
        <v>-88.113672733300604</v>
      </c>
      <c r="P766" s="310">
        <f t="shared" ca="1" si="337"/>
        <v>23</v>
      </c>
      <c r="Q766" s="304">
        <f t="shared" ca="1" si="338"/>
        <v>0</v>
      </c>
      <c r="R766" s="306">
        <f t="shared" ca="1" si="339"/>
        <v>0</v>
      </c>
      <c r="S766" s="307">
        <f t="shared" ca="1" si="340"/>
        <v>2.0842999999999985</v>
      </c>
      <c r="T766" s="304">
        <f t="shared" ca="1" si="320"/>
        <v>20.446982999999985</v>
      </c>
      <c r="U766" s="311">
        <f t="shared" ca="1" si="321"/>
        <v>0</v>
      </c>
      <c r="V766" s="306">
        <f t="shared" ca="1" si="322"/>
        <v>1.2264404971472986</v>
      </c>
      <c r="W766" s="304">
        <f t="shared" ca="1" si="323"/>
        <v>20.356682393876465</v>
      </c>
      <c r="Y766" s="314" t="str">
        <f t="shared" ca="1" si="341"/>
        <v/>
      </c>
      <c r="Z766" s="315" t="str">
        <f t="shared" ca="1" si="342"/>
        <v/>
      </c>
      <c r="AA766" s="316" t="str">
        <f t="shared" ca="1" si="343"/>
        <v/>
      </c>
      <c r="AC766" s="310" t="e">
        <f t="shared" ca="1" si="344"/>
        <v>#N/A</v>
      </c>
      <c r="AD766" s="323" t="e">
        <f t="shared" ca="1" si="345"/>
        <v>#N/A</v>
      </c>
      <c r="AE766" s="324" t="e">
        <f t="shared" ca="1" si="324"/>
        <v>#N/A</v>
      </c>
      <c r="AG766" s="306">
        <f t="shared" ca="1" si="346"/>
        <v>3.8020632402211874E-2</v>
      </c>
      <c r="AH766" s="304">
        <f t="shared" ca="1" si="347"/>
        <v>-9.7666632380938783</v>
      </c>
    </row>
    <row r="767" spans="1:34" x14ac:dyDescent="0.25">
      <c r="A767" s="347">
        <f t="shared" ca="1" si="325"/>
        <v>1E-4</v>
      </c>
      <c r="B767" s="304">
        <f t="shared" ca="1" si="326"/>
        <v>47.116900000000932</v>
      </c>
      <c r="D767" s="306">
        <f t="shared" ca="1" si="327"/>
        <v>-0.32148648795195145</v>
      </c>
      <c r="E767" s="307">
        <f t="shared" ca="1" si="328"/>
        <v>-4.8616755567143954E-2</v>
      </c>
      <c r="F767" s="304">
        <f t="shared" ca="1" si="329"/>
        <v>0.32514173964219917</v>
      </c>
      <c r="G767" s="306">
        <f t="shared" ca="1" si="330"/>
        <v>4.035612847905151</v>
      </c>
      <c r="H767" s="307">
        <f t="shared" ca="1" si="331"/>
        <v>-122.53541125091249</v>
      </c>
      <c r="I767" s="304">
        <f t="shared" ca="1" si="332"/>
        <v>122.60184819768594</v>
      </c>
      <c r="J767" s="306">
        <f t="shared" ca="1" si="333"/>
        <v>677.64536374242232</v>
      </c>
      <c r="K767" s="307">
        <f t="shared" ca="1" si="334"/>
        <v>-11.764504097031834</v>
      </c>
      <c r="L767" s="304">
        <f t="shared" ca="1" si="319"/>
        <v>677.74747698405258</v>
      </c>
      <c r="M767" s="306">
        <f t="shared" ca="1" si="335"/>
        <v>-1.5378739686039693</v>
      </c>
      <c r="N767" s="304">
        <f t="shared" ca="1" si="336"/>
        <v>-88.113687824041918</v>
      </c>
      <c r="P767" s="310">
        <f t="shared" ca="1" si="337"/>
        <v>23</v>
      </c>
      <c r="Q767" s="304">
        <f t="shared" ca="1" si="338"/>
        <v>0</v>
      </c>
      <c r="R767" s="306">
        <f t="shared" ca="1" si="339"/>
        <v>0</v>
      </c>
      <c r="S767" s="307">
        <f t="shared" ca="1" si="340"/>
        <v>2.0842999999999985</v>
      </c>
      <c r="T767" s="304">
        <f t="shared" ca="1" si="320"/>
        <v>20.446982999999985</v>
      </c>
      <c r="U767" s="311">
        <f t="shared" ca="1" si="321"/>
        <v>0</v>
      </c>
      <c r="V767" s="306">
        <f t="shared" ca="1" si="322"/>
        <v>1.2264419999726157</v>
      </c>
      <c r="W767" s="304">
        <f t="shared" ca="1" si="323"/>
        <v>20.356708600213857</v>
      </c>
      <c r="Y767" s="314" t="str">
        <f t="shared" ca="1" si="341"/>
        <v/>
      </c>
      <c r="Z767" s="315" t="str">
        <f t="shared" ca="1" si="342"/>
        <v/>
      </c>
      <c r="AA767" s="316" t="str">
        <f t="shared" ca="1" si="343"/>
        <v/>
      </c>
      <c r="AC767" s="310" t="e">
        <f t="shared" ca="1" si="344"/>
        <v>#N/A</v>
      </c>
      <c r="AD767" s="323" t="e">
        <f t="shared" ca="1" si="345"/>
        <v>#N/A</v>
      </c>
      <c r="AE767" s="324" t="e">
        <f t="shared" ca="1" si="324"/>
        <v>#N/A</v>
      </c>
      <c r="AG767" s="306">
        <f t="shared" ca="1" si="346"/>
        <v>3.800814406265296E-2</v>
      </c>
      <c r="AH767" s="304">
        <f t="shared" ca="1" si="347"/>
        <v>-9.7666758114841823</v>
      </c>
    </row>
    <row r="768" spans="1:34" x14ac:dyDescent="0.25">
      <c r="A768" s="347">
        <f t="shared" ca="1" si="325"/>
        <v>1E-4</v>
      </c>
      <c r="B768" s="304">
        <f t="shared" ca="1" si="326"/>
        <v>47.117000000000935</v>
      </c>
      <c r="D768" s="306">
        <f t="shared" ca="1" si="327"/>
        <v>-0.32148433083322597</v>
      </c>
      <c r="E768" s="307">
        <f t="shared" ca="1" si="328"/>
        <v>-4.8604104498707557E-2</v>
      </c>
      <c r="F768" s="304">
        <f t="shared" ca="1" si="329"/>
        <v>0.32513771535367647</v>
      </c>
      <c r="G768" s="306">
        <f t="shared" ca="1" si="330"/>
        <v>4.0355806994720673</v>
      </c>
      <c r="H768" s="307">
        <f t="shared" ca="1" si="331"/>
        <v>-122.53541611132295</v>
      </c>
      <c r="I768" s="304">
        <f t="shared" ca="1" si="332"/>
        <v>122.60185199725579</v>
      </c>
      <c r="J768" s="306">
        <f t="shared" ca="1" si="333"/>
        <v>677.64536374242232</v>
      </c>
      <c r="K768" s="307">
        <f t="shared" ca="1" si="334"/>
        <v>-11.776757638399946</v>
      </c>
      <c r="L768" s="304">
        <f t="shared" ca="1" si="319"/>
        <v>677.74768979471514</v>
      </c>
      <c r="M768" s="306">
        <f t="shared" ca="1" si="335"/>
        <v>-1.5378742319849776</v>
      </c>
      <c r="N768" s="304">
        <f t="shared" ca="1" si="336"/>
        <v>-88.113702914662099</v>
      </c>
      <c r="P768" s="310">
        <f t="shared" ca="1" si="337"/>
        <v>23</v>
      </c>
      <c r="Q768" s="304">
        <f t="shared" ca="1" si="338"/>
        <v>0</v>
      </c>
      <c r="R768" s="306">
        <f t="shared" ca="1" si="339"/>
        <v>0</v>
      </c>
      <c r="S768" s="307">
        <f t="shared" ca="1" si="340"/>
        <v>2.0842999999999985</v>
      </c>
      <c r="T768" s="304">
        <f t="shared" ca="1" si="320"/>
        <v>20.446982999999985</v>
      </c>
      <c r="U768" s="311">
        <f t="shared" ca="1" si="321"/>
        <v>0</v>
      </c>
      <c r="V768" s="306">
        <f t="shared" ca="1" si="322"/>
        <v>1.2264435027998353</v>
      </c>
      <c r="W768" s="304">
        <f t="shared" ca="1" si="323"/>
        <v>20.356734806171261</v>
      </c>
      <c r="Y768" s="314" t="str">
        <f t="shared" ca="1" si="341"/>
        <v/>
      </c>
      <c r="Z768" s="315" t="str">
        <f t="shared" ca="1" si="342"/>
        <v/>
      </c>
      <c r="AA768" s="316" t="str">
        <f t="shared" ca="1" si="343"/>
        <v/>
      </c>
      <c r="AC768" s="310" t="e">
        <f t="shared" ca="1" si="344"/>
        <v>#N/A</v>
      </c>
      <c r="AD768" s="323" t="e">
        <f t="shared" ca="1" si="345"/>
        <v>#N/A</v>
      </c>
      <c r="AE768" s="324" t="e">
        <f t="shared" ca="1" si="324"/>
        <v>#N/A</v>
      </c>
      <c r="AG768" s="306">
        <f t="shared" ca="1" si="346"/>
        <v>3.7995655904056846E-2</v>
      </c>
      <c r="AH768" s="304">
        <f t="shared" ca="1" si="347"/>
        <v>-9.7666883846921611</v>
      </c>
    </row>
    <row r="769" spans="1:34" x14ac:dyDescent="0.25">
      <c r="A769" s="347">
        <f t="shared" ca="1" si="325"/>
        <v>1E-4</v>
      </c>
      <c r="B769" s="304">
        <f t="shared" ca="1" si="326"/>
        <v>47.117100000000939</v>
      </c>
      <c r="D769" s="306">
        <f t="shared" ca="1" si="327"/>
        <v>-0.32148217372249421</v>
      </c>
      <c r="E769" s="307">
        <f t="shared" ca="1" si="328"/>
        <v>-4.8591453613621383E-2</v>
      </c>
      <c r="F769" s="304">
        <f t="shared" ca="1" si="329"/>
        <v>0.32513369155721877</v>
      </c>
      <c r="G769" s="306">
        <f t="shared" ca="1" si="330"/>
        <v>4.0355485512546947</v>
      </c>
      <c r="H769" s="307">
        <f t="shared" ca="1" si="331"/>
        <v>-122.53542097046831</v>
      </c>
      <c r="I769" s="304">
        <f t="shared" ca="1" si="332"/>
        <v>122.60185579557684</v>
      </c>
      <c r="J769" s="306">
        <f t="shared" ca="1" si="333"/>
        <v>677.64536374242232</v>
      </c>
      <c r="K769" s="307">
        <f t="shared" ca="1" si="334"/>
        <v>-11.789011180254036</v>
      </c>
      <c r="L769" s="304">
        <f t="shared" ca="1" si="319"/>
        <v>677.74790282686081</v>
      </c>
      <c r="M769" s="306">
        <f t="shared" ca="1" si="335"/>
        <v>-1.5378744953638712</v>
      </c>
      <c r="N769" s="304">
        <f t="shared" ca="1" si="336"/>
        <v>-88.113718005161104</v>
      </c>
      <c r="P769" s="310">
        <f t="shared" ca="1" si="337"/>
        <v>23</v>
      </c>
      <c r="Q769" s="304">
        <f t="shared" ca="1" si="338"/>
        <v>0</v>
      </c>
      <c r="R769" s="306">
        <f t="shared" ca="1" si="339"/>
        <v>0</v>
      </c>
      <c r="S769" s="307">
        <f t="shared" ca="1" si="340"/>
        <v>2.0842999999999985</v>
      </c>
      <c r="T769" s="304">
        <f t="shared" ca="1" si="320"/>
        <v>20.446982999999985</v>
      </c>
      <c r="U769" s="311">
        <f t="shared" ca="1" si="321"/>
        <v>0</v>
      </c>
      <c r="V769" s="306">
        <f t="shared" ca="1" si="322"/>
        <v>1.2264450056289571</v>
      </c>
      <c r="W769" s="304">
        <f t="shared" ca="1" si="323"/>
        <v>20.356761011748667</v>
      </c>
      <c r="Y769" s="314" t="str">
        <f t="shared" ca="1" si="341"/>
        <v/>
      </c>
      <c r="Z769" s="315" t="str">
        <f t="shared" ca="1" si="342"/>
        <v/>
      </c>
      <c r="AA769" s="316" t="str">
        <f t="shared" ca="1" si="343"/>
        <v/>
      </c>
      <c r="AC769" s="310" t="e">
        <f t="shared" ca="1" si="344"/>
        <v>#N/A</v>
      </c>
      <c r="AD769" s="323" t="e">
        <f t="shared" ca="1" si="345"/>
        <v>#N/A</v>
      </c>
      <c r="AE769" s="324" t="e">
        <f t="shared" ca="1" si="324"/>
        <v>#N/A</v>
      </c>
      <c r="AG769" s="306">
        <f t="shared" ca="1" si="346"/>
        <v>3.7983167926407546E-2</v>
      </c>
      <c r="AH769" s="304">
        <f t="shared" ca="1" si="347"/>
        <v>-9.7667009577178305</v>
      </c>
    </row>
    <row r="770" spans="1:34" x14ac:dyDescent="0.25">
      <c r="A770" s="347">
        <f t="shared" ca="1" si="325"/>
        <v>1E-4</v>
      </c>
      <c r="B770" s="304">
        <f t="shared" ca="1" si="326"/>
        <v>47.117200000000942</v>
      </c>
      <c r="D770" s="306">
        <f t="shared" ca="1" si="327"/>
        <v>-0.32148001661976278</v>
      </c>
      <c r="E770" s="307">
        <f t="shared" ca="1" si="328"/>
        <v>-4.8578802911887209E-2</v>
      </c>
      <c r="F770" s="304">
        <f t="shared" ca="1" si="329"/>
        <v>0.32512966825282946</v>
      </c>
      <c r="G770" s="306">
        <f t="shared" ca="1" si="330"/>
        <v>4.0355164032530331</v>
      </c>
      <c r="H770" s="307">
        <f t="shared" ca="1" si="331"/>
        <v>-122.53542582834859</v>
      </c>
      <c r="I770" s="304">
        <f t="shared" ca="1" si="332"/>
        <v>122.60185959264909</v>
      </c>
      <c r="J770" s="306">
        <f t="shared" ca="1" si="333"/>
        <v>677.64536374242232</v>
      </c>
      <c r="K770" s="307">
        <f t="shared" ca="1" si="334"/>
        <v>-11.801264722593977</v>
      </c>
      <c r="L770" s="304">
        <f t="shared" ca="1" si="319"/>
        <v>677.74811608048947</v>
      </c>
      <c r="M770" s="306">
        <f t="shared" ca="1" si="335"/>
        <v>-1.5378747587406505</v>
      </c>
      <c r="N770" s="304">
        <f t="shared" ca="1" si="336"/>
        <v>-88.113733095538976</v>
      </c>
      <c r="P770" s="310">
        <f t="shared" ca="1" si="337"/>
        <v>23</v>
      </c>
      <c r="Q770" s="304">
        <f t="shared" ca="1" si="338"/>
        <v>0</v>
      </c>
      <c r="R770" s="306">
        <f t="shared" ca="1" si="339"/>
        <v>0</v>
      </c>
      <c r="S770" s="307">
        <f t="shared" ca="1" si="340"/>
        <v>2.0842999999999985</v>
      </c>
      <c r="T770" s="304">
        <f t="shared" ca="1" si="320"/>
        <v>20.446982999999985</v>
      </c>
      <c r="U770" s="311">
        <f t="shared" ca="1" si="321"/>
        <v>0</v>
      </c>
      <c r="V770" s="306">
        <f t="shared" ca="1" si="322"/>
        <v>1.2264465084599809</v>
      </c>
      <c r="W770" s="304">
        <f t="shared" ca="1" si="323"/>
        <v>20.356787216946074</v>
      </c>
      <c r="Y770" s="314" t="str">
        <f t="shared" ca="1" si="341"/>
        <v/>
      </c>
      <c r="Z770" s="315" t="str">
        <f t="shared" ca="1" si="342"/>
        <v/>
      </c>
      <c r="AA770" s="316" t="str">
        <f t="shared" ca="1" si="343"/>
        <v/>
      </c>
      <c r="AC770" s="310" t="e">
        <f t="shared" ca="1" si="344"/>
        <v>#N/A</v>
      </c>
      <c r="AD770" s="323" t="e">
        <f t="shared" ca="1" si="345"/>
        <v>#N/A</v>
      </c>
      <c r="AE770" s="324" t="e">
        <f t="shared" ca="1" si="324"/>
        <v>#N/A</v>
      </c>
      <c r="AG770" s="306">
        <f t="shared" ca="1" si="346"/>
        <v>3.7970680129706835E-2</v>
      </c>
      <c r="AH770" s="304">
        <f t="shared" ca="1" si="347"/>
        <v>-9.7667135305611872</v>
      </c>
    </row>
    <row r="771" spans="1:34" x14ac:dyDescent="0.25">
      <c r="A771" s="347">
        <f t="shared" ca="1" si="325"/>
        <v>1E-4</v>
      </c>
      <c r="B771" s="304">
        <f t="shared" ca="1" si="326"/>
        <v>47.117300000000945</v>
      </c>
      <c r="D771" s="306">
        <f t="shared" ca="1" si="327"/>
        <v>-0.32147785952502744</v>
      </c>
      <c r="E771" s="307">
        <f t="shared" ca="1" si="328"/>
        <v>-4.8566152393510365E-2</v>
      </c>
      <c r="F771" s="304">
        <f t="shared" ca="1" si="329"/>
        <v>0.32512564544050188</v>
      </c>
      <c r="G771" s="306">
        <f t="shared" ca="1" si="330"/>
        <v>4.0354842554670807</v>
      </c>
      <c r="H771" s="307">
        <f t="shared" ca="1" si="331"/>
        <v>-122.53543068496383</v>
      </c>
      <c r="I771" s="304">
        <f t="shared" ca="1" si="332"/>
        <v>122.60186338847259</v>
      </c>
      <c r="J771" s="306">
        <f t="shared" ca="1" si="333"/>
        <v>677.64536374242232</v>
      </c>
      <c r="K771" s="307">
        <f t="shared" ca="1" si="334"/>
        <v>-11.813518265419644</v>
      </c>
      <c r="L771" s="304">
        <f t="shared" ca="1" si="319"/>
        <v>677.74832955560078</v>
      </c>
      <c r="M771" s="306">
        <f t="shared" ca="1" si="335"/>
        <v>-1.5378750221153152</v>
      </c>
      <c r="N771" s="304">
        <f t="shared" ca="1" si="336"/>
        <v>-88.1137481857957</v>
      </c>
      <c r="P771" s="310">
        <f t="shared" ca="1" si="337"/>
        <v>23</v>
      </c>
      <c r="Q771" s="304">
        <f t="shared" ca="1" si="338"/>
        <v>0</v>
      </c>
      <c r="R771" s="306">
        <f t="shared" ca="1" si="339"/>
        <v>0</v>
      </c>
      <c r="S771" s="307">
        <f t="shared" ca="1" si="340"/>
        <v>2.0842999999999985</v>
      </c>
      <c r="T771" s="304">
        <f t="shared" ca="1" si="320"/>
        <v>20.446982999999985</v>
      </c>
      <c r="U771" s="311">
        <f t="shared" ca="1" si="321"/>
        <v>0</v>
      </c>
      <c r="V771" s="306">
        <f t="shared" ca="1" si="322"/>
        <v>1.2264480112929068</v>
      </c>
      <c r="W771" s="304">
        <f t="shared" ca="1" si="323"/>
        <v>20.356813421763491</v>
      </c>
      <c r="Y771" s="314" t="str">
        <f t="shared" ca="1" si="341"/>
        <v/>
      </c>
      <c r="Z771" s="315" t="str">
        <f t="shared" ca="1" si="342"/>
        <v/>
      </c>
      <c r="AA771" s="316" t="str">
        <f t="shared" ca="1" si="343"/>
        <v/>
      </c>
      <c r="AC771" s="310" t="e">
        <f t="shared" ca="1" si="344"/>
        <v>#N/A</v>
      </c>
      <c r="AD771" s="323" t="e">
        <f t="shared" ca="1" si="345"/>
        <v>#N/A</v>
      </c>
      <c r="AE771" s="324" t="e">
        <f t="shared" ca="1" si="324"/>
        <v>#N/A</v>
      </c>
      <c r="AG771" s="306">
        <f t="shared" ca="1" si="346"/>
        <v>3.7958192513960043E-2</v>
      </c>
      <c r="AH771" s="304">
        <f t="shared" ca="1" si="347"/>
        <v>-9.7667261032222275</v>
      </c>
    </row>
    <row r="772" spans="1:34" x14ac:dyDescent="0.25">
      <c r="A772" s="347">
        <f t="shared" ca="1" si="325"/>
        <v>1E-4</v>
      </c>
      <c r="B772" s="304">
        <f t="shared" ca="1" si="326"/>
        <v>47.117400000000949</v>
      </c>
      <c r="D772" s="306">
        <f t="shared" ca="1" si="327"/>
        <v>-0.32147570243829071</v>
      </c>
      <c r="E772" s="307">
        <f t="shared" ca="1" si="328"/>
        <v>-4.855350205848552E-2</v>
      </c>
      <c r="F772" s="304">
        <f t="shared" ca="1" si="329"/>
        <v>0.32512162312023452</v>
      </c>
      <c r="G772" s="306">
        <f t="shared" ca="1" si="330"/>
        <v>4.0354521078968366</v>
      </c>
      <c r="H772" s="307">
        <f t="shared" ca="1" si="331"/>
        <v>-122.53543554031404</v>
      </c>
      <c r="I772" s="304">
        <f t="shared" ca="1" si="332"/>
        <v>122.60186718304736</v>
      </c>
      <c r="J772" s="306">
        <f t="shared" ca="1" si="333"/>
        <v>677.64536374242232</v>
      </c>
      <c r="K772" s="307">
        <f t="shared" ca="1" si="334"/>
        <v>-11.825771808730908</v>
      </c>
      <c r="L772" s="304">
        <f t="shared" ref="L772:L835" ca="1" si="348">SQRT(pos_x^2+pos_z^2)</f>
        <v>677.74854325219474</v>
      </c>
      <c r="M772" s="306">
        <f t="shared" ca="1" si="335"/>
        <v>-1.5378752854878657</v>
      </c>
      <c r="N772" s="304">
        <f t="shared" ca="1" si="336"/>
        <v>-88.113763275931277</v>
      </c>
      <c r="P772" s="310">
        <f t="shared" ca="1" si="337"/>
        <v>23</v>
      </c>
      <c r="Q772" s="304">
        <f t="shared" ca="1" si="338"/>
        <v>0</v>
      </c>
      <c r="R772" s="306">
        <f t="shared" ca="1" si="339"/>
        <v>0</v>
      </c>
      <c r="S772" s="307">
        <f t="shared" ca="1" si="340"/>
        <v>2.0842999999999985</v>
      </c>
      <c r="T772" s="304">
        <f t="shared" ref="T772:T835" ca="1" si="349">m*g</f>
        <v>20.446982999999985</v>
      </c>
      <c r="U772" s="311">
        <f t="shared" ref="U772:U835" ca="1" si="350">IF(pos_xz&lt;L_rampe,Poids*COS(Beta),0)</f>
        <v>0</v>
      </c>
      <c r="V772" s="306">
        <f t="shared" ref="V772:V835" ca="1" si="351">Rho_moyen*(20000-Alt_rampe-pos_z)/(20000+Alt_rampe+pos_z)</f>
        <v>1.226449514127735</v>
      </c>
      <c r="W772" s="304">
        <f t="shared" ref="W772:W835" ca="1" si="352">1/2*Rho*Sref*Cx*vit_xz^2</f>
        <v>20.356839626200934</v>
      </c>
      <c r="Y772" s="314" t="str">
        <f t="shared" ca="1" si="341"/>
        <v/>
      </c>
      <c r="Z772" s="315" t="str">
        <f t="shared" ca="1" si="342"/>
        <v/>
      </c>
      <c r="AA772" s="316" t="str">
        <f t="shared" ca="1" si="343"/>
        <v/>
      </c>
      <c r="AC772" s="310" t="e">
        <f t="shared" ca="1" si="344"/>
        <v>#N/A</v>
      </c>
      <c r="AD772" s="323" t="e">
        <f t="shared" ca="1" si="345"/>
        <v>#N/A</v>
      </c>
      <c r="AE772" s="324" t="e">
        <f t="shared" ref="AE772:AE835" ca="1" si="353">IF(t&lt;T_para, pos_z, NA())</f>
        <v>#N/A</v>
      </c>
      <c r="AG772" s="306">
        <f t="shared" ca="1" si="346"/>
        <v>3.794570507916184E-2</v>
      </c>
      <c r="AH772" s="304">
        <f t="shared" ca="1" si="347"/>
        <v>-9.7667386757009567</v>
      </c>
    </row>
    <row r="773" spans="1:34" x14ac:dyDescent="0.25">
      <c r="A773" s="347">
        <f t="shared" ref="A773:A836" ca="1" si="354">IF(B772+0.01&lt;=T_ini+ROUNDUP(Temps_fin_propu,0), 0.01, IF(K772&gt;0, 0.1, 0.0001))</f>
        <v>1E-4</v>
      </c>
      <c r="B773" s="304">
        <f t="shared" ref="B773:B836" ca="1" si="355">B772+pas</f>
        <v>47.117500000000952</v>
      </c>
      <c r="D773" s="306">
        <f t="shared" ref="D773:D836" ca="1" si="356">IF(AND(L772&lt;L_rampe,Poussee&lt;Poids*SIN(M772)),0,(-W772+Poussee)/m*COS(M772)-U772/m*SIN(M772))</f>
        <v>-0.32147354535955097</v>
      </c>
      <c r="E773" s="307">
        <f t="shared" ref="E773:E836" ca="1" si="357">IF(AND(L772&lt;L_rampe,Poussee&lt;Poids*SIN(M772)),0,(-W772+Poussee)/m*SIN(M772)+U772/m*COS(M772)-Poids/m)</f>
        <v>-4.8540851906802018E-2</v>
      </c>
      <c r="F773" s="304">
        <f t="shared" ref="F773:F836" ca="1" si="358">SQRT(acc_x^2+acc_z^2)</f>
        <v>0.32511760129202072</v>
      </c>
      <c r="G773" s="306">
        <f t="shared" ref="G773:G836" ca="1" si="359">G772+acc_x*pas</f>
        <v>4.0354199605423009</v>
      </c>
      <c r="H773" s="307">
        <f t="shared" ref="H773:H836" ca="1" si="360">H772+acc_z*pas</f>
        <v>-122.53544039439923</v>
      </c>
      <c r="I773" s="304">
        <f t="shared" ref="I773:I836" ca="1" si="361">SQRT(vit_x^2+vit_z^2)</f>
        <v>122.60187097637341</v>
      </c>
      <c r="J773" s="306">
        <f t="shared" ref="J773:J836" ca="1" si="362">J772+0.5*(vit_x+G772)*pas*(K772&gt;=0)</f>
        <v>677.64536374242232</v>
      </c>
      <c r="K773" s="307">
        <f t="shared" ref="K773:K836" ca="1" si="363">K772+0.5*(vit_z+H772)*pas</f>
        <v>-11.838025352527643</v>
      </c>
      <c r="L773" s="304">
        <f t="shared" ca="1" si="348"/>
        <v>677.74875717027101</v>
      </c>
      <c r="M773" s="306">
        <f t="shared" ref="M773:M836" ca="1" si="364">IF(AND(L772&gt;L_rampe,G773&gt;0),ATAN2(G773,H773),$M$4)</f>
        <v>-1.5378755488583016</v>
      </c>
      <c r="N773" s="304">
        <f t="shared" ref="N773:N836" ca="1" si="365">DEGREES(Beta)</f>
        <v>-88.113778365945706</v>
      </c>
      <c r="P773" s="310">
        <f t="shared" ref="P773:P836" ca="1" si="366">MATCH(t-pas/2-T_ini,CdP_t)</f>
        <v>23</v>
      </c>
      <c r="Q773" s="304">
        <f t="shared" ref="Q773:Q836" ca="1" si="367">(INDEX(CdP,2,i_P+1)-INDEX(CdP,2,i_P+0))/(INDEX(CdP,1,i_P+1)-INDEX(CdP,1,i_P+0))*(t-pas/2-T_ini-INDEX(CdP,1,i_P+0))+INDEX(CdP,2,i_P+0)</f>
        <v>0</v>
      </c>
      <c r="R773" s="306">
        <f t="shared" ref="R773:R836" ca="1" si="368">Poussee/(g*ISP)</f>
        <v>0</v>
      </c>
      <c r="S773" s="307">
        <f t="shared" ref="S773:S836" ca="1" si="369">S772-Débit*pas</f>
        <v>2.0842999999999985</v>
      </c>
      <c r="T773" s="304">
        <f t="shared" ca="1" si="349"/>
        <v>20.446982999999985</v>
      </c>
      <c r="U773" s="311">
        <f t="shared" ca="1" si="350"/>
        <v>0</v>
      </c>
      <c r="V773" s="306">
        <f t="shared" ca="1" si="351"/>
        <v>1.2264510169644653</v>
      </c>
      <c r="W773" s="304">
        <f t="shared" ca="1" si="352"/>
        <v>20.3568658302584</v>
      </c>
      <c r="Y773" s="314" t="str">
        <f t="shared" ref="Y773:Y836" ca="1" si="370">IF(AND(pos_z&lt;=0,K772&gt;0),"Impact balistique","") &amp; IF(AND(H774&lt;0,vit_z&gt;=0),"Apogée","") &amp; IF(AND(Poussee=0,Q772&gt;0),"Fin de propulsion","") &amp; IF(AND(L774&gt;L_rampe,pos_xz&lt;=L_rampe),"Sortie de rampe","")</f>
        <v/>
      </c>
      <c r="Z773" s="315" t="str">
        <f t="shared" ref="Z773:Z836" ca="1" si="371">IF(ABS(t-T_para)&lt;pas/2,"Para","")</f>
        <v/>
      </c>
      <c r="AA773" s="316" t="str">
        <f t="shared" ref="AA773:AA836" ca="1" si="372">IF(ABS(t-T_satellite)&lt;pas/2,"Satellite","")</f>
        <v/>
      </c>
      <c r="AC773" s="310" t="e">
        <f t="shared" ref="AC773:AC836" ca="1" si="373">IF(ABS(t-ROUND(t,0))&lt;0.001,t,NA())</f>
        <v>#N/A</v>
      </c>
      <c r="AD773" s="323" t="e">
        <f t="shared" ref="AD773:AD836" ca="1" si="374">IF(ABS(t-ROUND(t,0))&lt;0.001,pos_x,NA())</f>
        <v>#N/A</v>
      </c>
      <c r="AE773" s="324" t="e">
        <f t="shared" ca="1" si="353"/>
        <v>#N/A</v>
      </c>
      <c r="AG773" s="306">
        <f t="shared" ref="AG773:AG836" ca="1" si="375">IF(AND(L772&lt;L_rampe,Poussee&lt;Poids*SIN(M772)),0,(-W772+Poussee)/m-Poids*SIN(M772)/m)</f>
        <v>3.7933217825303345E-2</v>
      </c>
      <c r="AH773" s="304">
        <f t="shared" ref="AH773:AH836" ca="1" si="376">IF(AND(L772&lt;L_rampe,Poussee&lt;Poids*SIN(M772)), g*SIN(M772), (-W772+Poussee)/m)</f>
        <v>-9.7667512479973837</v>
      </c>
    </row>
    <row r="774" spans="1:34" x14ac:dyDescent="0.25">
      <c r="A774" s="347">
        <f t="shared" ca="1" si="354"/>
        <v>1E-4</v>
      </c>
      <c r="B774" s="304">
        <f t="shared" ca="1" si="355"/>
        <v>47.117600000000955</v>
      </c>
      <c r="D774" s="306">
        <f t="shared" ca="1" si="356"/>
        <v>-0.32147138828881056</v>
      </c>
      <c r="E774" s="307">
        <f t="shared" ca="1" si="357"/>
        <v>-4.8528201938461635E-2</v>
      </c>
      <c r="F774" s="304">
        <f t="shared" ca="1" si="358"/>
        <v>0.32511357995585993</v>
      </c>
      <c r="G774" s="306">
        <f t="shared" ca="1" si="359"/>
        <v>4.0353878134034717</v>
      </c>
      <c r="H774" s="307">
        <f t="shared" ca="1" si="360"/>
        <v>-122.53544524721943</v>
      </c>
      <c r="I774" s="304">
        <f t="shared" ca="1" si="361"/>
        <v>122.60187476845073</v>
      </c>
      <c r="J774" s="306">
        <f t="shared" ca="1" si="362"/>
        <v>677.64536374242232</v>
      </c>
      <c r="K774" s="307">
        <f t="shared" ca="1" si="363"/>
        <v>-11.850278896809723</v>
      </c>
      <c r="L774" s="304">
        <f t="shared" ca="1" si="348"/>
        <v>677.74897130982947</v>
      </c>
      <c r="M774" s="306">
        <f t="shared" ca="1" si="364"/>
        <v>-1.5378758122266232</v>
      </c>
      <c r="N774" s="304">
        <f t="shared" ca="1" si="365"/>
        <v>-88.113793455838987</v>
      </c>
      <c r="P774" s="310">
        <f t="shared" ca="1" si="366"/>
        <v>23</v>
      </c>
      <c r="Q774" s="304">
        <f t="shared" ca="1" si="367"/>
        <v>0</v>
      </c>
      <c r="R774" s="306">
        <f t="shared" ca="1" si="368"/>
        <v>0</v>
      </c>
      <c r="S774" s="307">
        <f t="shared" ca="1" si="369"/>
        <v>2.0842999999999985</v>
      </c>
      <c r="T774" s="304">
        <f t="shared" ca="1" si="349"/>
        <v>20.446982999999985</v>
      </c>
      <c r="U774" s="311">
        <f t="shared" ca="1" si="350"/>
        <v>0</v>
      </c>
      <c r="V774" s="306">
        <f t="shared" ca="1" si="351"/>
        <v>1.226452519803098</v>
      </c>
      <c r="W774" s="304">
        <f t="shared" ca="1" si="352"/>
        <v>20.356892033935893</v>
      </c>
      <c r="Y774" s="314" t="str">
        <f t="shared" ca="1" si="370"/>
        <v/>
      </c>
      <c r="Z774" s="315" t="str">
        <f t="shared" ca="1" si="371"/>
        <v/>
      </c>
      <c r="AA774" s="316" t="str">
        <f t="shared" ca="1" si="372"/>
        <v/>
      </c>
      <c r="AC774" s="310" t="e">
        <f t="shared" ca="1" si="373"/>
        <v>#N/A</v>
      </c>
      <c r="AD774" s="323" t="e">
        <f t="shared" ca="1" si="374"/>
        <v>#N/A</v>
      </c>
      <c r="AE774" s="324" t="e">
        <f t="shared" ca="1" si="353"/>
        <v>#N/A</v>
      </c>
      <c r="AG774" s="306">
        <f t="shared" ca="1" si="375"/>
        <v>3.7920730752386334E-2</v>
      </c>
      <c r="AH774" s="304">
        <f t="shared" ca="1" si="376"/>
        <v>-9.7667638201115068</v>
      </c>
    </row>
    <row r="775" spans="1:34" x14ac:dyDescent="0.25">
      <c r="A775" s="347">
        <f t="shared" ca="1" si="354"/>
        <v>1E-4</v>
      </c>
      <c r="B775" s="304">
        <f t="shared" ca="1" si="355"/>
        <v>47.117700000000958</v>
      </c>
      <c r="D775" s="306">
        <f t="shared" ca="1" si="356"/>
        <v>-0.32146923122606758</v>
      </c>
      <c r="E775" s="307">
        <f t="shared" ca="1" si="357"/>
        <v>-4.851555215346437E-2</v>
      </c>
      <c r="F775" s="304">
        <f t="shared" ca="1" si="358"/>
        <v>0.32510955911174683</v>
      </c>
      <c r="G775" s="306">
        <f t="shared" ca="1" si="359"/>
        <v>4.0353556664803492</v>
      </c>
      <c r="H775" s="307">
        <f t="shared" ca="1" si="360"/>
        <v>-122.53545009877465</v>
      </c>
      <c r="I775" s="304">
        <f t="shared" ca="1" si="361"/>
        <v>122.60187855927937</v>
      </c>
      <c r="J775" s="306">
        <f t="shared" ca="1" si="362"/>
        <v>677.64536374242232</v>
      </c>
      <c r="K775" s="307">
        <f t="shared" ca="1" si="363"/>
        <v>-11.862532441577022</v>
      </c>
      <c r="L775" s="304">
        <f t="shared" ca="1" si="348"/>
        <v>677.74918567086991</v>
      </c>
      <c r="M775" s="306">
        <f t="shared" ca="1" si="364"/>
        <v>-1.5378760755928305</v>
      </c>
      <c r="N775" s="304">
        <f t="shared" ca="1" si="365"/>
        <v>-88.113808545611136</v>
      </c>
      <c r="P775" s="310">
        <f t="shared" ca="1" si="366"/>
        <v>23</v>
      </c>
      <c r="Q775" s="304">
        <f t="shared" ca="1" si="367"/>
        <v>0</v>
      </c>
      <c r="R775" s="306">
        <f t="shared" ca="1" si="368"/>
        <v>0</v>
      </c>
      <c r="S775" s="307">
        <f t="shared" ca="1" si="369"/>
        <v>2.0842999999999985</v>
      </c>
      <c r="T775" s="304">
        <f t="shared" ca="1" si="349"/>
        <v>20.446982999999985</v>
      </c>
      <c r="U775" s="311">
        <f t="shared" ca="1" si="350"/>
        <v>0</v>
      </c>
      <c r="V775" s="306">
        <f t="shared" ca="1" si="351"/>
        <v>1.2264540226436325</v>
      </c>
      <c r="W775" s="304">
        <f t="shared" ca="1" si="352"/>
        <v>20.356918237233408</v>
      </c>
      <c r="Y775" s="314" t="str">
        <f t="shared" ca="1" si="370"/>
        <v/>
      </c>
      <c r="Z775" s="315" t="str">
        <f t="shared" ca="1" si="371"/>
        <v/>
      </c>
      <c r="AA775" s="316" t="str">
        <f t="shared" ca="1" si="372"/>
        <v/>
      </c>
      <c r="AC775" s="310" t="e">
        <f t="shared" ca="1" si="373"/>
        <v>#N/A</v>
      </c>
      <c r="AD775" s="323" t="e">
        <f t="shared" ca="1" si="374"/>
        <v>#N/A</v>
      </c>
      <c r="AE775" s="324" t="e">
        <f t="shared" ca="1" si="353"/>
        <v>#N/A</v>
      </c>
      <c r="AG775" s="306">
        <f t="shared" ca="1" si="375"/>
        <v>3.7908243860407254E-2</v>
      </c>
      <c r="AH775" s="304">
        <f t="shared" ca="1" si="376"/>
        <v>-9.7667763920433277</v>
      </c>
    </row>
    <row r="776" spans="1:34" x14ac:dyDescent="0.25">
      <c r="A776" s="347">
        <f t="shared" ca="1" si="354"/>
        <v>1E-4</v>
      </c>
      <c r="B776" s="304">
        <f t="shared" ca="1" si="355"/>
        <v>47.117800000000962</v>
      </c>
      <c r="D776" s="306">
        <f t="shared" ca="1" si="356"/>
        <v>-0.32146707417132214</v>
      </c>
      <c r="E776" s="307">
        <f t="shared" ca="1" si="357"/>
        <v>-4.8502902551811999E-2</v>
      </c>
      <c r="F776" s="304">
        <f t="shared" ca="1" si="358"/>
        <v>0.32510553875967863</v>
      </c>
      <c r="G776" s="306">
        <f t="shared" ca="1" si="359"/>
        <v>4.0353235197729322</v>
      </c>
      <c r="H776" s="307">
        <f t="shared" ca="1" si="360"/>
        <v>-122.5354549490649</v>
      </c>
      <c r="I776" s="304">
        <f t="shared" ca="1" si="361"/>
        <v>122.60188234885933</v>
      </c>
      <c r="J776" s="306">
        <f t="shared" ca="1" si="362"/>
        <v>677.64536374242232</v>
      </c>
      <c r="K776" s="307">
        <f t="shared" ca="1" si="363"/>
        <v>-11.874785986829414</v>
      </c>
      <c r="L776" s="304">
        <f t="shared" ca="1" si="348"/>
        <v>677.7494002533922</v>
      </c>
      <c r="M776" s="306">
        <f t="shared" ca="1" si="364"/>
        <v>-1.5378763389569234</v>
      </c>
      <c r="N776" s="304">
        <f t="shared" ca="1" si="365"/>
        <v>-88.113823635262136</v>
      </c>
      <c r="P776" s="310">
        <f t="shared" ca="1" si="366"/>
        <v>23</v>
      </c>
      <c r="Q776" s="304">
        <f t="shared" ca="1" si="367"/>
        <v>0</v>
      </c>
      <c r="R776" s="306">
        <f t="shared" ca="1" si="368"/>
        <v>0</v>
      </c>
      <c r="S776" s="307">
        <f t="shared" ca="1" si="369"/>
        <v>2.0842999999999985</v>
      </c>
      <c r="T776" s="304">
        <f t="shared" ca="1" si="349"/>
        <v>20.446982999999985</v>
      </c>
      <c r="U776" s="311">
        <f t="shared" ca="1" si="350"/>
        <v>0</v>
      </c>
      <c r="V776" s="306">
        <f t="shared" ca="1" si="351"/>
        <v>1.2264555254860692</v>
      </c>
      <c r="W776" s="304">
        <f t="shared" ca="1" si="352"/>
        <v>20.356944440150958</v>
      </c>
      <c r="Y776" s="314" t="str">
        <f t="shared" ca="1" si="370"/>
        <v/>
      </c>
      <c r="Z776" s="315" t="str">
        <f t="shared" ca="1" si="371"/>
        <v/>
      </c>
      <c r="AA776" s="316" t="str">
        <f t="shared" ca="1" si="372"/>
        <v/>
      </c>
      <c r="AC776" s="310" t="e">
        <f t="shared" ca="1" si="373"/>
        <v>#N/A</v>
      </c>
      <c r="AD776" s="323" t="e">
        <f t="shared" ca="1" si="374"/>
        <v>#N/A</v>
      </c>
      <c r="AE776" s="324" t="e">
        <f t="shared" ca="1" si="353"/>
        <v>#N/A</v>
      </c>
      <c r="AG776" s="306">
        <f t="shared" ca="1" si="375"/>
        <v>3.7895757149371434E-2</v>
      </c>
      <c r="AH776" s="304">
        <f t="shared" ca="1" si="376"/>
        <v>-9.7667889637928429</v>
      </c>
    </row>
    <row r="777" spans="1:34" x14ac:dyDescent="0.25">
      <c r="A777" s="347">
        <f t="shared" ca="1" si="354"/>
        <v>1E-4</v>
      </c>
      <c r="B777" s="304">
        <f t="shared" ca="1" si="355"/>
        <v>47.117900000000965</v>
      </c>
      <c r="D777" s="306">
        <f t="shared" ca="1" si="356"/>
        <v>-0.3214649171245747</v>
      </c>
      <c r="E777" s="307">
        <f t="shared" ca="1" si="357"/>
        <v>-4.8490253133499195E-2</v>
      </c>
      <c r="F777" s="304">
        <f t="shared" ca="1" si="358"/>
        <v>0.32510151889965155</v>
      </c>
      <c r="G777" s="306">
        <f t="shared" ca="1" si="359"/>
        <v>4.0352913732812201</v>
      </c>
      <c r="H777" s="307">
        <f t="shared" ca="1" si="360"/>
        <v>-122.53545979809022</v>
      </c>
      <c r="I777" s="304">
        <f t="shared" ca="1" si="361"/>
        <v>122.60188613719065</v>
      </c>
      <c r="J777" s="306">
        <f t="shared" ca="1" si="362"/>
        <v>677.64536374242232</v>
      </c>
      <c r="K777" s="307">
        <f t="shared" ca="1" si="363"/>
        <v>-11.887039532566771</v>
      </c>
      <c r="L777" s="304">
        <f t="shared" ca="1" si="348"/>
        <v>677.74961505739611</v>
      </c>
      <c r="M777" s="306">
        <f t="shared" ca="1" si="364"/>
        <v>-1.5378766023189021</v>
      </c>
      <c r="N777" s="304">
        <f t="shared" ca="1" si="365"/>
        <v>-88.113838724792004</v>
      </c>
      <c r="P777" s="310">
        <f t="shared" ca="1" si="366"/>
        <v>23</v>
      </c>
      <c r="Q777" s="304">
        <f t="shared" ca="1" si="367"/>
        <v>0</v>
      </c>
      <c r="R777" s="306">
        <f t="shared" ca="1" si="368"/>
        <v>0</v>
      </c>
      <c r="S777" s="307">
        <f t="shared" ca="1" si="369"/>
        <v>2.0842999999999985</v>
      </c>
      <c r="T777" s="304">
        <f t="shared" ca="1" si="349"/>
        <v>20.446982999999985</v>
      </c>
      <c r="U777" s="311">
        <f t="shared" ca="1" si="350"/>
        <v>0</v>
      </c>
      <c r="V777" s="306">
        <f t="shared" ca="1" si="351"/>
        <v>1.2264570283304079</v>
      </c>
      <c r="W777" s="304">
        <f t="shared" ca="1" si="352"/>
        <v>20.356970642688548</v>
      </c>
      <c r="Y777" s="314" t="str">
        <f t="shared" ca="1" si="370"/>
        <v/>
      </c>
      <c r="Z777" s="315" t="str">
        <f t="shared" ca="1" si="371"/>
        <v/>
      </c>
      <c r="AA777" s="316" t="str">
        <f t="shared" ca="1" si="372"/>
        <v/>
      </c>
      <c r="AC777" s="310" t="e">
        <f t="shared" ca="1" si="373"/>
        <v>#N/A</v>
      </c>
      <c r="AD777" s="323" t="e">
        <f t="shared" ca="1" si="374"/>
        <v>#N/A</v>
      </c>
      <c r="AE777" s="324" t="e">
        <f t="shared" ca="1" si="353"/>
        <v>#N/A</v>
      </c>
      <c r="AG777" s="306">
        <f t="shared" ca="1" si="375"/>
        <v>3.7883270619271769E-2</v>
      </c>
      <c r="AH777" s="304">
        <f t="shared" ca="1" si="376"/>
        <v>-9.7668015353600595</v>
      </c>
    </row>
    <row r="778" spans="1:34" x14ac:dyDescent="0.25">
      <c r="A778" s="347">
        <f t="shared" ca="1" si="354"/>
        <v>1E-4</v>
      </c>
      <c r="B778" s="304">
        <f t="shared" ca="1" si="355"/>
        <v>47.118000000000968</v>
      </c>
      <c r="D778" s="306">
        <f t="shared" ca="1" si="356"/>
        <v>-0.32146276008582564</v>
      </c>
      <c r="E778" s="307">
        <f t="shared" ca="1" si="357"/>
        <v>-4.8477603898520627E-2</v>
      </c>
      <c r="F778" s="304">
        <f t="shared" ca="1" si="358"/>
        <v>0.32509749953166195</v>
      </c>
      <c r="G778" s="306">
        <f t="shared" ca="1" si="359"/>
        <v>4.0352592270052119</v>
      </c>
      <c r="H778" s="307">
        <f t="shared" ca="1" si="360"/>
        <v>-122.53546464585061</v>
      </c>
      <c r="I778" s="304">
        <f t="shared" ca="1" si="361"/>
        <v>122.60188992427334</v>
      </c>
      <c r="J778" s="306">
        <f t="shared" ca="1" si="362"/>
        <v>677.64536374242232</v>
      </c>
      <c r="K778" s="307">
        <f t="shared" ca="1" si="363"/>
        <v>-11.899293078788968</v>
      </c>
      <c r="L778" s="304">
        <f t="shared" ca="1" si="348"/>
        <v>677.74983008288154</v>
      </c>
      <c r="M778" s="306">
        <f t="shared" ca="1" si="364"/>
        <v>-1.5378768656787665</v>
      </c>
      <c r="N778" s="304">
        <f t="shared" ca="1" si="365"/>
        <v>-88.113853814200723</v>
      </c>
      <c r="P778" s="310">
        <f t="shared" ca="1" si="366"/>
        <v>23</v>
      </c>
      <c r="Q778" s="304">
        <f t="shared" ca="1" si="367"/>
        <v>0</v>
      </c>
      <c r="R778" s="306">
        <f t="shared" ca="1" si="368"/>
        <v>0</v>
      </c>
      <c r="S778" s="307">
        <f t="shared" ca="1" si="369"/>
        <v>2.0842999999999985</v>
      </c>
      <c r="T778" s="304">
        <f t="shared" ca="1" si="349"/>
        <v>20.446982999999985</v>
      </c>
      <c r="U778" s="311">
        <f t="shared" ca="1" si="350"/>
        <v>0</v>
      </c>
      <c r="V778" s="306">
        <f t="shared" ca="1" si="351"/>
        <v>1.2264585311766487</v>
      </c>
      <c r="W778" s="304">
        <f t="shared" ca="1" si="352"/>
        <v>20.356996844846186</v>
      </c>
      <c r="Y778" s="314" t="str">
        <f t="shared" ca="1" si="370"/>
        <v/>
      </c>
      <c r="Z778" s="315" t="str">
        <f t="shared" ca="1" si="371"/>
        <v/>
      </c>
      <c r="AA778" s="316" t="str">
        <f t="shared" ca="1" si="372"/>
        <v/>
      </c>
      <c r="AC778" s="310" t="e">
        <f t="shared" ca="1" si="373"/>
        <v>#N/A</v>
      </c>
      <c r="AD778" s="323" t="e">
        <f t="shared" ca="1" si="374"/>
        <v>#N/A</v>
      </c>
      <c r="AE778" s="324" t="e">
        <f t="shared" ca="1" si="353"/>
        <v>#N/A</v>
      </c>
      <c r="AG778" s="306">
        <f t="shared" ca="1" si="375"/>
        <v>3.7870784270104707E-2</v>
      </c>
      <c r="AH778" s="304">
        <f t="shared" ca="1" si="376"/>
        <v>-9.766814106744981</v>
      </c>
    </row>
    <row r="779" spans="1:34" x14ac:dyDescent="0.25">
      <c r="A779" s="347">
        <f t="shared" ca="1" si="354"/>
        <v>1E-4</v>
      </c>
      <c r="B779" s="304">
        <f t="shared" ca="1" si="355"/>
        <v>47.118100000000972</v>
      </c>
      <c r="D779" s="306">
        <f t="shared" ca="1" si="356"/>
        <v>-0.32146060305507512</v>
      </c>
      <c r="E779" s="307">
        <f t="shared" ca="1" si="357"/>
        <v>-4.8464954846876296E-2</v>
      </c>
      <c r="F779" s="304">
        <f t="shared" ca="1" si="358"/>
        <v>0.3250934806557067</v>
      </c>
      <c r="G779" s="306">
        <f t="shared" ca="1" si="359"/>
        <v>4.0352270809449067</v>
      </c>
      <c r="H779" s="307">
        <f t="shared" ca="1" si="360"/>
        <v>-122.5354694923461</v>
      </c>
      <c r="I779" s="304">
        <f t="shared" ca="1" si="361"/>
        <v>122.6018937101074</v>
      </c>
      <c r="J779" s="306">
        <f t="shared" ca="1" si="362"/>
        <v>677.64536374242232</v>
      </c>
      <c r="K779" s="307">
        <f t="shared" ca="1" si="363"/>
        <v>-11.911546625495879</v>
      </c>
      <c r="L779" s="304">
        <f t="shared" ca="1" si="348"/>
        <v>677.75004532984815</v>
      </c>
      <c r="M779" s="306">
        <f t="shared" ca="1" si="364"/>
        <v>-1.5378771290365167</v>
      </c>
      <c r="N779" s="304">
        <f t="shared" ca="1" si="365"/>
        <v>-88.11386890348831</v>
      </c>
      <c r="P779" s="310">
        <f t="shared" ca="1" si="366"/>
        <v>23</v>
      </c>
      <c r="Q779" s="304">
        <f t="shared" ca="1" si="367"/>
        <v>0</v>
      </c>
      <c r="R779" s="306">
        <f t="shared" ca="1" si="368"/>
        <v>0</v>
      </c>
      <c r="S779" s="307">
        <f t="shared" ca="1" si="369"/>
        <v>2.0842999999999985</v>
      </c>
      <c r="T779" s="304">
        <f t="shared" ca="1" si="349"/>
        <v>20.446982999999985</v>
      </c>
      <c r="U779" s="311">
        <f t="shared" ca="1" si="350"/>
        <v>0</v>
      </c>
      <c r="V779" s="306">
        <f t="shared" ca="1" si="351"/>
        <v>1.2264600340247913</v>
      </c>
      <c r="W779" s="304">
        <f t="shared" ca="1" si="352"/>
        <v>20.357023046623866</v>
      </c>
      <c r="Y779" s="314" t="str">
        <f t="shared" ca="1" si="370"/>
        <v/>
      </c>
      <c r="Z779" s="315" t="str">
        <f t="shared" ca="1" si="371"/>
        <v/>
      </c>
      <c r="AA779" s="316" t="str">
        <f t="shared" ca="1" si="372"/>
        <v/>
      </c>
      <c r="AC779" s="310" t="e">
        <f t="shared" ca="1" si="373"/>
        <v>#N/A</v>
      </c>
      <c r="AD779" s="323" t="e">
        <f t="shared" ca="1" si="374"/>
        <v>#N/A</v>
      </c>
      <c r="AE779" s="324" t="e">
        <f t="shared" ca="1" si="353"/>
        <v>#N/A</v>
      </c>
      <c r="AG779" s="306">
        <f t="shared" ca="1" si="375"/>
        <v>3.7858298101868471E-2</v>
      </c>
      <c r="AH779" s="304">
        <f t="shared" ca="1" si="376"/>
        <v>-9.7668266779476092</v>
      </c>
    </row>
    <row r="780" spans="1:34" x14ac:dyDescent="0.25">
      <c r="A780" s="347">
        <f t="shared" ca="1" si="354"/>
        <v>1E-4</v>
      </c>
      <c r="B780" s="304">
        <f t="shared" ca="1" si="355"/>
        <v>47.118200000000975</v>
      </c>
      <c r="D780" s="306">
        <f t="shared" ca="1" si="356"/>
        <v>-0.32145844603232127</v>
      </c>
      <c r="E780" s="307">
        <f t="shared" ca="1" si="357"/>
        <v>-4.8452305978569754E-2</v>
      </c>
      <c r="F780" s="304">
        <f t="shared" ca="1" si="358"/>
        <v>0.32508946227178104</v>
      </c>
      <c r="G780" s="306">
        <f t="shared" ca="1" si="359"/>
        <v>4.0351949351003036</v>
      </c>
      <c r="H780" s="307">
        <f t="shared" ca="1" si="360"/>
        <v>-122.53547433757669</v>
      </c>
      <c r="I780" s="304">
        <f t="shared" ca="1" si="361"/>
        <v>122.60189749469285</v>
      </c>
      <c r="J780" s="306">
        <f t="shared" ca="1" si="362"/>
        <v>677.64536374242232</v>
      </c>
      <c r="K780" s="307">
        <f t="shared" ca="1" si="363"/>
        <v>-11.923800172687375</v>
      </c>
      <c r="L780" s="304">
        <f t="shared" ca="1" si="348"/>
        <v>677.75026079829581</v>
      </c>
      <c r="M780" s="306">
        <f t="shared" ca="1" si="364"/>
        <v>-1.5378773923921525</v>
      </c>
      <c r="N780" s="304">
        <f t="shared" ca="1" si="365"/>
        <v>-88.113883992654749</v>
      </c>
      <c r="P780" s="310">
        <f t="shared" ca="1" si="366"/>
        <v>23</v>
      </c>
      <c r="Q780" s="304">
        <f t="shared" ca="1" si="367"/>
        <v>0</v>
      </c>
      <c r="R780" s="306">
        <f t="shared" ca="1" si="368"/>
        <v>0</v>
      </c>
      <c r="S780" s="307">
        <f t="shared" ca="1" si="369"/>
        <v>2.0842999999999985</v>
      </c>
      <c r="T780" s="304">
        <f t="shared" ca="1" si="349"/>
        <v>20.446982999999985</v>
      </c>
      <c r="U780" s="311">
        <f t="shared" ca="1" si="350"/>
        <v>0</v>
      </c>
      <c r="V780" s="306">
        <f t="shared" ca="1" si="351"/>
        <v>1.2264615368748364</v>
      </c>
      <c r="W780" s="304">
        <f t="shared" ca="1" si="352"/>
        <v>20.357049248021589</v>
      </c>
      <c r="Y780" s="314" t="str">
        <f t="shared" ca="1" si="370"/>
        <v/>
      </c>
      <c r="Z780" s="315" t="str">
        <f t="shared" ca="1" si="371"/>
        <v/>
      </c>
      <c r="AA780" s="316" t="str">
        <f t="shared" ca="1" si="372"/>
        <v/>
      </c>
      <c r="AC780" s="310" t="e">
        <f t="shared" ca="1" si="373"/>
        <v>#N/A</v>
      </c>
      <c r="AD780" s="323" t="e">
        <f t="shared" ca="1" si="374"/>
        <v>#N/A</v>
      </c>
      <c r="AE780" s="324" t="e">
        <f t="shared" ca="1" si="353"/>
        <v>#N/A</v>
      </c>
      <c r="AG780" s="306">
        <f t="shared" ca="1" si="375"/>
        <v>3.7845812114564836E-2</v>
      </c>
      <c r="AH780" s="304">
        <f t="shared" ca="1" si="376"/>
        <v>-9.7668392489679405</v>
      </c>
    </row>
    <row r="781" spans="1:34" x14ac:dyDescent="0.25">
      <c r="A781" s="347">
        <f t="shared" ca="1" si="354"/>
        <v>1E-4</v>
      </c>
      <c r="B781" s="304">
        <f t="shared" ca="1" si="355"/>
        <v>47.118300000000978</v>
      </c>
      <c r="D781" s="306">
        <f t="shared" ca="1" si="356"/>
        <v>-0.32145628901756867</v>
      </c>
      <c r="E781" s="307">
        <f t="shared" ca="1" si="357"/>
        <v>-4.843965729359212E-2</v>
      </c>
      <c r="F781" s="304">
        <f t="shared" ca="1" si="358"/>
        <v>0.32508544437988501</v>
      </c>
      <c r="G781" s="306">
        <f t="shared" ca="1" si="359"/>
        <v>4.0351627894714017</v>
      </c>
      <c r="H781" s="307">
        <f t="shared" ca="1" si="360"/>
        <v>-122.53547918154241</v>
      </c>
      <c r="I781" s="304">
        <f t="shared" ca="1" si="361"/>
        <v>122.60190127802973</v>
      </c>
      <c r="J781" s="306">
        <f t="shared" ca="1" si="362"/>
        <v>677.64536374242232</v>
      </c>
      <c r="K781" s="307">
        <f t="shared" ca="1" si="363"/>
        <v>-11.936053720363331</v>
      </c>
      <c r="L781" s="304">
        <f t="shared" ca="1" si="348"/>
        <v>677.75047648822442</v>
      </c>
      <c r="M781" s="306">
        <f t="shared" ca="1" si="364"/>
        <v>-1.5378776557456741</v>
      </c>
      <c r="N781" s="304">
        <f t="shared" ca="1" si="365"/>
        <v>-88.113899081700069</v>
      </c>
      <c r="P781" s="310">
        <f t="shared" ca="1" si="366"/>
        <v>23</v>
      </c>
      <c r="Q781" s="304">
        <f t="shared" ca="1" si="367"/>
        <v>0</v>
      </c>
      <c r="R781" s="306">
        <f t="shared" ca="1" si="368"/>
        <v>0</v>
      </c>
      <c r="S781" s="307">
        <f t="shared" ca="1" si="369"/>
        <v>2.0842999999999985</v>
      </c>
      <c r="T781" s="304">
        <f t="shared" ca="1" si="349"/>
        <v>20.446982999999985</v>
      </c>
      <c r="U781" s="311">
        <f t="shared" ca="1" si="350"/>
        <v>0</v>
      </c>
      <c r="V781" s="306">
        <f t="shared" ca="1" si="351"/>
        <v>1.2264630397267835</v>
      </c>
      <c r="W781" s="304">
        <f t="shared" ca="1" si="352"/>
        <v>20.357075449039375</v>
      </c>
      <c r="Y781" s="314" t="str">
        <f t="shared" ca="1" si="370"/>
        <v/>
      </c>
      <c r="Z781" s="315" t="str">
        <f t="shared" ca="1" si="371"/>
        <v/>
      </c>
      <c r="AA781" s="316" t="str">
        <f t="shared" ca="1" si="372"/>
        <v/>
      </c>
      <c r="AC781" s="310" t="e">
        <f t="shared" ca="1" si="373"/>
        <v>#N/A</v>
      </c>
      <c r="AD781" s="323" t="e">
        <f t="shared" ca="1" si="374"/>
        <v>#N/A</v>
      </c>
      <c r="AE781" s="324" t="e">
        <f t="shared" ca="1" si="353"/>
        <v>#N/A</v>
      </c>
      <c r="AG781" s="306">
        <f t="shared" ca="1" si="375"/>
        <v>3.7833326308192028E-2</v>
      </c>
      <c r="AH781" s="304">
        <f t="shared" ca="1" si="376"/>
        <v>-9.7668518198059804</v>
      </c>
    </row>
    <row r="782" spans="1:34" x14ac:dyDescent="0.25">
      <c r="A782" s="347">
        <f t="shared" ca="1" si="354"/>
        <v>1E-4</v>
      </c>
      <c r="B782" s="304">
        <f t="shared" ca="1" si="355"/>
        <v>47.118400000000982</v>
      </c>
      <c r="D782" s="306">
        <f t="shared" ca="1" si="356"/>
        <v>-0.32145413201081335</v>
      </c>
      <c r="E782" s="307">
        <f t="shared" ca="1" si="357"/>
        <v>-4.842700879194517E-2</v>
      </c>
      <c r="F782" s="304">
        <f t="shared" ca="1" si="358"/>
        <v>0.32508142698001152</v>
      </c>
      <c r="G782" s="306">
        <f t="shared" ca="1" si="359"/>
        <v>4.0351306440582002</v>
      </c>
      <c r="H782" s="307">
        <f t="shared" ca="1" si="360"/>
        <v>-122.53548402424329</v>
      </c>
      <c r="I782" s="304">
        <f t="shared" ca="1" si="361"/>
        <v>122.60190506011806</v>
      </c>
      <c r="J782" s="306">
        <f t="shared" ca="1" si="362"/>
        <v>677.64536374242232</v>
      </c>
      <c r="K782" s="307">
        <f t="shared" ca="1" si="363"/>
        <v>-11.948307268523621</v>
      </c>
      <c r="L782" s="304">
        <f t="shared" ca="1" si="348"/>
        <v>677.75069239963375</v>
      </c>
      <c r="M782" s="306">
        <f t="shared" ca="1" si="364"/>
        <v>-1.5378779190970815</v>
      </c>
      <c r="N782" s="304">
        <f t="shared" ca="1" si="365"/>
        <v>-88.113914170624241</v>
      </c>
      <c r="P782" s="310">
        <f t="shared" ca="1" si="366"/>
        <v>23</v>
      </c>
      <c r="Q782" s="304">
        <f t="shared" ca="1" si="367"/>
        <v>0</v>
      </c>
      <c r="R782" s="306">
        <f t="shared" ca="1" si="368"/>
        <v>0</v>
      </c>
      <c r="S782" s="307">
        <f t="shared" ca="1" si="369"/>
        <v>2.0842999999999985</v>
      </c>
      <c r="T782" s="304">
        <f t="shared" ca="1" si="349"/>
        <v>20.446982999999985</v>
      </c>
      <c r="U782" s="311">
        <f t="shared" ca="1" si="350"/>
        <v>0</v>
      </c>
      <c r="V782" s="306">
        <f t="shared" ca="1" si="351"/>
        <v>1.2264645425806324</v>
      </c>
      <c r="W782" s="304">
        <f t="shared" ca="1" si="352"/>
        <v>20.357101649677226</v>
      </c>
      <c r="Y782" s="314" t="str">
        <f t="shared" ca="1" si="370"/>
        <v/>
      </c>
      <c r="Z782" s="315" t="str">
        <f t="shared" ca="1" si="371"/>
        <v/>
      </c>
      <c r="AA782" s="316" t="str">
        <f t="shared" ca="1" si="372"/>
        <v/>
      </c>
      <c r="AC782" s="310" t="e">
        <f t="shared" ca="1" si="373"/>
        <v>#N/A</v>
      </c>
      <c r="AD782" s="323" t="e">
        <f t="shared" ca="1" si="374"/>
        <v>#N/A</v>
      </c>
      <c r="AE782" s="324" t="e">
        <f t="shared" ca="1" si="353"/>
        <v>#N/A</v>
      </c>
      <c r="AG782" s="306">
        <f t="shared" ca="1" si="375"/>
        <v>3.782084068274294E-2</v>
      </c>
      <c r="AH782" s="304">
        <f t="shared" ca="1" si="376"/>
        <v>-9.7668643904617323</v>
      </c>
    </row>
    <row r="783" spans="1:34" x14ac:dyDescent="0.25">
      <c r="A783" s="347">
        <f t="shared" ca="1" si="354"/>
        <v>1E-4</v>
      </c>
      <c r="B783" s="304">
        <f t="shared" ca="1" si="355"/>
        <v>47.118500000000985</v>
      </c>
      <c r="D783" s="306">
        <f t="shared" ca="1" si="356"/>
        <v>-0.32145197501205802</v>
      </c>
      <c r="E783" s="307">
        <f t="shared" ca="1" si="357"/>
        <v>-4.8414360473618245E-2</v>
      </c>
      <c r="F783" s="304">
        <f t="shared" ca="1" si="358"/>
        <v>0.3250774100721584</v>
      </c>
      <c r="G783" s="306">
        <f t="shared" ca="1" si="359"/>
        <v>4.035098498860699</v>
      </c>
      <c r="H783" s="307">
        <f t="shared" ca="1" si="360"/>
        <v>-122.53548886567934</v>
      </c>
      <c r="I783" s="304">
        <f t="shared" ca="1" si="361"/>
        <v>122.60190884095783</v>
      </c>
      <c r="J783" s="306">
        <f t="shared" ca="1" si="362"/>
        <v>677.64536374242232</v>
      </c>
      <c r="K783" s="307">
        <f t="shared" ca="1" si="363"/>
        <v>-11.960560817168117</v>
      </c>
      <c r="L783" s="304">
        <f t="shared" ca="1" si="348"/>
        <v>677.75090853252345</v>
      </c>
      <c r="M783" s="306">
        <f t="shared" ca="1" si="364"/>
        <v>-1.5378781824463748</v>
      </c>
      <c r="N783" s="304">
        <f t="shared" ca="1" si="365"/>
        <v>-88.11392925942728</v>
      </c>
      <c r="P783" s="310">
        <f t="shared" ca="1" si="366"/>
        <v>23</v>
      </c>
      <c r="Q783" s="304">
        <f t="shared" ca="1" si="367"/>
        <v>0</v>
      </c>
      <c r="R783" s="306">
        <f t="shared" ca="1" si="368"/>
        <v>0</v>
      </c>
      <c r="S783" s="307">
        <f t="shared" ca="1" si="369"/>
        <v>2.0842999999999985</v>
      </c>
      <c r="T783" s="304">
        <f t="shared" ca="1" si="349"/>
        <v>20.446982999999985</v>
      </c>
      <c r="U783" s="311">
        <f t="shared" ca="1" si="350"/>
        <v>0</v>
      </c>
      <c r="V783" s="306">
        <f t="shared" ca="1" si="351"/>
        <v>1.2264660454363836</v>
      </c>
      <c r="W783" s="304">
        <f t="shared" ca="1" si="352"/>
        <v>20.357127849935136</v>
      </c>
      <c r="Y783" s="314" t="str">
        <f t="shared" ca="1" si="370"/>
        <v/>
      </c>
      <c r="Z783" s="315" t="str">
        <f t="shared" ca="1" si="371"/>
        <v/>
      </c>
      <c r="AA783" s="316" t="str">
        <f t="shared" ca="1" si="372"/>
        <v/>
      </c>
      <c r="AC783" s="310" t="e">
        <f t="shared" ca="1" si="373"/>
        <v>#N/A</v>
      </c>
      <c r="AD783" s="323" t="e">
        <f t="shared" ca="1" si="374"/>
        <v>#N/A</v>
      </c>
      <c r="AE783" s="324" t="e">
        <f t="shared" ca="1" si="353"/>
        <v>#N/A</v>
      </c>
      <c r="AG783" s="306">
        <f t="shared" ca="1" si="375"/>
        <v>3.780835523821402E-2</v>
      </c>
      <c r="AH783" s="304">
        <f t="shared" ca="1" si="376"/>
        <v>-9.7668769609352015</v>
      </c>
    </row>
    <row r="784" spans="1:34" x14ac:dyDescent="0.25">
      <c r="A784" s="347">
        <f t="shared" ca="1" si="354"/>
        <v>1E-4</v>
      </c>
      <c r="B784" s="304">
        <f t="shared" ca="1" si="355"/>
        <v>47.118600000000988</v>
      </c>
      <c r="D784" s="306">
        <f t="shared" ca="1" si="356"/>
        <v>-0.32144981802130029</v>
      </c>
      <c r="E784" s="307">
        <f t="shared" ca="1" si="357"/>
        <v>-4.8401712338620229E-2</v>
      </c>
      <c r="F784" s="304">
        <f t="shared" ca="1" si="358"/>
        <v>0.32507339365632126</v>
      </c>
      <c r="G784" s="306">
        <f t="shared" ca="1" si="359"/>
        <v>4.0350663538788973</v>
      </c>
      <c r="H784" s="307">
        <f t="shared" ca="1" si="360"/>
        <v>-122.53549370585057</v>
      </c>
      <c r="I784" s="304">
        <f t="shared" ca="1" si="361"/>
        <v>122.60191262054907</v>
      </c>
      <c r="J784" s="306">
        <f t="shared" ca="1" si="362"/>
        <v>677.64536374242232</v>
      </c>
      <c r="K784" s="307">
        <f t="shared" ca="1" si="363"/>
        <v>-11.972814366296694</v>
      </c>
      <c r="L784" s="304">
        <f t="shared" ca="1" si="348"/>
        <v>677.75112488689354</v>
      </c>
      <c r="M784" s="306">
        <f t="shared" ca="1" si="364"/>
        <v>-1.5378784457935539</v>
      </c>
      <c r="N784" s="304">
        <f t="shared" ca="1" si="365"/>
        <v>-88.113944348109186</v>
      </c>
      <c r="P784" s="310">
        <f t="shared" ca="1" si="366"/>
        <v>23</v>
      </c>
      <c r="Q784" s="304">
        <f t="shared" ca="1" si="367"/>
        <v>0</v>
      </c>
      <c r="R784" s="306">
        <f t="shared" ca="1" si="368"/>
        <v>0</v>
      </c>
      <c r="S784" s="307">
        <f t="shared" ca="1" si="369"/>
        <v>2.0842999999999985</v>
      </c>
      <c r="T784" s="304">
        <f t="shared" ca="1" si="349"/>
        <v>20.446982999999985</v>
      </c>
      <c r="U784" s="311">
        <f t="shared" ca="1" si="350"/>
        <v>0</v>
      </c>
      <c r="V784" s="306">
        <f t="shared" ca="1" si="351"/>
        <v>1.2264675482940366</v>
      </c>
      <c r="W784" s="304">
        <f t="shared" ca="1" si="352"/>
        <v>20.357154049813111</v>
      </c>
      <c r="Y784" s="314" t="str">
        <f t="shared" ca="1" si="370"/>
        <v/>
      </c>
      <c r="Z784" s="315" t="str">
        <f t="shared" ca="1" si="371"/>
        <v/>
      </c>
      <c r="AA784" s="316" t="str">
        <f t="shared" ca="1" si="372"/>
        <v/>
      </c>
      <c r="AC784" s="310" t="e">
        <f t="shared" ca="1" si="373"/>
        <v>#N/A</v>
      </c>
      <c r="AD784" s="323" t="e">
        <f t="shared" ca="1" si="374"/>
        <v>#N/A</v>
      </c>
      <c r="AE784" s="324" t="e">
        <f t="shared" ca="1" si="353"/>
        <v>#N/A</v>
      </c>
      <c r="AG784" s="306">
        <f t="shared" ca="1" si="375"/>
        <v>3.7795869974612373E-2</v>
      </c>
      <c r="AH784" s="304">
        <f t="shared" ca="1" si="376"/>
        <v>-9.7668895312263828</v>
      </c>
    </row>
    <row r="785" spans="1:34" x14ac:dyDescent="0.25">
      <c r="A785" s="347">
        <f t="shared" ca="1" si="354"/>
        <v>1E-4</v>
      </c>
      <c r="B785" s="304">
        <f t="shared" ca="1" si="355"/>
        <v>47.118700000000992</v>
      </c>
      <c r="D785" s="306">
        <f t="shared" ca="1" si="356"/>
        <v>-0.32144766103854078</v>
      </c>
      <c r="E785" s="307">
        <f t="shared" ca="1" si="357"/>
        <v>-4.838906438694579E-2</v>
      </c>
      <c r="F785" s="304">
        <f t="shared" ca="1" si="358"/>
        <v>0.32506937773249667</v>
      </c>
      <c r="G785" s="306">
        <f t="shared" ca="1" si="359"/>
        <v>4.0350342091127933</v>
      </c>
      <c r="H785" s="307">
        <f t="shared" ca="1" si="360"/>
        <v>-122.535498544757</v>
      </c>
      <c r="I785" s="304">
        <f t="shared" ca="1" si="361"/>
        <v>122.60191639889182</v>
      </c>
      <c r="J785" s="306">
        <f t="shared" ca="1" si="362"/>
        <v>677.64536374242232</v>
      </c>
      <c r="K785" s="307">
        <f t="shared" ca="1" si="363"/>
        <v>-11.985067915909225</v>
      </c>
      <c r="L785" s="304">
        <f t="shared" ca="1" si="348"/>
        <v>677.75134146274377</v>
      </c>
      <c r="M785" s="306">
        <f t="shared" ca="1" si="364"/>
        <v>-1.5378787091386188</v>
      </c>
      <c r="N785" s="304">
        <f t="shared" ca="1" si="365"/>
        <v>-88.113959436669958</v>
      </c>
      <c r="P785" s="310">
        <f t="shared" ca="1" si="366"/>
        <v>23</v>
      </c>
      <c r="Q785" s="304">
        <f t="shared" ca="1" si="367"/>
        <v>0</v>
      </c>
      <c r="R785" s="306">
        <f t="shared" ca="1" si="368"/>
        <v>0</v>
      </c>
      <c r="S785" s="307">
        <f t="shared" ca="1" si="369"/>
        <v>2.0842999999999985</v>
      </c>
      <c r="T785" s="304">
        <f t="shared" ca="1" si="349"/>
        <v>20.446982999999985</v>
      </c>
      <c r="U785" s="311">
        <f t="shared" ca="1" si="350"/>
        <v>0</v>
      </c>
      <c r="V785" s="306">
        <f t="shared" ca="1" si="351"/>
        <v>1.2264690511535916</v>
      </c>
      <c r="W785" s="304">
        <f t="shared" ca="1" si="352"/>
        <v>20.357180249311163</v>
      </c>
      <c r="Y785" s="314" t="str">
        <f t="shared" ca="1" si="370"/>
        <v/>
      </c>
      <c r="Z785" s="315" t="str">
        <f t="shared" ca="1" si="371"/>
        <v/>
      </c>
      <c r="AA785" s="316" t="str">
        <f t="shared" ca="1" si="372"/>
        <v/>
      </c>
      <c r="AC785" s="310" t="e">
        <f t="shared" ca="1" si="373"/>
        <v>#N/A</v>
      </c>
      <c r="AD785" s="323" t="e">
        <f t="shared" ca="1" si="374"/>
        <v>#N/A</v>
      </c>
      <c r="AE785" s="324" t="e">
        <f t="shared" ca="1" si="353"/>
        <v>#N/A</v>
      </c>
      <c r="AG785" s="306">
        <f t="shared" ca="1" si="375"/>
        <v>3.7783384891929117E-2</v>
      </c>
      <c r="AH785" s="304">
        <f t="shared" ca="1" si="376"/>
        <v>-9.7669021013352815</v>
      </c>
    </row>
    <row r="786" spans="1:34" x14ac:dyDescent="0.25">
      <c r="A786" s="347">
        <f t="shared" ca="1" si="354"/>
        <v>1E-4</v>
      </c>
      <c r="B786" s="304">
        <f t="shared" ca="1" si="355"/>
        <v>47.118800000000995</v>
      </c>
      <c r="D786" s="306">
        <f t="shared" ca="1" si="356"/>
        <v>-0.32144550406378192</v>
      </c>
      <c r="E786" s="307">
        <f t="shared" ca="1" si="357"/>
        <v>-4.8376416618589602E-2</v>
      </c>
      <c r="F786" s="304">
        <f t="shared" ca="1" si="358"/>
        <v>0.32506536230068284</v>
      </c>
      <c r="G786" s="306">
        <f t="shared" ca="1" si="359"/>
        <v>4.035002064562387</v>
      </c>
      <c r="H786" s="307">
        <f t="shared" ca="1" si="360"/>
        <v>-122.53550338239867</v>
      </c>
      <c r="I786" s="304">
        <f t="shared" ca="1" si="361"/>
        <v>122.60192017598607</v>
      </c>
      <c r="J786" s="306">
        <f t="shared" ca="1" si="362"/>
        <v>677.64536374242232</v>
      </c>
      <c r="K786" s="307">
        <f t="shared" ca="1" si="363"/>
        <v>-11.997321466005582</v>
      </c>
      <c r="L786" s="304">
        <f t="shared" ca="1" si="348"/>
        <v>677.75155826007403</v>
      </c>
      <c r="M786" s="306">
        <f t="shared" ca="1" si="364"/>
        <v>-1.5378789724815696</v>
      </c>
      <c r="N786" s="304">
        <f t="shared" ca="1" si="365"/>
        <v>-88.113974525109612</v>
      </c>
      <c r="P786" s="310">
        <f t="shared" ca="1" si="366"/>
        <v>23</v>
      </c>
      <c r="Q786" s="304">
        <f t="shared" ca="1" si="367"/>
        <v>0</v>
      </c>
      <c r="R786" s="306">
        <f t="shared" ca="1" si="368"/>
        <v>0</v>
      </c>
      <c r="S786" s="307">
        <f t="shared" ca="1" si="369"/>
        <v>2.0842999999999985</v>
      </c>
      <c r="T786" s="304">
        <f t="shared" ca="1" si="349"/>
        <v>20.446982999999985</v>
      </c>
      <c r="U786" s="311">
        <f t="shared" ca="1" si="350"/>
        <v>0</v>
      </c>
      <c r="V786" s="306">
        <f t="shared" ca="1" si="351"/>
        <v>1.2264705540150482</v>
      </c>
      <c r="W786" s="304">
        <f t="shared" ca="1" si="352"/>
        <v>20.357206448429285</v>
      </c>
      <c r="Y786" s="314" t="str">
        <f t="shared" ca="1" si="370"/>
        <v/>
      </c>
      <c r="Z786" s="315" t="str">
        <f t="shared" ca="1" si="371"/>
        <v/>
      </c>
      <c r="AA786" s="316" t="str">
        <f t="shared" ca="1" si="372"/>
        <v/>
      </c>
      <c r="AC786" s="310" t="e">
        <f t="shared" ca="1" si="373"/>
        <v>#N/A</v>
      </c>
      <c r="AD786" s="323" t="e">
        <f t="shared" ca="1" si="374"/>
        <v>#N/A</v>
      </c>
      <c r="AE786" s="324" t="e">
        <f t="shared" ca="1" si="353"/>
        <v>#N/A</v>
      </c>
      <c r="AG786" s="306">
        <f t="shared" ca="1" si="375"/>
        <v>3.7770899990164253E-2</v>
      </c>
      <c r="AH786" s="304">
        <f t="shared" ca="1" si="376"/>
        <v>-9.7669146712618993</v>
      </c>
    </row>
    <row r="787" spans="1:34" x14ac:dyDescent="0.25">
      <c r="A787" s="347">
        <f t="shared" ca="1" si="354"/>
        <v>1E-4</v>
      </c>
      <c r="B787" s="304">
        <f t="shared" ca="1" si="355"/>
        <v>47.118900000000998</v>
      </c>
      <c r="D787" s="306">
        <f t="shared" ca="1" si="356"/>
        <v>-0.32144334709702166</v>
      </c>
      <c r="E787" s="307">
        <f t="shared" ca="1" si="357"/>
        <v>-4.8363769033556991E-2</v>
      </c>
      <c r="F787" s="304">
        <f t="shared" ca="1" si="358"/>
        <v>0.32506134736087522</v>
      </c>
      <c r="G787" s="306">
        <f t="shared" ca="1" si="359"/>
        <v>4.0349699202276774</v>
      </c>
      <c r="H787" s="307">
        <f t="shared" ca="1" si="360"/>
        <v>-122.53550821877558</v>
      </c>
      <c r="I787" s="304">
        <f t="shared" ca="1" si="361"/>
        <v>122.60192395183185</v>
      </c>
      <c r="J787" s="306">
        <f t="shared" ca="1" si="362"/>
        <v>677.64536374242232</v>
      </c>
      <c r="K787" s="307">
        <f t="shared" ca="1" si="363"/>
        <v>-12.009575016585641</v>
      </c>
      <c r="L787" s="304">
        <f t="shared" ca="1" si="348"/>
        <v>677.751775278884</v>
      </c>
      <c r="M787" s="306">
        <f t="shared" ca="1" si="364"/>
        <v>-1.5378792358224063</v>
      </c>
      <c r="N787" s="304">
        <f t="shared" ca="1" si="365"/>
        <v>-88.113989613428117</v>
      </c>
      <c r="P787" s="310">
        <f t="shared" ca="1" si="366"/>
        <v>23</v>
      </c>
      <c r="Q787" s="304">
        <f t="shared" ca="1" si="367"/>
        <v>0</v>
      </c>
      <c r="R787" s="306">
        <f t="shared" ca="1" si="368"/>
        <v>0</v>
      </c>
      <c r="S787" s="307">
        <f t="shared" ca="1" si="369"/>
        <v>2.0842999999999985</v>
      </c>
      <c r="T787" s="304">
        <f t="shared" ca="1" si="349"/>
        <v>20.446982999999985</v>
      </c>
      <c r="U787" s="311">
        <f t="shared" ca="1" si="350"/>
        <v>0</v>
      </c>
      <c r="V787" s="306">
        <f t="shared" ca="1" si="351"/>
        <v>1.2264720568784073</v>
      </c>
      <c r="W787" s="304">
        <f t="shared" ca="1" si="352"/>
        <v>20.357232647167496</v>
      </c>
      <c r="Y787" s="314" t="str">
        <f t="shared" ca="1" si="370"/>
        <v/>
      </c>
      <c r="Z787" s="315" t="str">
        <f t="shared" ca="1" si="371"/>
        <v/>
      </c>
      <c r="AA787" s="316" t="str">
        <f t="shared" ca="1" si="372"/>
        <v/>
      </c>
      <c r="AC787" s="310" t="e">
        <f t="shared" ca="1" si="373"/>
        <v>#N/A</v>
      </c>
      <c r="AD787" s="323" t="e">
        <f t="shared" ca="1" si="374"/>
        <v>#N/A</v>
      </c>
      <c r="AE787" s="324" t="e">
        <f t="shared" ca="1" si="353"/>
        <v>#N/A</v>
      </c>
      <c r="AG787" s="306">
        <f t="shared" ca="1" si="375"/>
        <v>3.775841526931778E-2</v>
      </c>
      <c r="AH787" s="304">
        <f t="shared" ca="1" si="376"/>
        <v>-9.7669272410062362</v>
      </c>
    </row>
    <row r="788" spans="1:34" x14ac:dyDescent="0.25">
      <c r="A788" s="347">
        <f t="shared" ca="1" si="354"/>
        <v>1E-4</v>
      </c>
      <c r="B788" s="304">
        <f t="shared" ca="1" si="355"/>
        <v>47.119000000001002</v>
      </c>
      <c r="D788" s="306">
        <f t="shared" ca="1" si="356"/>
        <v>-0.32144119013826067</v>
      </c>
      <c r="E788" s="307">
        <f t="shared" ca="1" si="357"/>
        <v>-4.8351121631835525E-2</v>
      </c>
      <c r="F788" s="304">
        <f t="shared" ca="1" si="358"/>
        <v>0.32505733291306937</v>
      </c>
      <c r="G788" s="306">
        <f t="shared" ca="1" si="359"/>
        <v>4.0349377761086638</v>
      </c>
      <c r="H788" s="307">
        <f t="shared" ca="1" si="360"/>
        <v>-122.53551305388774</v>
      </c>
      <c r="I788" s="304">
        <f t="shared" ca="1" si="361"/>
        <v>122.60192772642917</v>
      </c>
      <c r="J788" s="306">
        <f t="shared" ca="1" si="362"/>
        <v>677.64536374242232</v>
      </c>
      <c r="K788" s="307">
        <f t="shared" ca="1" si="363"/>
        <v>-12.021828567649274</v>
      </c>
      <c r="L788" s="304">
        <f t="shared" ca="1" si="348"/>
        <v>677.75199251917343</v>
      </c>
      <c r="M788" s="306">
        <f t="shared" ca="1" si="364"/>
        <v>-1.5378794991611289</v>
      </c>
      <c r="N788" s="304">
        <f t="shared" ca="1" si="365"/>
        <v>-88.114004701625504</v>
      </c>
      <c r="P788" s="310">
        <f t="shared" ca="1" si="366"/>
        <v>23</v>
      </c>
      <c r="Q788" s="304">
        <f t="shared" ca="1" si="367"/>
        <v>0</v>
      </c>
      <c r="R788" s="306">
        <f t="shared" ca="1" si="368"/>
        <v>0</v>
      </c>
      <c r="S788" s="307">
        <f t="shared" ca="1" si="369"/>
        <v>2.0842999999999985</v>
      </c>
      <c r="T788" s="304">
        <f t="shared" ca="1" si="349"/>
        <v>20.446982999999985</v>
      </c>
      <c r="U788" s="311">
        <f t="shared" ca="1" si="350"/>
        <v>0</v>
      </c>
      <c r="V788" s="306">
        <f t="shared" ca="1" si="351"/>
        <v>1.2264735597436682</v>
      </c>
      <c r="W788" s="304">
        <f t="shared" ca="1" si="352"/>
        <v>20.357258845525788</v>
      </c>
      <c r="Y788" s="314" t="str">
        <f t="shared" ca="1" si="370"/>
        <v/>
      </c>
      <c r="Z788" s="315" t="str">
        <f t="shared" ca="1" si="371"/>
        <v/>
      </c>
      <c r="AA788" s="316" t="str">
        <f t="shared" ca="1" si="372"/>
        <v/>
      </c>
      <c r="AC788" s="310" t="e">
        <f t="shared" ca="1" si="373"/>
        <v>#N/A</v>
      </c>
      <c r="AD788" s="323" t="e">
        <f t="shared" ca="1" si="374"/>
        <v>#N/A</v>
      </c>
      <c r="AE788" s="324" t="e">
        <f t="shared" ca="1" si="353"/>
        <v>#N/A</v>
      </c>
      <c r="AG788" s="306">
        <f t="shared" ca="1" si="375"/>
        <v>3.7745930729380817E-2</v>
      </c>
      <c r="AH788" s="304">
        <f t="shared" ca="1" si="376"/>
        <v>-9.7669398105683012</v>
      </c>
    </row>
    <row r="789" spans="1:34" x14ac:dyDescent="0.25">
      <c r="A789" s="347">
        <f t="shared" ca="1" si="354"/>
        <v>1E-4</v>
      </c>
      <c r="B789" s="304">
        <f t="shared" ca="1" si="355"/>
        <v>47.119100000001005</v>
      </c>
      <c r="D789" s="306">
        <f t="shared" ca="1" si="356"/>
        <v>-0.32143903318749883</v>
      </c>
      <c r="E789" s="307">
        <f t="shared" ca="1" si="357"/>
        <v>-4.8338474413430532E-2</v>
      </c>
      <c r="F789" s="304">
        <f t="shared" ca="1" si="358"/>
        <v>0.32505331895726253</v>
      </c>
      <c r="G789" s="306">
        <f t="shared" ca="1" si="359"/>
        <v>4.0349056322053451</v>
      </c>
      <c r="H789" s="307">
        <f t="shared" ca="1" si="360"/>
        <v>-122.53551788773518</v>
      </c>
      <c r="I789" s="304">
        <f t="shared" ca="1" si="361"/>
        <v>122.60193149977805</v>
      </c>
      <c r="J789" s="306">
        <f t="shared" ca="1" si="362"/>
        <v>677.64536374242232</v>
      </c>
      <c r="K789" s="307">
        <f t="shared" ca="1" si="363"/>
        <v>-12.034082119196356</v>
      </c>
      <c r="L789" s="304">
        <f t="shared" ca="1" si="348"/>
        <v>677.75220998094233</v>
      </c>
      <c r="M789" s="306">
        <f t="shared" ca="1" si="364"/>
        <v>-1.5378797624977374</v>
      </c>
      <c r="N789" s="304">
        <f t="shared" ca="1" si="365"/>
        <v>-88.114019789701771</v>
      </c>
      <c r="P789" s="310">
        <f t="shared" ca="1" si="366"/>
        <v>23</v>
      </c>
      <c r="Q789" s="304">
        <f t="shared" ca="1" si="367"/>
        <v>0</v>
      </c>
      <c r="R789" s="306">
        <f t="shared" ca="1" si="368"/>
        <v>0</v>
      </c>
      <c r="S789" s="307">
        <f t="shared" ca="1" si="369"/>
        <v>2.0842999999999985</v>
      </c>
      <c r="T789" s="304">
        <f t="shared" ca="1" si="349"/>
        <v>20.446982999999985</v>
      </c>
      <c r="U789" s="311">
        <f t="shared" ca="1" si="350"/>
        <v>0</v>
      </c>
      <c r="V789" s="306">
        <f t="shared" ca="1" si="351"/>
        <v>1.2264750626108312</v>
      </c>
      <c r="W789" s="304">
        <f t="shared" ca="1" si="352"/>
        <v>20.357285043504167</v>
      </c>
      <c r="Y789" s="314" t="str">
        <f t="shared" ca="1" si="370"/>
        <v/>
      </c>
      <c r="Z789" s="315" t="str">
        <f t="shared" ca="1" si="371"/>
        <v/>
      </c>
      <c r="AA789" s="316" t="str">
        <f t="shared" ca="1" si="372"/>
        <v/>
      </c>
      <c r="AC789" s="310" t="e">
        <f t="shared" ca="1" si="373"/>
        <v>#N/A</v>
      </c>
      <c r="AD789" s="323" t="e">
        <f t="shared" ca="1" si="374"/>
        <v>#N/A</v>
      </c>
      <c r="AE789" s="324" t="e">
        <f t="shared" ca="1" si="353"/>
        <v>#N/A</v>
      </c>
      <c r="AG789" s="306">
        <f t="shared" ca="1" si="375"/>
        <v>3.7733446370358692E-2</v>
      </c>
      <c r="AH789" s="304">
        <f t="shared" ca="1" si="376"/>
        <v>-9.7669523799480888</v>
      </c>
    </row>
    <row r="790" spans="1:34" x14ac:dyDescent="0.25">
      <c r="A790" s="347">
        <f t="shared" ca="1" si="354"/>
        <v>1E-4</v>
      </c>
      <c r="B790" s="304">
        <f t="shared" ca="1" si="355"/>
        <v>47.119200000001008</v>
      </c>
      <c r="D790" s="306">
        <f t="shared" ca="1" si="356"/>
        <v>-0.3214368762447366</v>
      </c>
      <c r="E790" s="307">
        <f t="shared" ca="1" si="357"/>
        <v>-4.8325827378340236E-2</v>
      </c>
      <c r="F790" s="304">
        <f t="shared" ca="1" si="358"/>
        <v>0.32504930549345168</v>
      </c>
      <c r="G790" s="306">
        <f t="shared" ca="1" si="359"/>
        <v>4.0348734885177207</v>
      </c>
      <c r="H790" s="307">
        <f t="shared" ca="1" si="360"/>
        <v>-122.53552272031791</v>
      </c>
      <c r="I790" s="304">
        <f t="shared" ca="1" si="361"/>
        <v>122.60193527187853</v>
      </c>
      <c r="J790" s="306">
        <f t="shared" ca="1" si="362"/>
        <v>677.64536374242232</v>
      </c>
      <c r="K790" s="307">
        <f t="shared" ca="1" si="363"/>
        <v>-12.046335671226759</v>
      </c>
      <c r="L790" s="304">
        <f t="shared" ca="1" si="348"/>
        <v>677.75242766419046</v>
      </c>
      <c r="M790" s="306">
        <f t="shared" ca="1" si="364"/>
        <v>-1.5378800258322318</v>
      </c>
      <c r="N790" s="304">
        <f t="shared" ca="1" si="365"/>
        <v>-88.114034877656906</v>
      </c>
      <c r="P790" s="310">
        <f t="shared" ca="1" si="366"/>
        <v>23</v>
      </c>
      <c r="Q790" s="304">
        <f t="shared" ca="1" si="367"/>
        <v>0</v>
      </c>
      <c r="R790" s="306">
        <f t="shared" ca="1" si="368"/>
        <v>0</v>
      </c>
      <c r="S790" s="307">
        <f t="shared" ca="1" si="369"/>
        <v>2.0842999999999985</v>
      </c>
      <c r="T790" s="304">
        <f t="shared" ca="1" si="349"/>
        <v>20.446982999999985</v>
      </c>
      <c r="U790" s="311">
        <f t="shared" ca="1" si="350"/>
        <v>0</v>
      </c>
      <c r="V790" s="306">
        <f t="shared" ca="1" si="351"/>
        <v>1.2264765654798961</v>
      </c>
      <c r="W790" s="304">
        <f t="shared" ca="1" si="352"/>
        <v>20.35731124110265</v>
      </c>
      <c r="Y790" s="314" t="str">
        <f t="shared" ca="1" si="370"/>
        <v/>
      </c>
      <c r="Z790" s="315" t="str">
        <f t="shared" ca="1" si="371"/>
        <v/>
      </c>
      <c r="AA790" s="316" t="str">
        <f t="shared" ca="1" si="372"/>
        <v/>
      </c>
      <c r="AC790" s="310" t="e">
        <f t="shared" ca="1" si="373"/>
        <v>#N/A</v>
      </c>
      <c r="AD790" s="323" t="e">
        <f t="shared" ca="1" si="374"/>
        <v>#N/A</v>
      </c>
      <c r="AE790" s="324" t="e">
        <f t="shared" ca="1" si="353"/>
        <v>#N/A</v>
      </c>
      <c r="AG790" s="306">
        <f t="shared" ca="1" si="375"/>
        <v>3.7720962192247853E-2</v>
      </c>
      <c r="AH790" s="304">
        <f t="shared" ca="1" si="376"/>
        <v>-9.7669649491456028</v>
      </c>
    </row>
    <row r="791" spans="1:34" x14ac:dyDescent="0.25">
      <c r="A791" s="347">
        <f t="shared" ca="1" si="354"/>
        <v>1E-4</v>
      </c>
      <c r="B791" s="304">
        <f t="shared" ca="1" si="355"/>
        <v>47.119300000001012</v>
      </c>
      <c r="D791" s="306">
        <f t="shared" ca="1" si="356"/>
        <v>-0.32143471930997447</v>
      </c>
      <c r="E791" s="307">
        <f t="shared" ca="1" si="357"/>
        <v>-4.8313180526553978E-2</v>
      </c>
      <c r="F791" s="304">
        <f t="shared" ca="1" si="358"/>
        <v>0.32504529252163222</v>
      </c>
      <c r="G791" s="306">
        <f t="shared" ca="1" si="359"/>
        <v>4.0348413450457894</v>
      </c>
      <c r="H791" s="307">
        <f t="shared" ca="1" si="360"/>
        <v>-122.53552755163597</v>
      </c>
      <c r="I791" s="304">
        <f t="shared" ca="1" si="361"/>
        <v>122.60193904273059</v>
      </c>
      <c r="J791" s="306">
        <f t="shared" ca="1" si="362"/>
        <v>677.64536374242232</v>
      </c>
      <c r="K791" s="307">
        <f t="shared" ca="1" si="363"/>
        <v>-12.058589223740356</v>
      </c>
      <c r="L791" s="304">
        <f t="shared" ca="1" si="348"/>
        <v>677.7526455689175</v>
      </c>
      <c r="M791" s="306">
        <f t="shared" ca="1" si="364"/>
        <v>-1.5378802891646124</v>
      </c>
      <c r="N791" s="304">
        <f t="shared" ca="1" si="365"/>
        <v>-88.114049965490921</v>
      </c>
      <c r="P791" s="310">
        <f t="shared" ca="1" si="366"/>
        <v>23</v>
      </c>
      <c r="Q791" s="304">
        <f t="shared" ca="1" si="367"/>
        <v>0</v>
      </c>
      <c r="R791" s="306">
        <f t="shared" ca="1" si="368"/>
        <v>0</v>
      </c>
      <c r="S791" s="307">
        <f t="shared" ca="1" si="369"/>
        <v>2.0842999999999985</v>
      </c>
      <c r="T791" s="304">
        <f t="shared" ca="1" si="349"/>
        <v>20.446982999999985</v>
      </c>
      <c r="U791" s="311">
        <f t="shared" ca="1" si="350"/>
        <v>0</v>
      </c>
      <c r="V791" s="306">
        <f t="shared" ca="1" si="351"/>
        <v>1.2264780683508625</v>
      </c>
      <c r="W791" s="304">
        <f t="shared" ca="1" si="352"/>
        <v>20.357337438321217</v>
      </c>
      <c r="Y791" s="314" t="str">
        <f t="shared" ca="1" si="370"/>
        <v/>
      </c>
      <c r="Z791" s="315" t="str">
        <f t="shared" ca="1" si="371"/>
        <v/>
      </c>
      <c r="AA791" s="316" t="str">
        <f t="shared" ca="1" si="372"/>
        <v/>
      </c>
      <c r="AC791" s="310" t="e">
        <f t="shared" ca="1" si="373"/>
        <v>#N/A</v>
      </c>
      <c r="AD791" s="323" t="e">
        <f t="shared" ca="1" si="374"/>
        <v>#N/A</v>
      </c>
      <c r="AE791" s="324" t="e">
        <f t="shared" ca="1" si="353"/>
        <v>#N/A</v>
      </c>
      <c r="AG791" s="306">
        <f t="shared" ca="1" si="375"/>
        <v>3.7708478195037642E-2</v>
      </c>
      <c r="AH791" s="304">
        <f t="shared" ca="1" si="376"/>
        <v>-9.7669775181608518</v>
      </c>
    </row>
    <row r="792" spans="1:34" x14ac:dyDescent="0.25">
      <c r="A792" s="347">
        <f t="shared" ca="1" si="354"/>
        <v>1E-4</v>
      </c>
      <c r="B792" s="304">
        <f t="shared" ca="1" si="355"/>
        <v>47.119400000001015</v>
      </c>
      <c r="D792" s="306">
        <f t="shared" ca="1" si="356"/>
        <v>-0.32143256238321005</v>
      </c>
      <c r="E792" s="307">
        <f t="shared" ca="1" si="357"/>
        <v>-4.8300533858082417E-2</v>
      </c>
      <c r="F792" s="304">
        <f t="shared" ca="1" si="358"/>
        <v>0.32504128004180022</v>
      </c>
      <c r="G792" s="306">
        <f t="shared" ca="1" si="359"/>
        <v>4.0348092017895514</v>
      </c>
      <c r="H792" s="307">
        <f t="shared" ca="1" si="360"/>
        <v>-122.53553238168935</v>
      </c>
      <c r="I792" s="304">
        <f t="shared" ca="1" si="361"/>
        <v>122.60194281233427</v>
      </c>
      <c r="J792" s="306">
        <f t="shared" ca="1" si="362"/>
        <v>677.64536374242232</v>
      </c>
      <c r="K792" s="307">
        <f t="shared" ca="1" si="363"/>
        <v>-12.070842776737022</v>
      </c>
      <c r="L792" s="304">
        <f t="shared" ca="1" si="348"/>
        <v>677.75286369512344</v>
      </c>
      <c r="M792" s="306">
        <f t="shared" ca="1" si="364"/>
        <v>-1.5378805524948789</v>
      </c>
      <c r="N792" s="304">
        <f t="shared" ca="1" si="365"/>
        <v>-88.114065053203802</v>
      </c>
      <c r="P792" s="310">
        <f t="shared" ca="1" si="366"/>
        <v>23</v>
      </c>
      <c r="Q792" s="304">
        <f t="shared" ca="1" si="367"/>
        <v>0</v>
      </c>
      <c r="R792" s="306">
        <f t="shared" ca="1" si="368"/>
        <v>0</v>
      </c>
      <c r="S792" s="307">
        <f t="shared" ca="1" si="369"/>
        <v>2.0842999999999985</v>
      </c>
      <c r="T792" s="304">
        <f t="shared" ca="1" si="349"/>
        <v>20.446982999999985</v>
      </c>
      <c r="U792" s="311">
        <f t="shared" ca="1" si="350"/>
        <v>0</v>
      </c>
      <c r="V792" s="306">
        <f t="shared" ca="1" si="351"/>
        <v>1.2264795712237313</v>
      </c>
      <c r="W792" s="304">
        <f t="shared" ca="1" si="352"/>
        <v>20.357363635159892</v>
      </c>
      <c r="Y792" s="314" t="str">
        <f t="shared" ca="1" si="370"/>
        <v/>
      </c>
      <c r="Z792" s="315" t="str">
        <f t="shared" ca="1" si="371"/>
        <v/>
      </c>
      <c r="AA792" s="316" t="str">
        <f t="shared" ca="1" si="372"/>
        <v/>
      </c>
      <c r="AC792" s="310" t="e">
        <f t="shared" ca="1" si="373"/>
        <v>#N/A</v>
      </c>
      <c r="AD792" s="323" t="e">
        <f t="shared" ca="1" si="374"/>
        <v>#N/A</v>
      </c>
      <c r="AE792" s="324" t="e">
        <f t="shared" ca="1" si="353"/>
        <v>#N/A</v>
      </c>
      <c r="AG792" s="306">
        <f t="shared" ca="1" si="375"/>
        <v>3.7695994378744047E-2</v>
      </c>
      <c r="AH792" s="304">
        <f t="shared" ca="1" si="376"/>
        <v>-9.7669900869938253</v>
      </c>
    </row>
    <row r="793" spans="1:34" x14ac:dyDescent="0.25">
      <c r="A793" s="347">
        <f t="shared" ca="1" si="354"/>
        <v>1E-4</v>
      </c>
      <c r="B793" s="304">
        <f t="shared" ca="1" si="355"/>
        <v>47.119500000001018</v>
      </c>
      <c r="D793" s="306">
        <f t="shared" ca="1" si="356"/>
        <v>-0.32143040546444629</v>
      </c>
      <c r="E793" s="307">
        <f t="shared" ca="1" si="357"/>
        <v>-4.8287887372913119E-2</v>
      </c>
      <c r="F793" s="304">
        <f t="shared" ca="1" si="358"/>
        <v>0.32503726805395328</v>
      </c>
      <c r="G793" s="306">
        <f t="shared" ca="1" si="359"/>
        <v>4.0347770587490048</v>
      </c>
      <c r="H793" s="307">
        <f t="shared" ca="1" si="360"/>
        <v>-122.53553721047808</v>
      </c>
      <c r="I793" s="304">
        <f t="shared" ca="1" si="361"/>
        <v>122.6019465806896</v>
      </c>
      <c r="J793" s="306">
        <f t="shared" ca="1" si="362"/>
        <v>677.64536374242232</v>
      </c>
      <c r="K793" s="307">
        <f t="shared" ca="1" si="363"/>
        <v>-12.08309633021663</v>
      </c>
      <c r="L793" s="304">
        <f t="shared" ca="1" si="348"/>
        <v>677.75308204280793</v>
      </c>
      <c r="M793" s="306">
        <f t="shared" ca="1" si="364"/>
        <v>-1.5378808158230313</v>
      </c>
      <c r="N793" s="304">
        <f t="shared" ca="1" si="365"/>
        <v>-88.114080140795565</v>
      </c>
      <c r="P793" s="310">
        <f t="shared" ca="1" si="366"/>
        <v>23</v>
      </c>
      <c r="Q793" s="304">
        <f t="shared" ca="1" si="367"/>
        <v>0</v>
      </c>
      <c r="R793" s="306">
        <f t="shared" ca="1" si="368"/>
        <v>0</v>
      </c>
      <c r="S793" s="307">
        <f t="shared" ca="1" si="369"/>
        <v>2.0842999999999985</v>
      </c>
      <c r="T793" s="304">
        <f t="shared" ca="1" si="349"/>
        <v>20.446982999999985</v>
      </c>
      <c r="U793" s="311">
        <f t="shared" ca="1" si="350"/>
        <v>0</v>
      </c>
      <c r="V793" s="306">
        <f t="shared" ca="1" si="351"/>
        <v>1.2264810740985019</v>
      </c>
      <c r="W793" s="304">
        <f t="shared" ca="1" si="352"/>
        <v>20.357389831618679</v>
      </c>
      <c r="Y793" s="314" t="str">
        <f t="shared" ca="1" si="370"/>
        <v/>
      </c>
      <c r="Z793" s="315" t="str">
        <f t="shared" ca="1" si="371"/>
        <v/>
      </c>
      <c r="AA793" s="316" t="str">
        <f t="shared" ca="1" si="372"/>
        <v/>
      </c>
      <c r="AC793" s="310" t="e">
        <f t="shared" ca="1" si="373"/>
        <v>#N/A</v>
      </c>
      <c r="AD793" s="323" t="e">
        <f t="shared" ca="1" si="374"/>
        <v>#N/A</v>
      </c>
      <c r="AE793" s="324" t="e">
        <f t="shared" ca="1" si="353"/>
        <v>#N/A</v>
      </c>
      <c r="AG793" s="306">
        <f t="shared" ca="1" si="375"/>
        <v>3.7683510743349302E-2</v>
      </c>
      <c r="AH793" s="304">
        <f t="shared" ca="1" si="376"/>
        <v>-9.7670026556445357</v>
      </c>
    </row>
    <row r="794" spans="1:34" x14ac:dyDescent="0.25">
      <c r="A794" s="347">
        <f t="shared" ca="1" si="354"/>
        <v>1E-4</v>
      </c>
      <c r="B794" s="304">
        <f t="shared" ca="1" si="355"/>
        <v>47.119600000001022</v>
      </c>
      <c r="D794" s="306">
        <f t="shared" ca="1" si="356"/>
        <v>-0.32142824855368335</v>
      </c>
      <c r="E794" s="307">
        <f t="shared" ca="1" si="357"/>
        <v>-4.8275241071047859E-2</v>
      </c>
      <c r="F794" s="304">
        <f t="shared" ca="1" si="358"/>
        <v>0.32503325655808857</v>
      </c>
      <c r="G794" s="306">
        <f t="shared" ca="1" si="359"/>
        <v>4.0347449159241497</v>
      </c>
      <c r="H794" s="307">
        <f t="shared" ca="1" si="360"/>
        <v>-122.53554203800219</v>
      </c>
      <c r="I794" s="304">
        <f t="shared" ca="1" si="361"/>
        <v>122.60195034779659</v>
      </c>
      <c r="J794" s="306">
        <f t="shared" ca="1" si="362"/>
        <v>677.64536374242232</v>
      </c>
      <c r="K794" s="307">
        <f t="shared" ca="1" si="363"/>
        <v>-12.095349884179054</v>
      </c>
      <c r="L794" s="304">
        <f t="shared" ca="1" si="348"/>
        <v>677.75330061197087</v>
      </c>
      <c r="M794" s="306">
        <f t="shared" ca="1" si="364"/>
        <v>-1.5378810791490698</v>
      </c>
      <c r="N794" s="304">
        <f t="shared" ca="1" si="365"/>
        <v>-88.114095228266208</v>
      </c>
      <c r="P794" s="310">
        <f t="shared" ca="1" si="366"/>
        <v>23</v>
      </c>
      <c r="Q794" s="304">
        <f t="shared" ca="1" si="367"/>
        <v>0</v>
      </c>
      <c r="R794" s="306">
        <f t="shared" ca="1" si="368"/>
        <v>0</v>
      </c>
      <c r="S794" s="307">
        <f t="shared" ca="1" si="369"/>
        <v>2.0842999999999985</v>
      </c>
      <c r="T794" s="304">
        <f t="shared" ca="1" si="349"/>
        <v>20.446982999999985</v>
      </c>
      <c r="U794" s="311">
        <f t="shared" ca="1" si="350"/>
        <v>0</v>
      </c>
      <c r="V794" s="306">
        <f t="shared" ca="1" si="351"/>
        <v>1.2264825769751742</v>
      </c>
      <c r="W794" s="304">
        <f t="shared" ca="1" si="352"/>
        <v>20.357416027697571</v>
      </c>
      <c r="Y794" s="314" t="str">
        <f t="shared" ca="1" si="370"/>
        <v/>
      </c>
      <c r="Z794" s="315" t="str">
        <f t="shared" ca="1" si="371"/>
        <v/>
      </c>
      <c r="AA794" s="316" t="str">
        <f t="shared" ca="1" si="372"/>
        <v/>
      </c>
      <c r="AC794" s="310" t="e">
        <f t="shared" ca="1" si="373"/>
        <v>#N/A</v>
      </c>
      <c r="AD794" s="323" t="e">
        <f t="shared" ca="1" si="374"/>
        <v>#N/A</v>
      </c>
      <c r="AE794" s="324" t="e">
        <f t="shared" ca="1" si="353"/>
        <v>#N/A</v>
      </c>
      <c r="AG794" s="306">
        <f t="shared" ca="1" si="375"/>
        <v>3.7671027288853409E-2</v>
      </c>
      <c r="AH794" s="304">
        <f t="shared" ca="1" si="376"/>
        <v>-9.7670152241129848</v>
      </c>
    </row>
    <row r="795" spans="1:34" x14ac:dyDescent="0.25">
      <c r="A795" s="347">
        <f t="shared" ca="1" si="354"/>
        <v>1E-4</v>
      </c>
      <c r="B795" s="304">
        <f t="shared" ca="1" si="355"/>
        <v>47.119700000001025</v>
      </c>
      <c r="D795" s="306">
        <f t="shared" ca="1" si="356"/>
        <v>-0.32142609165091923</v>
      </c>
      <c r="E795" s="307">
        <f t="shared" ca="1" si="357"/>
        <v>-4.8262594952486637E-2</v>
      </c>
      <c r="F795" s="304">
        <f t="shared" ca="1" si="358"/>
        <v>0.32502924555420071</v>
      </c>
      <c r="G795" s="306">
        <f t="shared" ca="1" si="359"/>
        <v>4.0347127733149843</v>
      </c>
      <c r="H795" s="307">
        <f t="shared" ca="1" si="360"/>
        <v>-122.53554686426169</v>
      </c>
      <c r="I795" s="304">
        <f t="shared" ca="1" si="361"/>
        <v>122.60195411365524</v>
      </c>
      <c r="J795" s="306">
        <f t="shared" ca="1" si="362"/>
        <v>677.64536374242232</v>
      </c>
      <c r="K795" s="307">
        <f t="shared" ca="1" si="363"/>
        <v>-12.107603438624167</v>
      </c>
      <c r="L795" s="304">
        <f t="shared" ca="1" si="348"/>
        <v>677.75351940261203</v>
      </c>
      <c r="M795" s="306">
        <f t="shared" ca="1" si="364"/>
        <v>-1.5378813424729942</v>
      </c>
      <c r="N795" s="304">
        <f t="shared" ca="1" si="365"/>
        <v>-88.114110315615719</v>
      </c>
      <c r="P795" s="310">
        <f t="shared" ca="1" si="366"/>
        <v>23</v>
      </c>
      <c r="Q795" s="304">
        <f t="shared" ca="1" si="367"/>
        <v>0</v>
      </c>
      <c r="R795" s="306">
        <f t="shared" ca="1" si="368"/>
        <v>0</v>
      </c>
      <c r="S795" s="307">
        <f t="shared" ca="1" si="369"/>
        <v>2.0842999999999985</v>
      </c>
      <c r="T795" s="304">
        <f t="shared" ca="1" si="349"/>
        <v>20.446982999999985</v>
      </c>
      <c r="U795" s="311">
        <f t="shared" ca="1" si="350"/>
        <v>0</v>
      </c>
      <c r="V795" s="306">
        <f t="shared" ca="1" si="351"/>
        <v>1.2264840798537486</v>
      </c>
      <c r="W795" s="304">
        <f t="shared" ca="1" si="352"/>
        <v>20.357442223396582</v>
      </c>
      <c r="Y795" s="314" t="str">
        <f t="shared" ca="1" si="370"/>
        <v/>
      </c>
      <c r="Z795" s="315" t="str">
        <f t="shared" ca="1" si="371"/>
        <v/>
      </c>
      <c r="AA795" s="316" t="str">
        <f t="shared" ca="1" si="372"/>
        <v/>
      </c>
      <c r="AC795" s="310" t="e">
        <f t="shared" ca="1" si="373"/>
        <v>#N/A</v>
      </c>
      <c r="AD795" s="323" t="e">
        <f t="shared" ca="1" si="374"/>
        <v>#N/A</v>
      </c>
      <c r="AE795" s="324" t="e">
        <f t="shared" ca="1" si="353"/>
        <v>#N/A</v>
      </c>
      <c r="AG795" s="306">
        <f t="shared" ca="1" si="375"/>
        <v>3.7658544015263473E-2</v>
      </c>
      <c r="AH795" s="304">
        <f t="shared" ca="1" si="376"/>
        <v>-9.7670277923991673</v>
      </c>
    </row>
    <row r="796" spans="1:34" x14ac:dyDescent="0.25">
      <c r="A796" s="347">
        <f t="shared" ca="1" si="354"/>
        <v>1E-4</v>
      </c>
      <c r="B796" s="304">
        <f t="shared" ca="1" si="355"/>
        <v>47.119800000001028</v>
      </c>
      <c r="D796" s="306">
        <f t="shared" ca="1" si="356"/>
        <v>-0.32142393475615655</v>
      </c>
      <c r="E796" s="307">
        <f t="shared" ca="1" si="357"/>
        <v>-4.8249949017222349E-2</v>
      </c>
      <c r="F796" s="304">
        <f t="shared" ca="1" si="358"/>
        <v>0.32502523504228797</v>
      </c>
      <c r="G796" s="306">
        <f t="shared" ca="1" si="359"/>
        <v>4.0346806309215086</v>
      </c>
      <c r="H796" s="307">
        <f t="shared" ca="1" si="360"/>
        <v>-122.53555168925659</v>
      </c>
      <c r="I796" s="304">
        <f t="shared" ca="1" si="361"/>
        <v>122.60195787826558</v>
      </c>
      <c r="J796" s="306">
        <f t="shared" ca="1" si="362"/>
        <v>677.64536374242232</v>
      </c>
      <c r="K796" s="307">
        <f t="shared" ca="1" si="363"/>
        <v>-12.119856993551844</v>
      </c>
      <c r="L796" s="304">
        <f t="shared" ca="1" si="348"/>
        <v>677.75373841473129</v>
      </c>
      <c r="M796" s="306">
        <f t="shared" ca="1" si="364"/>
        <v>-1.5378816057948048</v>
      </c>
      <c r="N796" s="304">
        <f t="shared" ca="1" si="365"/>
        <v>-88.114125402844124</v>
      </c>
      <c r="P796" s="310">
        <f t="shared" ca="1" si="366"/>
        <v>23</v>
      </c>
      <c r="Q796" s="304">
        <f t="shared" ca="1" si="367"/>
        <v>0</v>
      </c>
      <c r="R796" s="306">
        <f t="shared" ca="1" si="368"/>
        <v>0</v>
      </c>
      <c r="S796" s="307">
        <f t="shared" ca="1" si="369"/>
        <v>2.0842999999999985</v>
      </c>
      <c r="T796" s="304">
        <f t="shared" ca="1" si="349"/>
        <v>20.446982999999985</v>
      </c>
      <c r="U796" s="311">
        <f t="shared" ca="1" si="350"/>
        <v>0</v>
      </c>
      <c r="V796" s="306">
        <f t="shared" ca="1" si="351"/>
        <v>1.2264855827342247</v>
      </c>
      <c r="W796" s="304">
        <f t="shared" ca="1" si="352"/>
        <v>20.357468418715708</v>
      </c>
      <c r="Y796" s="314" t="str">
        <f t="shared" ca="1" si="370"/>
        <v/>
      </c>
      <c r="Z796" s="315" t="str">
        <f t="shared" ca="1" si="371"/>
        <v/>
      </c>
      <c r="AA796" s="316" t="str">
        <f t="shared" ca="1" si="372"/>
        <v/>
      </c>
      <c r="AC796" s="310" t="e">
        <f t="shared" ca="1" si="373"/>
        <v>#N/A</v>
      </c>
      <c r="AD796" s="323" t="e">
        <f t="shared" ca="1" si="374"/>
        <v>#N/A</v>
      </c>
      <c r="AE796" s="324" t="e">
        <f t="shared" ca="1" si="353"/>
        <v>#N/A</v>
      </c>
      <c r="AG796" s="306">
        <f t="shared" ca="1" si="375"/>
        <v>3.7646060922565283E-2</v>
      </c>
      <c r="AH796" s="304">
        <f t="shared" ca="1" si="376"/>
        <v>-9.7670403605030938</v>
      </c>
    </row>
    <row r="797" spans="1:34" x14ac:dyDescent="0.25">
      <c r="A797" s="347">
        <f t="shared" ca="1" si="354"/>
        <v>1E-4</v>
      </c>
      <c r="B797" s="304">
        <f t="shared" ca="1" si="355"/>
        <v>47.119900000001032</v>
      </c>
      <c r="D797" s="306">
        <f t="shared" ca="1" si="356"/>
        <v>-0.32142177786939324</v>
      </c>
      <c r="E797" s="307">
        <f t="shared" ca="1" si="357"/>
        <v>-4.8237303265260323E-2</v>
      </c>
      <c r="F797" s="304">
        <f t="shared" ca="1" si="358"/>
        <v>0.32502122502234571</v>
      </c>
      <c r="G797" s="306">
        <f t="shared" ca="1" si="359"/>
        <v>4.0346484887437217</v>
      </c>
      <c r="H797" s="307">
        <f t="shared" ca="1" si="360"/>
        <v>-122.53555651298691</v>
      </c>
      <c r="I797" s="304">
        <f t="shared" ca="1" si="361"/>
        <v>122.60196164162762</v>
      </c>
      <c r="J797" s="306">
        <f t="shared" ca="1" si="362"/>
        <v>677.64536374242232</v>
      </c>
      <c r="K797" s="307">
        <f t="shared" ca="1" si="363"/>
        <v>-12.132110548961956</v>
      </c>
      <c r="L797" s="304">
        <f t="shared" ca="1" si="348"/>
        <v>677.75395764832842</v>
      </c>
      <c r="M797" s="306">
        <f t="shared" ca="1" si="364"/>
        <v>-1.5378818691145015</v>
      </c>
      <c r="N797" s="304">
        <f t="shared" ca="1" si="365"/>
        <v>-88.11414048995141</v>
      </c>
      <c r="P797" s="310">
        <f t="shared" ca="1" si="366"/>
        <v>23</v>
      </c>
      <c r="Q797" s="304">
        <f t="shared" ca="1" si="367"/>
        <v>0</v>
      </c>
      <c r="R797" s="306">
        <f t="shared" ca="1" si="368"/>
        <v>0</v>
      </c>
      <c r="S797" s="307">
        <f t="shared" ca="1" si="369"/>
        <v>2.0842999999999985</v>
      </c>
      <c r="T797" s="304">
        <f t="shared" ca="1" si="349"/>
        <v>20.446982999999985</v>
      </c>
      <c r="U797" s="311">
        <f t="shared" ca="1" si="350"/>
        <v>0</v>
      </c>
      <c r="V797" s="306">
        <f t="shared" ca="1" si="351"/>
        <v>1.2264870856166028</v>
      </c>
      <c r="W797" s="304">
        <f t="shared" ca="1" si="352"/>
        <v>20.357494613654957</v>
      </c>
      <c r="Y797" s="314" t="str">
        <f t="shared" ca="1" si="370"/>
        <v/>
      </c>
      <c r="Z797" s="315" t="str">
        <f t="shared" ca="1" si="371"/>
        <v/>
      </c>
      <c r="AA797" s="316" t="str">
        <f t="shared" ca="1" si="372"/>
        <v/>
      </c>
      <c r="AC797" s="310" t="e">
        <f t="shared" ca="1" si="373"/>
        <v>#N/A</v>
      </c>
      <c r="AD797" s="323" t="e">
        <f t="shared" ca="1" si="374"/>
        <v>#N/A</v>
      </c>
      <c r="AE797" s="324" t="e">
        <f t="shared" ca="1" si="353"/>
        <v>#N/A</v>
      </c>
      <c r="AG797" s="306">
        <f t="shared" ca="1" si="375"/>
        <v>3.7633578010767721E-2</v>
      </c>
      <c r="AH797" s="304">
        <f t="shared" ca="1" si="376"/>
        <v>-9.7670529284247571</v>
      </c>
    </row>
    <row r="798" spans="1:34" x14ac:dyDescent="0.25">
      <c r="A798" s="347">
        <f t="shared" ca="1" si="354"/>
        <v>1E-4</v>
      </c>
      <c r="B798" s="304">
        <f t="shared" ca="1" si="355"/>
        <v>47.120000000001035</v>
      </c>
      <c r="D798" s="306">
        <f t="shared" ca="1" si="356"/>
        <v>-0.32141962099062976</v>
      </c>
      <c r="E798" s="307">
        <f t="shared" ca="1" si="357"/>
        <v>-4.8224657696593454E-2</v>
      </c>
      <c r="F798" s="304">
        <f t="shared" ca="1" si="358"/>
        <v>0.3250172154943699</v>
      </c>
      <c r="G798" s="306">
        <f t="shared" ca="1" si="359"/>
        <v>4.0346163467816227</v>
      </c>
      <c r="H798" s="307">
        <f t="shared" ca="1" si="360"/>
        <v>-122.53556133545268</v>
      </c>
      <c r="I798" s="304">
        <f t="shared" ca="1" si="361"/>
        <v>122.6019654037414</v>
      </c>
      <c r="J798" s="306">
        <f t="shared" ca="1" si="362"/>
        <v>677.64536374242232</v>
      </c>
      <c r="K798" s="307">
        <f t="shared" ca="1" si="363"/>
        <v>-12.144364104854377</v>
      </c>
      <c r="L798" s="304">
        <f t="shared" ca="1" si="348"/>
        <v>677.75417710340309</v>
      </c>
      <c r="M798" s="306">
        <f t="shared" ca="1" si="364"/>
        <v>-1.5378821324320844</v>
      </c>
      <c r="N798" s="304">
        <f t="shared" ca="1" si="365"/>
        <v>-88.114155576937577</v>
      </c>
      <c r="P798" s="310">
        <f t="shared" ca="1" si="366"/>
        <v>23</v>
      </c>
      <c r="Q798" s="304">
        <f t="shared" ca="1" si="367"/>
        <v>0</v>
      </c>
      <c r="R798" s="306">
        <f t="shared" ca="1" si="368"/>
        <v>0</v>
      </c>
      <c r="S798" s="307">
        <f t="shared" ca="1" si="369"/>
        <v>2.0842999999999985</v>
      </c>
      <c r="T798" s="304">
        <f t="shared" ca="1" si="349"/>
        <v>20.446982999999985</v>
      </c>
      <c r="U798" s="311">
        <f t="shared" ca="1" si="350"/>
        <v>0</v>
      </c>
      <c r="V798" s="306">
        <f t="shared" ca="1" si="351"/>
        <v>1.2264885885008825</v>
      </c>
      <c r="W798" s="304">
        <f t="shared" ca="1" si="352"/>
        <v>20.357520808214336</v>
      </c>
      <c r="Y798" s="314" t="str">
        <f t="shared" ca="1" si="370"/>
        <v/>
      </c>
      <c r="Z798" s="315" t="str">
        <f t="shared" ca="1" si="371"/>
        <v/>
      </c>
      <c r="AA798" s="316" t="str">
        <f t="shared" ca="1" si="372"/>
        <v/>
      </c>
      <c r="AC798" s="310" t="e">
        <f t="shared" ca="1" si="373"/>
        <v>#N/A</v>
      </c>
      <c r="AD798" s="323" t="e">
        <f t="shared" ca="1" si="374"/>
        <v>#N/A</v>
      </c>
      <c r="AE798" s="324" t="e">
        <f t="shared" ca="1" si="353"/>
        <v>#N/A</v>
      </c>
      <c r="AG798" s="306">
        <f t="shared" ca="1" si="375"/>
        <v>3.7621095279861905E-2</v>
      </c>
      <c r="AH798" s="304">
        <f t="shared" ca="1" si="376"/>
        <v>-9.7670654961641663</v>
      </c>
    </row>
    <row r="799" spans="1:34" x14ac:dyDescent="0.25">
      <c r="A799" s="347">
        <f t="shared" ca="1" si="354"/>
        <v>1E-4</v>
      </c>
      <c r="B799" s="304">
        <f t="shared" ca="1" si="355"/>
        <v>47.120100000001038</v>
      </c>
      <c r="D799" s="306">
        <f t="shared" ca="1" si="356"/>
        <v>-0.32141746411986633</v>
      </c>
      <c r="E799" s="307">
        <f t="shared" ca="1" si="357"/>
        <v>-4.8212012311219965E-2</v>
      </c>
      <c r="F799" s="304">
        <f t="shared" ca="1" si="358"/>
        <v>0.3250132064583573</v>
      </c>
      <c r="G799" s="306">
        <f t="shared" ca="1" si="359"/>
        <v>4.0345842050352108</v>
      </c>
      <c r="H799" s="307">
        <f t="shared" ca="1" si="360"/>
        <v>-122.53556615665391</v>
      </c>
      <c r="I799" s="304">
        <f t="shared" ca="1" si="361"/>
        <v>122.60196916460693</v>
      </c>
      <c r="J799" s="306">
        <f t="shared" ca="1" si="362"/>
        <v>677.64536374242232</v>
      </c>
      <c r="K799" s="307">
        <f t="shared" ca="1" si="363"/>
        <v>-12.156617661228982</v>
      </c>
      <c r="L799" s="304">
        <f t="shared" ca="1" si="348"/>
        <v>677.7543967799553</v>
      </c>
      <c r="M799" s="306">
        <f t="shared" ca="1" si="364"/>
        <v>-1.5378823957475531</v>
      </c>
      <c r="N799" s="304">
        <f t="shared" ca="1" si="365"/>
        <v>-88.114170663802611</v>
      </c>
      <c r="P799" s="310">
        <f t="shared" ca="1" si="366"/>
        <v>23</v>
      </c>
      <c r="Q799" s="304">
        <f t="shared" ca="1" si="367"/>
        <v>0</v>
      </c>
      <c r="R799" s="306">
        <f t="shared" ca="1" si="368"/>
        <v>0</v>
      </c>
      <c r="S799" s="307">
        <f t="shared" ca="1" si="369"/>
        <v>2.0842999999999985</v>
      </c>
      <c r="T799" s="304">
        <f t="shared" ca="1" si="349"/>
        <v>20.446982999999985</v>
      </c>
      <c r="U799" s="311">
        <f t="shared" ca="1" si="350"/>
        <v>0</v>
      </c>
      <c r="V799" s="306">
        <f t="shared" ca="1" si="351"/>
        <v>1.2264900913870642</v>
      </c>
      <c r="W799" s="304">
        <f t="shared" ca="1" si="352"/>
        <v>20.357547002393847</v>
      </c>
      <c r="Y799" s="314" t="str">
        <f t="shared" ca="1" si="370"/>
        <v/>
      </c>
      <c r="Z799" s="315" t="str">
        <f t="shared" ca="1" si="371"/>
        <v/>
      </c>
      <c r="AA799" s="316" t="str">
        <f t="shared" ca="1" si="372"/>
        <v/>
      </c>
      <c r="AC799" s="310" t="e">
        <f t="shared" ca="1" si="373"/>
        <v>#N/A</v>
      </c>
      <c r="AD799" s="323" t="e">
        <f t="shared" ca="1" si="374"/>
        <v>#N/A</v>
      </c>
      <c r="AE799" s="324" t="e">
        <f t="shared" ca="1" si="353"/>
        <v>#N/A</v>
      </c>
      <c r="AG799" s="306">
        <f t="shared" ca="1" si="375"/>
        <v>3.7608612729849611E-2</v>
      </c>
      <c r="AH799" s="304">
        <f t="shared" ca="1" si="376"/>
        <v>-9.7670780637213213</v>
      </c>
    </row>
    <row r="800" spans="1:34" x14ac:dyDescent="0.25">
      <c r="A800" s="347">
        <f t="shared" ca="1" si="354"/>
        <v>1E-4</v>
      </c>
      <c r="B800" s="304">
        <f t="shared" ca="1" si="355"/>
        <v>47.120200000001041</v>
      </c>
      <c r="D800" s="306">
        <f t="shared" ca="1" si="356"/>
        <v>-0.32141530725710549</v>
      </c>
      <c r="E800" s="307">
        <f t="shared" ca="1" si="357"/>
        <v>-4.8199367109136304E-2</v>
      </c>
      <c r="F800" s="304">
        <f t="shared" ca="1" si="358"/>
        <v>0.32500919791430644</v>
      </c>
      <c r="G800" s="306">
        <f t="shared" ca="1" si="359"/>
        <v>4.0345520635044849</v>
      </c>
      <c r="H800" s="307">
        <f t="shared" ca="1" si="360"/>
        <v>-122.53557097659062</v>
      </c>
      <c r="I800" s="304">
        <f t="shared" ca="1" si="361"/>
        <v>122.60197292422421</v>
      </c>
      <c r="J800" s="306">
        <f t="shared" ca="1" si="362"/>
        <v>677.64536374242232</v>
      </c>
      <c r="K800" s="307">
        <f t="shared" ca="1" si="363"/>
        <v>-12.168871218085643</v>
      </c>
      <c r="L800" s="304">
        <f t="shared" ca="1" si="348"/>
        <v>677.75461667798481</v>
      </c>
      <c r="M800" s="306">
        <f t="shared" ca="1" si="364"/>
        <v>-1.5378826590609083</v>
      </c>
      <c r="N800" s="304">
        <f t="shared" ca="1" si="365"/>
        <v>-88.114185750546554</v>
      </c>
      <c r="P800" s="310">
        <f t="shared" ca="1" si="366"/>
        <v>23</v>
      </c>
      <c r="Q800" s="304">
        <f t="shared" ca="1" si="367"/>
        <v>0</v>
      </c>
      <c r="R800" s="306">
        <f t="shared" ca="1" si="368"/>
        <v>0</v>
      </c>
      <c r="S800" s="307">
        <f t="shared" ca="1" si="369"/>
        <v>2.0842999999999985</v>
      </c>
      <c r="T800" s="304">
        <f t="shared" ca="1" si="349"/>
        <v>20.446982999999985</v>
      </c>
      <c r="U800" s="311">
        <f t="shared" ca="1" si="350"/>
        <v>0</v>
      </c>
      <c r="V800" s="306">
        <f t="shared" ca="1" si="351"/>
        <v>1.2264915942751478</v>
      </c>
      <c r="W800" s="304">
        <f t="shared" ca="1" si="352"/>
        <v>20.357573196193496</v>
      </c>
      <c r="Y800" s="314" t="str">
        <f t="shared" ca="1" si="370"/>
        <v/>
      </c>
      <c r="Z800" s="315" t="str">
        <f t="shared" ca="1" si="371"/>
        <v/>
      </c>
      <c r="AA800" s="316" t="str">
        <f t="shared" ca="1" si="372"/>
        <v/>
      </c>
      <c r="AC800" s="310" t="e">
        <f t="shared" ca="1" si="373"/>
        <v>#N/A</v>
      </c>
      <c r="AD800" s="323" t="e">
        <f t="shared" ca="1" si="374"/>
        <v>#N/A</v>
      </c>
      <c r="AE800" s="324" t="e">
        <f t="shared" ca="1" si="353"/>
        <v>#N/A</v>
      </c>
      <c r="AG800" s="306">
        <f t="shared" ca="1" si="375"/>
        <v>3.759613036072551E-2</v>
      </c>
      <c r="AH800" s="304">
        <f t="shared" ca="1" si="376"/>
        <v>-9.7670906310962256</v>
      </c>
    </row>
    <row r="801" spans="1:34" x14ac:dyDescent="0.25">
      <c r="A801" s="347">
        <f t="shared" ca="1" si="354"/>
        <v>1E-4</v>
      </c>
      <c r="B801" s="304">
        <f t="shared" ca="1" si="355"/>
        <v>47.120300000001045</v>
      </c>
      <c r="D801" s="306">
        <f t="shared" ca="1" si="356"/>
        <v>-0.32141315040234308</v>
      </c>
      <c r="E801" s="307">
        <f t="shared" ca="1" si="357"/>
        <v>-4.8186722090344247E-2</v>
      </c>
      <c r="F801" s="304">
        <f t="shared" ca="1" si="358"/>
        <v>0.32500518986221016</v>
      </c>
      <c r="G801" s="306">
        <f t="shared" ca="1" si="359"/>
        <v>4.0345199221894443</v>
      </c>
      <c r="H801" s="307">
        <f t="shared" ca="1" si="360"/>
        <v>-122.53557579526283</v>
      </c>
      <c r="I801" s="304">
        <f t="shared" ca="1" si="361"/>
        <v>122.60197668259327</v>
      </c>
      <c r="J801" s="306">
        <f t="shared" ca="1" si="362"/>
        <v>677.64536374242232</v>
      </c>
      <c r="K801" s="307">
        <f t="shared" ca="1" si="363"/>
        <v>-12.181124775424236</v>
      </c>
      <c r="L801" s="304">
        <f t="shared" ca="1" si="348"/>
        <v>677.75483679749152</v>
      </c>
      <c r="M801" s="306">
        <f t="shared" ca="1" si="364"/>
        <v>-1.5378829223721495</v>
      </c>
      <c r="N801" s="304">
        <f t="shared" ca="1" si="365"/>
        <v>-88.114200837169378</v>
      </c>
      <c r="P801" s="310">
        <f t="shared" ca="1" si="366"/>
        <v>23</v>
      </c>
      <c r="Q801" s="304">
        <f t="shared" ca="1" si="367"/>
        <v>0</v>
      </c>
      <c r="R801" s="306">
        <f t="shared" ca="1" si="368"/>
        <v>0</v>
      </c>
      <c r="S801" s="307">
        <f t="shared" ca="1" si="369"/>
        <v>2.0842999999999985</v>
      </c>
      <c r="T801" s="304">
        <f t="shared" ca="1" si="349"/>
        <v>20.446982999999985</v>
      </c>
      <c r="U801" s="311">
        <f t="shared" ca="1" si="350"/>
        <v>0</v>
      </c>
      <c r="V801" s="306">
        <f t="shared" ca="1" si="351"/>
        <v>1.2264930971651329</v>
      </c>
      <c r="W801" s="304">
        <f t="shared" ca="1" si="352"/>
        <v>20.357599389613277</v>
      </c>
      <c r="Y801" s="314" t="str">
        <f t="shared" ca="1" si="370"/>
        <v/>
      </c>
      <c r="Z801" s="315" t="str">
        <f t="shared" ca="1" si="371"/>
        <v/>
      </c>
      <c r="AA801" s="316" t="str">
        <f t="shared" ca="1" si="372"/>
        <v/>
      </c>
      <c r="AC801" s="310" t="e">
        <f t="shared" ca="1" si="373"/>
        <v>#N/A</v>
      </c>
      <c r="AD801" s="323" t="e">
        <f t="shared" ca="1" si="374"/>
        <v>#N/A</v>
      </c>
      <c r="AE801" s="324" t="e">
        <f t="shared" ca="1" si="353"/>
        <v>#N/A</v>
      </c>
      <c r="AG801" s="306">
        <f t="shared" ca="1" si="375"/>
        <v>3.7583648172489603E-2</v>
      </c>
      <c r="AH801" s="304">
        <f t="shared" ca="1" si="376"/>
        <v>-9.7671031982888792</v>
      </c>
    </row>
    <row r="802" spans="1:34" x14ac:dyDescent="0.25">
      <c r="A802" s="347">
        <f t="shared" ca="1" si="354"/>
        <v>1E-4</v>
      </c>
      <c r="B802" s="304">
        <f t="shared" ca="1" si="355"/>
        <v>47.120400000001048</v>
      </c>
      <c r="D802" s="306">
        <f t="shared" ca="1" si="356"/>
        <v>-0.32141099355558156</v>
      </c>
      <c r="E802" s="307">
        <f t="shared" ca="1" si="357"/>
        <v>-4.8174077254840242E-2</v>
      </c>
      <c r="F802" s="304">
        <f t="shared" ca="1" si="358"/>
        <v>0.32500118230206704</v>
      </c>
      <c r="G802" s="306">
        <f t="shared" ca="1" si="359"/>
        <v>4.034487781090089</v>
      </c>
      <c r="H802" s="307">
        <f t="shared" ca="1" si="360"/>
        <v>-122.53558061267056</v>
      </c>
      <c r="I802" s="304">
        <f t="shared" ca="1" si="361"/>
        <v>122.60198043971414</v>
      </c>
      <c r="J802" s="306">
        <f t="shared" ca="1" si="362"/>
        <v>677.64536374242232</v>
      </c>
      <c r="K802" s="307">
        <f t="shared" ca="1" si="363"/>
        <v>-12.193378333244633</v>
      </c>
      <c r="L802" s="304">
        <f t="shared" ca="1" si="348"/>
        <v>677.75505713847497</v>
      </c>
      <c r="M802" s="306">
        <f t="shared" ca="1" si="364"/>
        <v>-1.5378831856812769</v>
      </c>
      <c r="N802" s="304">
        <f t="shared" ca="1" si="365"/>
        <v>-88.114215923671082</v>
      </c>
      <c r="P802" s="310">
        <f t="shared" ca="1" si="366"/>
        <v>23</v>
      </c>
      <c r="Q802" s="304">
        <f t="shared" ca="1" si="367"/>
        <v>0</v>
      </c>
      <c r="R802" s="306">
        <f t="shared" ca="1" si="368"/>
        <v>0</v>
      </c>
      <c r="S802" s="307">
        <f t="shared" ca="1" si="369"/>
        <v>2.0842999999999985</v>
      </c>
      <c r="T802" s="304">
        <f t="shared" ca="1" si="349"/>
        <v>20.446982999999985</v>
      </c>
      <c r="U802" s="311">
        <f t="shared" ca="1" si="350"/>
        <v>0</v>
      </c>
      <c r="V802" s="306">
        <f t="shared" ca="1" si="351"/>
        <v>1.2264946000570205</v>
      </c>
      <c r="W802" s="304">
        <f t="shared" ca="1" si="352"/>
        <v>20.35762558265322</v>
      </c>
      <c r="Y802" s="314" t="str">
        <f t="shared" ca="1" si="370"/>
        <v/>
      </c>
      <c r="Z802" s="315" t="str">
        <f t="shared" ca="1" si="371"/>
        <v/>
      </c>
      <c r="AA802" s="316" t="str">
        <f t="shared" ca="1" si="372"/>
        <v/>
      </c>
      <c r="AC802" s="310" t="e">
        <f t="shared" ca="1" si="373"/>
        <v>#N/A</v>
      </c>
      <c r="AD802" s="323" t="e">
        <f t="shared" ca="1" si="374"/>
        <v>#N/A</v>
      </c>
      <c r="AE802" s="324" t="e">
        <f t="shared" ca="1" si="353"/>
        <v>#N/A</v>
      </c>
      <c r="AG802" s="306">
        <f t="shared" ca="1" si="375"/>
        <v>3.7571166165141889E-2</v>
      </c>
      <c r="AH802" s="304">
        <f t="shared" ca="1" si="376"/>
        <v>-9.7671157652992822</v>
      </c>
    </row>
    <row r="803" spans="1:34" x14ac:dyDescent="0.25">
      <c r="A803" s="347">
        <f t="shared" ca="1" si="354"/>
        <v>1E-4</v>
      </c>
      <c r="B803" s="304">
        <f t="shared" ca="1" si="355"/>
        <v>47.120500000001051</v>
      </c>
      <c r="D803" s="306">
        <f t="shared" ca="1" si="356"/>
        <v>-0.32140883671682141</v>
      </c>
      <c r="E803" s="307">
        <f t="shared" ca="1" si="357"/>
        <v>-4.8161432602617182E-2</v>
      </c>
      <c r="F803" s="304">
        <f t="shared" ca="1" si="358"/>
        <v>0.32499717523387306</v>
      </c>
      <c r="G803" s="306">
        <f t="shared" ca="1" si="359"/>
        <v>4.0344556402064171</v>
      </c>
      <c r="H803" s="307">
        <f t="shared" ca="1" si="360"/>
        <v>-122.53558542881382</v>
      </c>
      <c r="I803" s="304">
        <f t="shared" ca="1" si="361"/>
        <v>122.60198419558682</v>
      </c>
      <c r="J803" s="306">
        <f t="shared" ca="1" si="362"/>
        <v>677.64536374242232</v>
      </c>
      <c r="K803" s="307">
        <f t="shared" ca="1" si="363"/>
        <v>-12.205631891546707</v>
      </c>
      <c r="L803" s="304">
        <f t="shared" ca="1" si="348"/>
        <v>677.75527770093515</v>
      </c>
      <c r="M803" s="306">
        <f t="shared" ca="1" si="364"/>
        <v>-1.5378834489882907</v>
      </c>
      <c r="N803" s="304">
        <f t="shared" ca="1" si="365"/>
        <v>-88.114231010051682</v>
      </c>
      <c r="P803" s="310">
        <f t="shared" ca="1" si="366"/>
        <v>23</v>
      </c>
      <c r="Q803" s="304">
        <f t="shared" ca="1" si="367"/>
        <v>0</v>
      </c>
      <c r="R803" s="306">
        <f t="shared" ca="1" si="368"/>
        <v>0</v>
      </c>
      <c r="S803" s="307">
        <f t="shared" ca="1" si="369"/>
        <v>2.0842999999999985</v>
      </c>
      <c r="T803" s="304">
        <f t="shared" ca="1" si="349"/>
        <v>20.446982999999985</v>
      </c>
      <c r="U803" s="311">
        <f t="shared" ca="1" si="350"/>
        <v>0</v>
      </c>
      <c r="V803" s="306">
        <f t="shared" ca="1" si="351"/>
        <v>1.226496102950809</v>
      </c>
      <c r="W803" s="304">
        <f t="shared" ca="1" si="352"/>
        <v>20.357651775313293</v>
      </c>
      <c r="Y803" s="314" t="str">
        <f t="shared" ca="1" si="370"/>
        <v/>
      </c>
      <c r="Z803" s="315" t="str">
        <f t="shared" ca="1" si="371"/>
        <v/>
      </c>
      <c r="AA803" s="316" t="str">
        <f t="shared" ca="1" si="372"/>
        <v/>
      </c>
      <c r="AC803" s="310" t="e">
        <f t="shared" ca="1" si="373"/>
        <v>#N/A</v>
      </c>
      <c r="AD803" s="323" t="e">
        <f t="shared" ca="1" si="374"/>
        <v>#N/A</v>
      </c>
      <c r="AE803" s="324" t="e">
        <f t="shared" ca="1" si="353"/>
        <v>#N/A</v>
      </c>
      <c r="AG803" s="306">
        <f t="shared" ca="1" si="375"/>
        <v>3.7558684338673487E-2</v>
      </c>
      <c r="AH803" s="304">
        <f t="shared" ca="1" si="376"/>
        <v>-9.7671283321274451</v>
      </c>
    </row>
    <row r="804" spans="1:34" x14ac:dyDescent="0.25">
      <c r="A804" s="347">
        <f t="shared" ca="1" si="354"/>
        <v>1E-4</v>
      </c>
      <c r="B804" s="304">
        <f t="shared" ca="1" si="355"/>
        <v>47.120600000001055</v>
      </c>
      <c r="D804" s="306">
        <f t="shared" ca="1" si="356"/>
        <v>-0.32140667988606048</v>
      </c>
      <c r="E804" s="307">
        <f t="shared" ca="1" si="357"/>
        <v>-4.8148788133685727E-2</v>
      </c>
      <c r="F804" s="304">
        <f t="shared" ca="1" si="358"/>
        <v>0.3249931686576244</v>
      </c>
      <c r="G804" s="306">
        <f t="shared" ca="1" si="359"/>
        <v>4.0344234995384287</v>
      </c>
      <c r="H804" s="307">
        <f t="shared" ca="1" si="360"/>
        <v>-122.53559024369262</v>
      </c>
      <c r="I804" s="304">
        <f t="shared" ca="1" si="361"/>
        <v>122.60198795021134</v>
      </c>
      <c r="J804" s="306">
        <f t="shared" ca="1" si="362"/>
        <v>677.64536374242232</v>
      </c>
      <c r="K804" s="307">
        <f t="shared" ca="1" si="363"/>
        <v>-12.217885450330332</v>
      </c>
      <c r="L804" s="304">
        <f t="shared" ca="1" si="348"/>
        <v>677.75549848487196</v>
      </c>
      <c r="M804" s="306">
        <f t="shared" ca="1" si="364"/>
        <v>-1.5378837122931903</v>
      </c>
      <c r="N804" s="304">
        <f t="shared" ca="1" si="365"/>
        <v>-88.114246096311163</v>
      </c>
      <c r="P804" s="310">
        <f t="shared" ca="1" si="366"/>
        <v>23</v>
      </c>
      <c r="Q804" s="304">
        <f t="shared" ca="1" si="367"/>
        <v>0</v>
      </c>
      <c r="R804" s="306">
        <f t="shared" ca="1" si="368"/>
        <v>0</v>
      </c>
      <c r="S804" s="307">
        <f t="shared" ca="1" si="369"/>
        <v>2.0842999999999985</v>
      </c>
      <c r="T804" s="304">
        <f t="shared" ca="1" si="349"/>
        <v>20.446982999999985</v>
      </c>
      <c r="U804" s="311">
        <f t="shared" ca="1" si="350"/>
        <v>0</v>
      </c>
      <c r="V804" s="306">
        <f t="shared" ca="1" si="351"/>
        <v>1.2264976058464996</v>
      </c>
      <c r="W804" s="304">
        <f t="shared" ca="1" si="352"/>
        <v>20.357677967593524</v>
      </c>
      <c r="Y804" s="314" t="str">
        <f t="shared" ca="1" si="370"/>
        <v/>
      </c>
      <c r="Z804" s="315" t="str">
        <f t="shared" ca="1" si="371"/>
        <v/>
      </c>
      <c r="AA804" s="316" t="str">
        <f t="shared" ca="1" si="372"/>
        <v/>
      </c>
      <c r="AC804" s="310" t="e">
        <f t="shared" ca="1" si="373"/>
        <v>#N/A</v>
      </c>
      <c r="AD804" s="323" t="e">
        <f t="shared" ca="1" si="374"/>
        <v>#N/A</v>
      </c>
      <c r="AE804" s="324" t="e">
        <f t="shared" ca="1" si="353"/>
        <v>#N/A</v>
      </c>
      <c r="AG804" s="306">
        <f t="shared" ca="1" si="375"/>
        <v>3.7546202693091502E-2</v>
      </c>
      <c r="AH804" s="304">
        <f t="shared" ca="1" si="376"/>
        <v>-9.7671408987733574</v>
      </c>
    </row>
    <row r="805" spans="1:34" x14ac:dyDescent="0.25">
      <c r="A805" s="347">
        <f t="shared" ca="1" si="354"/>
        <v>1E-4</v>
      </c>
      <c r="B805" s="304">
        <f t="shared" ca="1" si="355"/>
        <v>47.120700000001058</v>
      </c>
      <c r="D805" s="306">
        <f t="shared" ca="1" si="356"/>
        <v>-0.32140452306330342</v>
      </c>
      <c r="E805" s="307">
        <f t="shared" ca="1" si="357"/>
        <v>-4.8136143848033441E-2</v>
      </c>
      <c r="F805" s="304">
        <f t="shared" ca="1" si="358"/>
        <v>0.32498916257332044</v>
      </c>
      <c r="G805" s="306">
        <f t="shared" ca="1" si="359"/>
        <v>4.034391359086122</v>
      </c>
      <c r="H805" s="307">
        <f t="shared" ca="1" si="360"/>
        <v>-122.53559505730701</v>
      </c>
      <c r="I805" s="304">
        <f t="shared" ca="1" si="361"/>
        <v>122.60199170358771</v>
      </c>
      <c r="J805" s="306">
        <f t="shared" ca="1" si="362"/>
        <v>677.64536374242232</v>
      </c>
      <c r="K805" s="307">
        <f t="shared" ca="1" si="363"/>
        <v>-12.230139009595382</v>
      </c>
      <c r="L805" s="304">
        <f t="shared" ca="1" si="348"/>
        <v>677.75571949028495</v>
      </c>
      <c r="M805" s="306">
        <f t="shared" ca="1" si="364"/>
        <v>-1.5378839755959766</v>
      </c>
      <c r="N805" s="304">
        <f t="shared" ca="1" si="365"/>
        <v>-88.114261182449553</v>
      </c>
      <c r="P805" s="310">
        <f t="shared" ca="1" si="366"/>
        <v>23</v>
      </c>
      <c r="Q805" s="304">
        <f t="shared" ca="1" si="367"/>
        <v>0</v>
      </c>
      <c r="R805" s="306">
        <f t="shared" ca="1" si="368"/>
        <v>0</v>
      </c>
      <c r="S805" s="307">
        <f t="shared" ca="1" si="369"/>
        <v>2.0842999999999985</v>
      </c>
      <c r="T805" s="304">
        <f t="shared" ca="1" si="349"/>
        <v>20.446982999999985</v>
      </c>
      <c r="U805" s="311">
        <f t="shared" ca="1" si="350"/>
        <v>0</v>
      </c>
      <c r="V805" s="306">
        <f t="shared" ca="1" si="351"/>
        <v>1.2264991087440922</v>
      </c>
      <c r="W805" s="304">
        <f t="shared" ca="1" si="352"/>
        <v>20.35770415949392</v>
      </c>
      <c r="Y805" s="314" t="str">
        <f t="shared" ca="1" si="370"/>
        <v/>
      </c>
      <c r="Z805" s="315" t="str">
        <f t="shared" ca="1" si="371"/>
        <v/>
      </c>
      <c r="AA805" s="316" t="str">
        <f t="shared" ca="1" si="372"/>
        <v/>
      </c>
      <c r="AC805" s="310" t="e">
        <f t="shared" ca="1" si="373"/>
        <v>#N/A</v>
      </c>
      <c r="AD805" s="323" t="e">
        <f t="shared" ca="1" si="374"/>
        <v>#N/A</v>
      </c>
      <c r="AE805" s="324" t="e">
        <f t="shared" ca="1" si="353"/>
        <v>#N/A</v>
      </c>
      <c r="AG805" s="306">
        <f t="shared" ca="1" si="375"/>
        <v>3.7533721228388828E-2</v>
      </c>
      <c r="AH805" s="304">
        <f t="shared" ca="1" si="376"/>
        <v>-9.767153465237028</v>
      </c>
    </row>
    <row r="806" spans="1:34" x14ac:dyDescent="0.25">
      <c r="A806" s="347">
        <f t="shared" ca="1" si="354"/>
        <v>1E-4</v>
      </c>
      <c r="B806" s="304">
        <f t="shared" ca="1" si="355"/>
        <v>47.120800000001061</v>
      </c>
      <c r="D806" s="306">
        <f t="shared" ca="1" si="356"/>
        <v>-0.32140236624854435</v>
      </c>
      <c r="E806" s="307">
        <f t="shared" ca="1" si="357"/>
        <v>-4.8123499745656773E-2</v>
      </c>
      <c r="F806" s="304">
        <f t="shared" ca="1" si="358"/>
        <v>0.32498515698095148</v>
      </c>
      <c r="G806" s="306">
        <f t="shared" ca="1" si="359"/>
        <v>4.034359218849497</v>
      </c>
      <c r="H806" s="307">
        <f t="shared" ca="1" si="360"/>
        <v>-122.53559986965698</v>
      </c>
      <c r="I806" s="304">
        <f t="shared" ca="1" si="361"/>
        <v>122.60199545571595</v>
      </c>
      <c r="J806" s="306">
        <f t="shared" ca="1" si="362"/>
        <v>677.64536374242232</v>
      </c>
      <c r="K806" s="307">
        <f t="shared" ca="1" si="363"/>
        <v>-12.24239256934173</v>
      </c>
      <c r="L806" s="304">
        <f t="shared" ca="1" si="348"/>
        <v>677.75594071717421</v>
      </c>
      <c r="M806" s="306">
        <f t="shared" ca="1" si="364"/>
        <v>-1.5378842388966489</v>
      </c>
      <c r="N806" s="304">
        <f t="shared" ca="1" si="365"/>
        <v>-88.114276268466824</v>
      </c>
      <c r="P806" s="310">
        <f t="shared" ca="1" si="366"/>
        <v>23</v>
      </c>
      <c r="Q806" s="304">
        <f t="shared" ca="1" si="367"/>
        <v>0</v>
      </c>
      <c r="R806" s="306">
        <f t="shared" ca="1" si="368"/>
        <v>0</v>
      </c>
      <c r="S806" s="307">
        <f t="shared" ca="1" si="369"/>
        <v>2.0842999999999985</v>
      </c>
      <c r="T806" s="304">
        <f t="shared" ca="1" si="349"/>
        <v>20.446982999999985</v>
      </c>
      <c r="U806" s="311">
        <f t="shared" ca="1" si="350"/>
        <v>0</v>
      </c>
      <c r="V806" s="306">
        <f t="shared" ca="1" si="351"/>
        <v>1.2265006116435859</v>
      </c>
      <c r="W806" s="304">
        <f t="shared" ca="1" si="352"/>
        <v>20.357730351014467</v>
      </c>
      <c r="Y806" s="314" t="str">
        <f t="shared" ca="1" si="370"/>
        <v/>
      </c>
      <c r="Z806" s="315" t="str">
        <f t="shared" ca="1" si="371"/>
        <v/>
      </c>
      <c r="AA806" s="316" t="str">
        <f t="shared" ca="1" si="372"/>
        <v/>
      </c>
      <c r="AC806" s="310" t="e">
        <f t="shared" ca="1" si="373"/>
        <v>#N/A</v>
      </c>
      <c r="AD806" s="323" t="e">
        <f t="shared" ca="1" si="374"/>
        <v>#N/A</v>
      </c>
      <c r="AE806" s="324" t="e">
        <f t="shared" ca="1" si="353"/>
        <v>#N/A</v>
      </c>
      <c r="AG806" s="306">
        <f t="shared" ca="1" si="375"/>
        <v>3.7521239944560136E-2</v>
      </c>
      <c r="AH806" s="304">
        <f t="shared" ca="1" si="376"/>
        <v>-9.7671660315184639</v>
      </c>
    </row>
    <row r="807" spans="1:34" x14ac:dyDescent="0.25">
      <c r="A807" s="347">
        <f t="shared" ca="1" si="354"/>
        <v>1E-4</v>
      </c>
      <c r="B807" s="304">
        <f t="shared" ca="1" si="355"/>
        <v>47.120900000001065</v>
      </c>
      <c r="D807" s="306">
        <f t="shared" ca="1" si="356"/>
        <v>-0.3214002094417876</v>
      </c>
      <c r="E807" s="307">
        <f t="shared" ca="1" si="357"/>
        <v>-4.8110855826564602E-2</v>
      </c>
      <c r="F807" s="304">
        <f t="shared" ca="1" si="358"/>
        <v>0.32498115188051968</v>
      </c>
      <c r="G807" s="306">
        <f t="shared" ca="1" si="359"/>
        <v>4.0343270788285528</v>
      </c>
      <c r="H807" s="307">
        <f t="shared" ca="1" si="360"/>
        <v>-122.53560468074257</v>
      </c>
      <c r="I807" s="304">
        <f t="shared" ca="1" si="361"/>
        <v>122.60199920659609</v>
      </c>
      <c r="J807" s="306">
        <f t="shared" ca="1" si="362"/>
        <v>677.64536374242232</v>
      </c>
      <c r="K807" s="307">
        <f t="shared" ca="1" si="363"/>
        <v>-12.254646129569251</v>
      </c>
      <c r="L807" s="304">
        <f t="shared" ca="1" si="348"/>
        <v>677.75616216553931</v>
      </c>
      <c r="M807" s="306">
        <f t="shared" ca="1" si="364"/>
        <v>-1.5378845021952074</v>
      </c>
      <c r="N807" s="304">
        <f t="shared" ca="1" si="365"/>
        <v>-88.114291354362976</v>
      </c>
      <c r="P807" s="310">
        <f t="shared" ca="1" si="366"/>
        <v>23</v>
      </c>
      <c r="Q807" s="304">
        <f t="shared" ca="1" si="367"/>
        <v>0</v>
      </c>
      <c r="R807" s="306">
        <f t="shared" ca="1" si="368"/>
        <v>0</v>
      </c>
      <c r="S807" s="307">
        <f t="shared" ca="1" si="369"/>
        <v>2.0842999999999985</v>
      </c>
      <c r="T807" s="304">
        <f t="shared" ca="1" si="349"/>
        <v>20.446982999999985</v>
      </c>
      <c r="U807" s="311">
        <f t="shared" ca="1" si="350"/>
        <v>0</v>
      </c>
      <c r="V807" s="306">
        <f t="shared" ca="1" si="351"/>
        <v>1.2265021145449819</v>
      </c>
      <c r="W807" s="304">
        <f t="shared" ca="1" si="352"/>
        <v>20.35775654215519</v>
      </c>
      <c r="Y807" s="314" t="str">
        <f t="shared" ca="1" si="370"/>
        <v/>
      </c>
      <c r="Z807" s="315" t="str">
        <f t="shared" ca="1" si="371"/>
        <v/>
      </c>
      <c r="AA807" s="316" t="str">
        <f t="shared" ca="1" si="372"/>
        <v/>
      </c>
      <c r="AC807" s="310" t="e">
        <f t="shared" ca="1" si="373"/>
        <v>#N/A</v>
      </c>
      <c r="AD807" s="323" t="e">
        <f t="shared" ca="1" si="374"/>
        <v>#N/A</v>
      </c>
      <c r="AE807" s="324" t="e">
        <f t="shared" ca="1" si="353"/>
        <v>#N/A</v>
      </c>
      <c r="AG807" s="306">
        <f t="shared" ca="1" si="375"/>
        <v>3.7508758841612533E-2</v>
      </c>
      <c r="AH807" s="304">
        <f t="shared" ca="1" si="376"/>
        <v>-9.7671785976176562</v>
      </c>
    </row>
    <row r="808" spans="1:34" x14ac:dyDescent="0.25">
      <c r="A808" s="347">
        <f t="shared" ca="1" si="354"/>
        <v>1E-4</v>
      </c>
      <c r="B808" s="304">
        <f t="shared" ca="1" si="355"/>
        <v>47.121000000001068</v>
      </c>
      <c r="D808" s="306">
        <f t="shared" ca="1" si="356"/>
        <v>-0.32139805264303362</v>
      </c>
      <c r="E808" s="307">
        <f t="shared" ca="1" si="357"/>
        <v>-4.8098212090739167E-2</v>
      </c>
      <c r="F808" s="304">
        <f t="shared" ca="1" si="358"/>
        <v>0.32497714727201965</v>
      </c>
      <c r="G808" s="306">
        <f t="shared" ca="1" si="359"/>
        <v>4.0342949390232885</v>
      </c>
      <c r="H808" s="307">
        <f t="shared" ca="1" si="360"/>
        <v>-122.53560949056377</v>
      </c>
      <c r="I808" s="304">
        <f t="shared" ca="1" si="361"/>
        <v>122.60200295622813</v>
      </c>
      <c r="J808" s="306">
        <f t="shared" ca="1" si="362"/>
        <v>677.64536374242232</v>
      </c>
      <c r="K808" s="307">
        <f t="shared" ca="1" si="363"/>
        <v>-12.266899690277816</v>
      </c>
      <c r="L808" s="304">
        <f t="shared" ca="1" si="348"/>
        <v>677.75638383538012</v>
      </c>
      <c r="M808" s="306">
        <f t="shared" ca="1" si="364"/>
        <v>-1.5378847654916525</v>
      </c>
      <c r="N808" s="304">
        <f t="shared" ca="1" si="365"/>
        <v>-88.114306440138037</v>
      </c>
      <c r="P808" s="310">
        <f t="shared" ca="1" si="366"/>
        <v>23</v>
      </c>
      <c r="Q808" s="304">
        <f t="shared" ca="1" si="367"/>
        <v>0</v>
      </c>
      <c r="R808" s="306">
        <f t="shared" ca="1" si="368"/>
        <v>0</v>
      </c>
      <c r="S808" s="307">
        <f t="shared" ca="1" si="369"/>
        <v>2.0842999999999985</v>
      </c>
      <c r="T808" s="304">
        <f t="shared" ca="1" si="349"/>
        <v>20.446982999999985</v>
      </c>
      <c r="U808" s="311">
        <f t="shared" ca="1" si="350"/>
        <v>0</v>
      </c>
      <c r="V808" s="306">
        <f t="shared" ca="1" si="351"/>
        <v>1.22650361744828</v>
      </c>
      <c r="W808" s="304">
        <f t="shared" ca="1" si="352"/>
        <v>20.357782732916089</v>
      </c>
      <c r="Y808" s="314" t="str">
        <f t="shared" ca="1" si="370"/>
        <v/>
      </c>
      <c r="Z808" s="315" t="str">
        <f t="shared" ca="1" si="371"/>
        <v/>
      </c>
      <c r="AA808" s="316" t="str">
        <f t="shared" ca="1" si="372"/>
        <v/>
      </c>
      <c r="AC808" s="310" t="e">
        <f t="shared" ca="1" si="373"/>
        <v>#N/A</v>
      </c>
      <c r="AD808" s="323" t="e">
        <f t="shared" ca="1" si="374"/>
        <v>#N/A</v>
      </c>
      <c r="AE808" s="324" t="e">
        <f t="shared" ca="1" si="353"/>
        <v>#N/A</v>
      </c>
      <c r="AG808" s="306">
        <f t="shared" ca="1" si="375"/>
        <v>3.7496277919533583E-2</v>
      </c>
      <c r="AH808" s="304">
        <f t="shared" ca="1" si="376"/>
        <v>-9.7671911635346191</v>
      </c>
    </row>
    <row r="809" spans="1:34" x14ac:dyDescent="0.25">
      <c r="A809" s="347">
        <f t="shared" ca="1" si="354"/>
        <v>1E-4</v>
      </c>
      <c r="B809" s="304">
        <f t="shared" ca="1" si="355"/>
        <v>47.121100000001071</v>
      </c>
      <c r="D809" s="306">
        <f t="shared" ca="1" si="356"/>
        <v>-0.32139589585227835</v>
      </c>
      <c r="E809" s="307">
        <f t="shared" ca="1" si="357"/>
        <v>-4.8085568538187573E-2</v>
      </c>
      <c r="F809" s="304">
        <f t="shared" ca="1" si="358"/>
        <v>0.3249731431554449</v>
      </c>
      <c r="G809" s="306">
        <f t="shared" ca="1" si="359"/>
        <v>4.0342627994337033</v>
      </c>
      <c r="H809" s="307">
        <f t="shared" ca="1" si="360"/>
        <v>-122.53561429912062</v>
      </c>
      <c r="I809" s="304">
        <f t="shared" ca="1" si="361"/>
        <v>122.60200670461209</v>
      </c>
      <c r="J809" s="306">
        <f t="shared" ca="1" si="362"/>
        <v>677.64536374242232</v>
      </c>
      <c r="K809" s="307">
        <f t="shared" ca="1" si="363"/>
        <v>-12.279153251467299</v>
      </c>
      <c r="L809" s="304">
        <f t="shared" ca="1" si="348"/>
        <v>677.75660572669653</v>
      </c>
      <c r="M809" s="306">
        <f t="shared" ca="1" si="364"/>
        <v>-1.5378850287859838</v>
      </c>
      <c r="N809" s="304">
        <f t="shared" ca="1" si="365"/>
        <v>-88.114321525791993</v>
      </c>
      <c r="P809" s="310">
        <f t="shared" ca="1" si="366"/>
        <v>23</v>
      </c>
      <c r="Q809" s="304">
        <f t="shared" ca="1" si="367"/>
        <v>0</v>
      </c>
      <c r="R809" s="306">
        <f t="shared" ca="1" si="368"/>
        <v>0</v>
      </c>
      <c r="S809" s="307">
        <f t="shared" ca="1" si="369"/>
        <v>2.0842999999999985</v>
      </c>
      <c r="T809" s="304">
        <f t="shared" ca="1" si="349"/>
        <v>20.446982999999985</v>
      </c>
      <c r="U809" s="311">
        <f t="shared" ca="1" si="350"/>
        <v>0</v>
      </c>
      <c r="V809" s="306">
        <f t="shared" ca="1" si="351"/>
        <v>1.2265051203534789</v>
      </c>
      <c r="W809" s="304">
        <f t="shared" ca="1" si="352"/>
        <v>20.357808923297146</v>
      </c>
      <c r="Y809" s="314" t="str">
        <f t="shared" ca="1" si="370"/>
        <v/>
      </c>
      <c r="Z809" s="315" t="str">
        <f t="shared" ca="1" si="371"/>
        <v/>
      </c>
      <c r="AA809" s="316" t="str">
        <f t="shared" ca="1" si="372"/>
        <v/>
      </c>
      <c r="AC809" s="310" t="e">
        <f t="shared" ca="1" si="373"/>
        <v>#N/A</v>
      </c>
      <c r="AD809" s="323" t="e">
        <f t="shared" ca="1" si="374"/>
        <v>#N/A</v>
      </c>
      <c r="AE809" s="324" t="e">
        <f t="shared" ca="1" si="353"/>
        <v>#N/A</v>
      </c>
      <c r="AG809" s="306">
        <f t="shared" ca="1" si="375"/>
        <v>3.7483797178323286E-2</v>
      </c>
      <c r="AH809" s="304">
        <f t="shared" ca="1" si="376"/>
        <v>-9.7672037292693492</v>
      </c>
    </row>
    <row r="810" spans="1:34" x14ac:dyDescent="0.25">
      <c r="A810" s="347">
        <f t="shared" ca="1" si="354"/>
        <v>1E-4</v>
      </c>
      <c r="B810" s="304">
        <f t="shared" ca="1" si="355"/>
        <v>47.121200000001075</v>
      </c>
      <c r="D810" s="306">
        <f t="shared" ca="1" si="356"/>
        <v>-0.32139373906952606</v>
      </c>
      <c r="E810" s="307">
        <f t="shared" ca="1" si="357"/>
        <v>-4.8072925168916925E-2</v>
      </c>
      <c r="F810" s="304">
        <f t="shared" ca="1" si="358"/>
        <v>0.32496913953079742</v>
      </c>
      <c r="G810" s="306">
        <f t="shared" ca="1" si="359"/>
        <v>4.0342306600597961</v>
      </c>
      <c r="H810" s="307">
        <f t="shared" ca="1" si="360"/>
        <v>-122.53561910641314</v>
      </c>
      <c r="I810" s="304">
        <f t="shared" ca="1" si="361"/>
        <v>122.602010451748</v>
      </c>
      <c r="J810" s="306">
        <f t="shared" ca="1" si="362"/>
        <v>677.64536374242232</v>
      </c>
      <c r="K810" s="307">
        <f t="shared" ca="1" si="363"/>
        <v>-12.291406813137575</v>
      </c>
      <c r="L810" s="304">
        <f t="shared" ca="1" si="348"/>
        <v>677.75682783948832</v>
      </c>
      <c r="M810" s="306">
        <f t="shared" ca="1" si="364"/>
        <v>-1.5378852920782013</v>
      </c>
      <c r="N810" s="304">
        <f t="shared" ca="1" si="365"/>
        <v>-88.114336611324831</v>
      </c>
      <c r="P810" s="310">
        <f t="shared" ca="1" si="366"/>
        <v>23</v>
      </c>
      <c r="Q810" s="304">
        <f t="shared" ca="1" si="367"/>
        <v>0</v>
      </c>
      <c r="R810" s="306">
        <f t="shared" ca="1" si="368"/>
        <v>0</v>
      </c>
      <c r="S810" s="307">
        <f t="shared" ca="1" si="369"/>
        <v>2.0842999999999985</v>
      </c>
      <c r="T810" s="304">
        <f t="shared" ca="1" si="349"/>
        <v>20.446982999999985</v>
      </c>
      <c r="U810" s="311">
        <f t="shared" ca="1" si="350"/>
        <v>0</v>
      </c>
      <c r="V810" s="306">
        <f t="shared" ca="1" si="351"/>
        <v>1.2265066232605797</v>
      </c>
      <c r="W810" s="304">
        <f t="shared" ca="1" si="352"/>
        <v>20.357835113298382</v>
      </c>
      <c r="Y810" s="314" t="str">
        <f t="shared" ca="1" si="370"/>
        <v/>
      </c>
      <c r="Z810" s="315" t="str">
        <f t="shared" ca="1" si="371"/>
        <v/>
      </c>
      <c r="AA810" s="316" t="str">
        <f t="shared" ca="1" si="372"/>
        <v/>
      </c>
      <c r="AC810" s="310" t="e">
        <f t="shared" ca="1" si="373"/>
        <v>#N/A</v>
      </c>
      <c r="AD810" s="323" t="e">
        <f t="shared" ca="1" si="374"/>
        <v>#N/A</v>
      </c>
      <c r="AE810" s="324" t="e">
        <f t="shared" ca="1" si="353"/>
        <v>#N/A</v>
      </c>
      <c r="AG810" s="306">
        <f t="shared" ca="1" si="375"/>
        <v>3.7471316617992301E-2</v>
      </c>
      <c r="AH810" s="304">
        <f t="shared" ca="1" si="376"/>
        <v>-9.7672162948218393</v>
      </c>
    </row>
    <row r="811" spans="1:34" x14ac:dyDescent="0.25">
      <c r="A811" s="347">
        <f t="shared" ca="1" si="354"/>
        <v>1E-4</v>
      </c>
      <c r="B811" s="304">
        <f t="shared" ca="1" si="355"/>
        <v>47.121300000001078</v>
      </c>
      <c r="D811" s="306">
        <f t="shared" ca="1" si="356"/>
        <v>-0.32139158229477521</v>
      </c>
      <c r="E811" s="307">
        <f t="shared" ca="1" si="357"/>
        <v>-4.8060281982911235E-2</v>
      </c>
      <c r="F811" s="304">
        <f t="shared" ca="1" si="358"/>
        <v>0.32496513639806995</v>
      </c>
      <c r="G811" s="306">
        <f t="shared" ca="1" si="359"/>
        <v>4.0341985209015663</v>
      </c>
      <c r="H811" s="307">
        <f t="shared" ca="1" si="360"/>
        <v>-122.53562391244134</v>
      </c>
      <c r="I811" s="304">
        <f t="shared" ca="1" si="361"/>
        <v>122.60201419763587</v>
      </c>
      <c r="J811" s="306">
        <f t="shared" ca="1" si="362"/>
        <v>677.64536374242232</v>
      </c>
      <c r="K811" s="307">
        <f t="shared" ca="1" si="363"/>
        <v>-12.303660375288517</v>
      </c>
      <c r="L811" s="304">
        <f t="shared" ca="1" si="348"/>
        <v>677.75705017375526</v>
      </c>
      <c r="M811" s="306">
        <f t="shared" ca="1" si="364"/>
        <v>-1.5378855553683053</v>
      </c>
      <c r="N811" s="304">
        <f t="shared" ca="1" si="365"/>
        <v>-88.114351696736577</v>
      </c>
      <c r="P811" s="310">
        <f t="shared" ca="1" si="366"/>
        <v>23</v>
      </c>
      <c r="Q811" s="304">
        <f t="shared" ca="1" si="367"/>
        <v>0</v>
      </c>
      <c r="R811" s="306">
        <f t="shared" ca="1" si="368"/>
        <v>0</v>
      </c>
      <c r="S811" s="307">
        <f t="shared" ca="1" si="369"/>
        <v>2.0842999999999985</v>
      </c>
      <c r="T811" s="304">
        <f t="shared" ca="1" si="349"/>
        <v>20.446982999999985</v>
      </c>
      <c r="U811" s="311">
        <f t="shared" ca="1" si="350"/>
        <v>0</v>
      </c>
      <c r="V811" s="306">
        <f t="shared" ca="1" si="351"/>
        <v>1.2265081261695825</v>
      </c>
      <c r="W811" s="304">
        <f t="shared" ca="1" si="352"/>
        <v>20.357861302919808</v>
      </c>
      <c r="Y811" s="314" t="str">
        <f t="shared" ca="1" si="370"/>
        <v/>
      </c>
      <c r="Z811" s="315" t="str">
        <f t="shared" ca="1" si="371"/>
        <v/>
      </c>
      <c r="AA811" s="316" t="str">
        <f t="shared" ca="1" si="372"/>
        <v/>
      </c>
      <c r="AC811" s="310" t="e">
        <f t="shared" ca="1" si="373"/>
        <v>#N/A</v>
      </c>
      <c r="AD811" s="323" t="e">
        <f t="shared" ca="1" si="374"/>
        <v>#N/A</v>
      </c>
      <c r="AE811" s="324" t="e">
        <f t="shared" ca="1" si="353"/>
        <v>#N/A</v>
      </c>
      <c r="AG811" s="306">
        <f t="shared" ca="1" si="375"/>
        <v>3.745883623852464E-2</v>
      </c>
      <c r="AH811" s="304">
        <f t="shared" ca="1" si="376"/>
        <v>-9.7672288601921018</v>
      </c>
    </row>
    <row r="812" spans="1:34" x14ac:dyDescent="0.25">
      <c r="A812" s="347">
        <f t="shared" ca="1" si="354"/>
        <v>1E-4</v>
      </c>
      <c r="B812" s="304">
        <f t="shared" ca="1" si="355"/>
        <v>47.121400000001081</v>
      </c>
      <c r="D812" s="306">
        <f t="shared" ca="1" si="356"/>
        <v>-0.32138942552802613</v>
      </c>
      <c r="E812" s="307">
        <f t="shared" ca="1" si="357"/>
        <v>-4.804763898017228E-2</v>
      </c>
      <c r="F812" s="304">
        <f t="shared" ca="1" si="358"/>
        <v>0.32496113375725971</v>
      </c>
      <c r="G812" s="306">
        <f t="shared" ca="1" si="359"/>
        <v>4.0341663819590137</v>
      </c>
      <c r="H812" s="307">
        <f t="shared" ca="1" si="360"/>
        <v>-122.53562871720524</v>
      </c>
      <c r="I812" s="304">
        <f t="shared" ca="1" si="361"/>
        <v>122.60201794227574</v>
      </c>
      <c r="J812" s="306">
        <f t="shared" ca="1" si="362"/>
        <v>677.64536374242232</v>
      </c>
      <c r="K812" s="307">
        <f t="shared" ca="1" si="363"/>
        <v>-12.31591393792</v>
      </c>
      <c r="L812" s="304">
        <f t="shared" ca="1" si="348"/>
        <v>677.75727272949723</v>
      </c>
      <c r="M812" s="306">
        <f t="shared" ca="1" si="364"/>
        <v>-1.5378858186562956</v>
      </c>
      <c r="N812" s="304">
        <f t="shared" ca="1" si="365"/>
        <v>-88.114366782027219</v>
      </c>
      <c r="P812" s="310">
        <f t="shared" ca="1" si="366"/>
        <v>23</v>
      </c>
      <c r="Q812" s="304">
        <f t="shared" ca="1" si="367"/>
        <v>0</v>
      </c>
      <c r="R812" s="306">
        <f t="shared" ca="1" si="368"/>
        <v>0</v>
      </c>
      <c r="S812" s="307">
        <f t="shared" ca="1" si="369"/>
        <v>2.0842999999999985</v>
      </c>
      <c r="T812" s="304">
        <f t="shared" ca="1" si="349"/>
        <v>20.446982999999985</v>
      </c>
      <c r="U812" s="311">
        <f t="shared" ca="1" si="350"/>
        <v>0</v>
      </c>
      <c r="V812" s="306">
        <f t="shared" ca="1" si="351"/>
        <v>1.2265096290804871</v>
      </c>
      <c r="W812" s="304">
        <f t="shared" ca="1" si="352"/>
        <v>20.357887492161431</v>
      </c>
      <c r="Y812" s="314" t="str">
        <f t="shared" ca="1" si="370"/>
        <v/>
      </c>
      <c r="Z812" s="315" t="str">
        <f t="shared" ca="1" si="371"/>
        <v/>
      </c>
      <c r="AA812" s="316" t="str">
        <f t="shared" ca="1" si="372"/>
        <v/>
      </c>
      <c r="AC812" s="310" t="e">
        <f t="shared" ca="1" si="373"/>
        <v>#N/A</v>
      </c>
      <c r="AD812" s="323" t="e">
        <f t="shared" ca="1" si="374"/>
        <v>#N/A</v>
      </c>
      <c r="AE812" s="324" t="e">
        <f t="shared" ca="1" si="353"/>
        <v>#N/A</v>
      </c>
      <c r="AG812" s="306">
        <f t="shared" ca="1" si="375"/>
        <v>3.7446356039923856E-2</v>
      </c>
      <c r="AH812" s="304">
        <f t="shared" ca="1" si="376"/>
        <v>-9.7672414253801385</v>
      </c>
    </row>
    <row r="813" spans="1:34" x14ac:dyDescent="0.25">
      <c r="A813" s="347">
        <f t="shared" ca="1" si="354"/>
        <v>1E-4</v>
      </c>
      <c r="B813" s="304">
        <f t="shared" ca="1" si="355"/>
        <v>47.121500000001085</v>
      </c>
      <c r="D813" s="306">
        <f t="shared" ca="1" si="356"/>
        <v>-0.3213872687692792</v>
      </c>
      <c r="E813" s="307">
        <f t="shared" ca="1" si="357"/>
        <v>-4.8034996160692955E-2</v>
      </c>
      <c r="F813" s="304">
        <f t="shared" ca="1" si="358"/>
        <v>0.32495713160836259</v>
      </c>
      <c r="G813" s="306">
        <f t="shared" ca="1" si="359"/>
        <v>4.0341342432321365</v>
      </c>
      <c r="H813" s="307">
        <f t="shared" ca="1" si="360"/>
        <v>-122.53563352070486</v>
      </c>
      <c r="I813" s="304">
        <f t="shared" ca="1" si="361"/>
        <v>122.60202168566759</v>
      </c>
      <c r="J813" s="306">
        <f t="shared" ca="1" si="362"/>
        <v>677.64536374242232</v>
      </c>
      <c r="K813" s="307">
        <f t="shared" ca="1" si="363"/>
        <v>-12.328167501031896</v>
      </c>
      <c r="L813" s="304">
        <f t="shared" ca="1" si="348"/>
        <v>677.75749550671389</v>
      </c>
      <c r="M813" s="306">
        <f t="shared" ca="1" si="364"/>
        <v>-1.5378860819421725</v>
      </c>
      <c r="N813" s="304">
        <f t="shared" ca="1" si="365"/>
        <v>-88.114381867196769</v>
      </c>
      <c r="P813" s="310">
        <f t="shared" ca="1" si="366"/>
        <v>23</v>
      </c>
      <c r="Q813" s="304">
        <f t="shared" ca="1" si="367"/>
        <v>0</v>
      </c>
      <c r="R813" s="306">
        <f t="shared" ca="1" si="368"/>
        <v>0</v>
      </c>
      <c r="S813" s="307">
        <f t="shared" ca="1" si="369"/>
        <v>2.0842999999999985</v>
      </c>
      <c r="T813" s="304">
        <f t="shared" ca="1" si="349"/>
        <v>20.446982999999985</v>
      </c>
      <c r="U813" s="311">
        <f t="shared" ca="1" si="350"/>
        <v>0</v>
      </c>
      <c r="V813" s="306">
        <f t="shared" ca="1" si="351"/>
        <v>1.2265111319932931</v>
      </c>
      <c r="W813" s="304">
        <f t="shared" ca="1" si="352"/>
        <v>20.357913681023238</v>
      </c>
      <c r="Y813" s="314" t="str">
        <f t="shared" ca="1" si="370"/>
        <v/>
      </c>
      <c r="Z813" s="315" t="str">
        <f t="shared" ca="1" si="371"/>
        <v/>
      </c>
      <c r="AA813" s="316" t="str">
        <f t="shared" ca="1" si="372"/>
        <v/>
      </c>
      <c r="AC813" s="310" t="e">
        <f t="shared" ca="1" si="373"/>
        <v>#N/A</v>
      </c>
      <c r="AD813" s="323" t="e">
        <f t="shared" ca="1" si="374"/>
        <v>#N/A</v>
      </c>
      <c r="AE813" s="324" t="e">
        <f t="shared" ca="1" si="353"/>
        <v>#N/A</v>
      </c>
      <c r="AG813" s="306">
        <f t="shared" ca="1" si="375"/>
        <v>3.7433876022181067E-2</v>
      </c>
      <c r="AH813" s="304">
        <f t="shared" ca="1" si="376"/>
        <v>-9.7672539903859548</v>
      </c>
    </row>
    <row r="814" spans="1:34" x14ac:dyDescent="0.25">
      <c r="A814" s="347">
        <f t="shared" ca="1" si="354"/>
        <v>1E-4</v>
      </c>
      <c r="B814" s="304">
        <f t="shared" ca="1" si="355"/>
        <v>47.121600000001088</v>
      </c>
      <c r="D814" s="306">
        <f t="shared" ca="1" si="356"/>
        <v>-0.32138511201853226</v>
      </c>
      <c r="E814" s="307">
        <f t="shared" ca="1" si="357"/>
        <v>-4.8022353524480366E-2</v>
      </c>
      <c r="F814" s="304">
        <f t="shared" ca="1" si="358"/>
        <v>0.32495312995137421</v>
      </c>
      <c r="G814" s="306">
        <f t="shared" ca="1" si="359"/>
        <v>4.0341021047209349</v>
      </c>
      <c r="H814" s="307">
        <f t="shared" ca="1" si="360"/>
        <v>-122.53563832294022</v>
      </c>
      <c r="I814" s="304">
        <f t="shared" ca="1" si="361"/>
        <v>122.60202542781147</v>
      </c>
      <c r="J814" s="306">
        <f t="shared" ca="1" si="362"/>
        <v>677.64536374242232</v>
      </c>
      <c r="K814" s="307">
        <f t="shared" ca="1" si="363"/>
        <v>-12.340421064624078</v>
      </c>
      <c r="L814" s="304">
        <f t="shared" ca="1" si="348"/>
        <v>677.75771850540525</v>
      </c>
      <c r="M814" s="306">
        <f t="shared" ca="1" si="364"/>
        <v>-1.5378863452259357</v>
      </c>
      <c r="N814" s="304">
        <f t="shared" ca="1" si="365"/>
        <v>-88.114396952245215</v>
      </c>
      <c r="P814" s="310">
        <f t="shared" ca="1" si="366"/>
        <v>23</v>
      </c>
      <c r="Q814" s="304">
        <f t="shared" ca="1" si="367"/>
        <v>0</v>
      </c>
      <c r="R814" s="306">
        <f t="shared" ca="1" si="368"/>
        <v>0</v>
      </c>
      <c r="S814" s="307">
        <f t="shared" ca="1" si="369"/>
        <v>2.0842999999999985</v>
      </c>
      <c r="T814" s="304">
        <f t="shared" ca="1" si="349"/>
        <v>20.446982999999985</v>
      </c>
      <c r="U814" s="311">
        <f t="shared" ca="1" si="350"/>
        <v>0</v>
      </c>
      <c r="V814" s="306">
        <f t="shared" ca="1" si="351"/>
        <v>1.2265126349080009</v>
      </c>
      <c r="W814" s="304">
        <f t="shared" ca="1" si="352"/>
        <v>20.357939869505248</v>
      </c>
      <c r="Y814" s="314" t="str">
        <f t="shared" ca="1" si="370"/>
        <v/>
      </c>
      <c r="Z814" s="315" t="str">
        <f t="shared" ca="1" si="371"/>
        <v/>
      </c>
      <c r="AA814" s="316" t="str">
        <f t="shared" ca="1" si="372"/>
        <v/>
      </c>
      <c r="AC814" s="310" t="e">
        <f t="shared" ca="1" si="373"/>
        <v>#N/A</v>
      </c>
      <c r="AD814" s="323" t="e">
        <f t="shared" ca="1" si="374"/>
        <v>#N/A</v>
      </c>
      <c r="AE814" s="324" t="e">
        <f t="shared" ca="1" si="353"/>
        <v>#N/A</v>
      </c>
      <c r="AG814" s="306">
        <f t="shared" ca="1" si="375"/>
        <v>3.7421396185301603E-2</v>
      </c>
      <c r="AH814" s="304">
        <f t="shared" ca="1" si="376"/>
        <v>-9.7672665552095435</v>
      </c>
    </row>
    <row r="815" spans="1:34" x14ac:dyDescent="0.25">
      <c r="A815" s="347">
        <f t="shared" ca="1" si="354"/>
        <v>1E-4</v>
      </c>
      <c r="B815" s="304">
        <f t="shared" ca="1" si="355"/>
        <v>47.121700000001091</v>
      </c>
      <c r="D815" s="306">
        <f t="shared" ca="1" si="356"/>
        <v>-0.32138295527578797</v>
      </c>
      <c r="E815" s="307">
        <f t="shared" ca="1" si="357"/>
        <v>-4.8009711071523853E-2</v>
      </c>
      <c r="F815" s="304">
        <f t="shared" ca="1" si="358"/>
        <v>0.32494912878629223</v>
      </c>
      <c r="G815" s="306">
        <f t="shared" ca="1" si="359"/>
        <v>4.0340699664254069</v>
      </c>
      <c r="H815" s="307">
        <f t="shared" ca="1" si="360"/>
        <v>-122.53564312391133</v>
      </c>
      <c r="I815" s="304">
        <f t="shared" ca="1" si="361"/>
        <v>122.60202916870736</v>
      </c>
      <c r="J815" s="306">
        <f t="shared" ca="1" si="362"/>
        <v>677.64536374242232</v>
      </c>
      <c r="K815" s="307">
        <f t="shared" ca="1" si="363"/>
        <v>-12.35267462869642</v>
      </c>
      <c r="L815" s="304">
        <f t="shared" ca="1" si="348"/>
        <v>677.75794172557084</v>
      </c>
      <c r="M815" s="306">
        <f t="shared" ca="1" si="364"/>
        <v>-1.5378866085075853</v>
      </c>
      <c r="N815" s="304">
        <f t="shared" ca="1" si="365"/>
        <v>-88.114412037172556</v>
      </c>
      <c r="P815" s="310">
        <f t="shared" ca="1" si="366"/>
        <v>23</v>
      </c>
      <c r="Q815" s="304">
        <f t="shared" ca="1" si="367"/>
        <v>0</v>
      </c>
      <c r="R815" s="306">
        <f t="shared" ca="1" si="368"/>
        <v>0</v>
      </c>
      <c r="S815" s="307">
        <f t="shared" ca="1" si="369"/>
        <v>2.0842999999999985</v>
      </c>
      <c r="T815" s="304">
        <f t="shared" ca="1" si="349"/>
        <v>20.446982999999985</v>
      </c>
      <c r="U815" s="311">
        <f t="shared" ca="1" si="350"/>
        <v>0</v>
      </c>
      <c r="V815" s="306">
        <f t="shared" ca="1" si="351"/>
        <v>1.2265141378246098</v>
      </c>
      <c r="W815" s="304">
        <f t="shared" ca="1" si="352"/>
        <v>20.357966057607438</v>
      </c>
      <c r="Y815" s="314" t="str">
        <f t="shared" ca="1" si="370"/>
        <v/>
      </c>
      <c r="Z815" s="315" t="str">
        <f t="shared" ca="1" si="371"/>
        <v/>
      </c>
      <c r="AA815" s="316" t="str">
        <f t="shared" ca="1" si="372"/>
        <v/>
      </c>
      <c r="AC815" s="310" t="e">
        <f t="shared" ca="1" si="373"/>
        <v>#N/A</v>
      </c>
      <c r="AD815" s="323" t="e">
        <f t="shared" ca="1" si="374"/>
        <v>#N/A</v>
      </c>
      <c r="AE815" s="324" t="e">
        <f t="shared" ca="1" si="353"/>
        <v>#N/A</v>
      </c>
      <c r="AG815" s="306">
        <f t="shared" ca="1" si="375"/>
        <v>3.7408916529280134E-2</v>
      </c>
      <c r="AH815" s="304">
        <f t="shared" ca="1" si="376"/>
        <v>-9.7672791198509152</v>
      </c>
    </row>
    <row r="816" spans="1:34" x14ac:dyDescent="0.25">
      <c r="A816" s="347">
        <f t="shared" ca="1" si="354"/>
        <v>1E-4</v>
      </c>
      <c r="B816" s="304">
        <f t="shared" ca="1" si="355"/>
        <v>47.121800000001095</v>
      </c>
      <c r="D816" s="306">
        <f t="shared" ca="1" si="356"/>
        <v>-0.32138079854104623</v>
      </c>
      <c r="E816" s="307">
        <f t="shared" ca="1" si="357"/>
        <v>-4.7997068801837628E-2</v>
      </c>
      <c r="F816" s="304">
        <f t="shared" ca="1" si="358"/>
        <v>0.32494512811311521</v>
      </c>
      <c r="G816" s="306">
        <f t="shared" ca="1" si="359"/>
        <v>4.0340378283455527</v>
      </c>
      <c r="H816" s="307">
        <f t="shared" ca="1" si="360"/>
        <v>-122.53564792361821</v>
      </c>
      <c r="I816" s="304">
        <f t="shared" ca="1" si="361"/>
        <v>122.60203290835533</v>
      </c>
      <c r="J816" s="306">
        <f t="shared" ca="1" si="362"/>
        <v>677.64536374242232</v>
      </c>
      <c r="K816" s="307">
        <f t="shared" ca="1" si="363"/>
        <v>-12.364928193248796</v>
      </c>
      <c r="L816" s="304">
        <f t="shared" ca="1" si="348"/>
        <v>677.75816516721068</v>
      </c>
      <c r="M816" s="306">
        <f t="shared" ca="1" si="364"/>
        <v>-1.5378868717871215</v>
      </c>
      <c r="N816" s="304">
        <f t="shared" ca="1" si="365"/>
        <v>-88.114427121978821</v>
      </c>
      <c r="P816" s="310">
        <f t="shared" ca="1" si="366"/>
        <v>23</v>
      </c>
      <c r="Q816" s="304">
        <f t="shared" ca="1" si="367"/>
        <v>0</v>
      </c>
      <c r="R816" s="306">
        <f t="shared" ca="1" si="368"/>
        <v>0</v>
      </c>
      <c r="S816" s="307">
        <f t="shared" ca="1" si="369"/>
        <v>2.0842999999999985</v>
      </c>
      <c r="T816" s="304">
        <f t="shared" ca="1" si="349"/>
        <v>20.446982999999985</v>
      </c>
      <c r="U816" s="311">
        <f t="shared" ca="1" si="350"/>
        <v>0</v>
      </c>
      <c r="V816" s="306">
        <f t="shared" ca="1" si="351"/>
        <v>1.2265156407431208</v>
      </c>
      <c r="W816" s="304">
        <f t="shared" ca="1" si="352"/>
        <v>20.35799224532985</v>
      </c>
      <c r="Y816" s="314" t="str">
        <f t="shared" ca="1" si="370"/>
        <v/>
      </c>
      <c r="Z816" s="315" t="str">
        <f t="shared" ca="1" si="371"/>
        <v/>
      </c>
      <c r="AA816" s="316" t="str">
        <f t="shared" ca="1" si="372"/>
        <v/>
      </c>
      <c r="AC816" s="310" t="e">
        <f t="shared" ca="1" si="373"/>
        <v>#N/A</v>
      </c>
      <c r="AD816" s="323" t="e">
        <f t="shared" ca="1" si="374"/>
        <v>#N/A</v>
      </c>
      <c r="AE816" s="324" t="e">
        <f t="shared" ca="1" si="353"/>
        <v>#N/A</v>
      </c>
      <c r="AG816" s="306">
        <f t="shared" ca="1" si="375"/>
        <v>3.7396437054125542E-2</v>
      </c>
      <c r="AH816" s="304">
        <f t="shared" ca="1" si="376"/>
        <v>-9.7672916843100577</v>
      </c>
    </row>
    <row r="817" spans="1:34" x14ac:dyDescent="0.25">
      <c r="A817" s="347">
        <f t="shared" ca="1" si="354"/>
        <v>1E-4</v>
      </c>
      <c r="B817" s="304">
        <f t="shared" ca="1" si="355"/>
        <v>47.121900000001098</v>
      </c>
      <c r="D817" s="306">
        <f t="shared" ca="1" si="356"/>
        <v>-0.32137864181430575</v>
      </c>
      <c r="E817" s="307">
        <f t="shared" ca="1" si="357"/>
        <v>-4.7984426715400375E-2</v>
      </c>
      <c r="F817" s="304">
        <f t="shared" ca="1" si="358"/>
        <v>0.32494112793183544</v>
      </c>
      <c r="G817" s="306">
        <f t="shared" ca="1" si="359"/>
        <v>4.0340056904813713</v>
      </c>
      <c r="H817" s="307">
        <f t="shared" ca="1" si="360"/>
        <v>-122.53565272206089</v>
      </c>
      <c r="I817" s="304">
        <f t="shared" ca="1" si="361"/>
        <v>122.60203664675535</v>
      </c>
      <c r="J817" s="306">
        <f t="shared" ca="1" si="362"/>
        <v>677.64536374242232</v>
      </c>
      <c r="K817" s="307">
        <f t="shared" ca="1" si="363"/>
        <v>-12.377181758281079</v>
      </c>
      <c r="L817" s="304">
        <f t="shared" ca="1" si="348"/>
        <v>677.75838883032452</v>
      </c>
      <c r="M817" s="306">
        <f t="shared" ca="1" si="364"/>
        <v>-1.537887135064544</v>
      </c>
      <c r="N817" s="304">
        <f t="shared" ca="1" si="365"/>
        <v>-88.114442206663966</v>
      </c>
      <c r="P817" s="310">
        <f t="shared" ca="1" si="366"/>
        <v>23</v>
      </c>
      <c r="Q817" s="304">
        <f t="shared" ca="1" si="367"/>
        <v>0</v>
      </c>
      <c r="R817" s="306">
        <f t="shared" ca="1" si="368"/>
        <v>0</v>
      </c>
      <c r="S817" s="307">
        <f t="shared" ca="1" si="369"/>
        <v>2.0842999999999985</v>
      </c>
      <c r="T817" s="304">
        <f t="shared" ca="1" si="349"/>
        <v>20.446982999999985</v>
      </c>
      <c r="U817" s="311">
        <f t="shared" ca="1" si="350"/>
        <v>0</v>
      </c>
      <c r="V817" s="306">
        <f t="shared" ca="1" si="351"/>
        <v>1.2265171436635334</v>
      </c>
      <c r="W817" s="304">
        <f t="shared" ca="1" si="352"/>
        <v>20.358018432672463</v>
      </c>
      <c r="Y817" s="314" t="str">
        <f t="shared" ca="1" si="370"/>
        <v/>
      </c>
      <c r="Z817" s="315" t="str">
        <f t="shared" ca="1" si="371"/>
        <v/>
      </c>
      <c r="AA817" s="316" t="str">
        <f t="shared" ca="1" si="372"/>
        <v/>
      </c>
      <c r="AC817" s="310" t="e">
        <f t="shared" ca="1" si="373"/>
        <v>#N/A</v>
      </c>
      <c r="AD817" s="323" t="e">
        <f t="shared" ca="1" si="374"/>
        <v>#N/A</v>
      </c>
      <c r="AE817" s="324" t="e">
        <f t="shared" ca="1" si="353"/>
        <v>#N/A</v>
      </c>
      <c r="AG817" s="306">
        <f t="shared" ca="1" si="375"/>
        <v>3.7383957759816511E-2</v>
      </c>
      <c r="AH817" s="304">
        <f t="shared" ca="1" si="376"/>
        <v>-9.7673042485869903</v>
      </c>
    </row>
    <row r="818" spans="1:34" x14ac:dyDescent="0.25">
      <c r="A818" s="347">
        <f t="shared" ca="1" si="354"/>
        <v>1E-4</v>
      </c>
      <c r="B818" s="304">
        <f t="shared" ca="1" si="355"/>
        <v>47.122000000001101</v>
      </c>
      <c r="D818" s="306">
        <f t="shared" ca="1" si="356"/>
        <v>-0.3213764850955686</v>
      </c>
      <c r="E818" s="307">
        <f t="shared" ca="1" si="357"/>
        <v>-4.7971784812220974E-2</v>
      </c>
      <c r="F818" s="304">
        <f t="shared" ca="1" si="358"/>
        <v>0.32493712824245286</v>
      </c>
      <c r="G818" s="306">
        <f t="shared" ca="1" si="359"/>
        <v>4.0339735528328617</v>
      </c>
      <c r="H818" s="307">
        <f t="shared" ca="1" si="360"/>
        <v>-122.53565751923936</v>
      </c>
      <c r="I818" s="304">
        <f t="shared" ca="1" si="361"/>
        <v>122.60204038390746</v>
      </c>
      <c r="J818" s="306">
        <f t="shared" ca="1" si="362"/>
        <v>677.64536374242232</v>
      </c>
      <c r="K818" s="307">
        <f t="shared" ca="1" si="363"/>
        <v>-12.389435323793144</v>
      </c>
      <c r="L818" s="304">
        <f t="shared" ca="1" si="348"/>
        <v>677.75861271491215</v>
      </c>
      <c r="M818" s="306">
        <f t="shared" ca="1" si="364"/>
        <v>-1.5378873983398531</v>
      </c>
      <c r="N818" s="304">
        <f t="shared" ca="1" si="365"/>
        <v>-88.114457291228035</v>
      </c>
      <c r="P818" s="310">
        <f t="shared" ca="1" si="366"/>
        <v>23</v>
      </c>
      <c r="Q818" s="304">
        <f t="shared" ca="1" si="367"/>
        <v>0</v>
      </c>
      <c r="R818" s="306">
        <f t="shared" ca="1" si="368"/>
        <v>0</v>
      </c>
      <c r="S818" s="307">
        <f t="shared" ca="1" si="369"/>
        <v>2.0842999999999985</v>
      </c>
      <c r="T818" s="304">
        <f t="shared" ca="1" si="349"/>
        <v>20.446982999999985</v>
      </c>
      <c r="U818" s="311">
        <f t="shared" ca="1" si="350"/>
        <v>0</v>
      </c>
      <c r="V818" s="306">
        <f t="shared" ca="1" si="351"/>
        <v>1.2265186465858473</v>
      </c>
      <c r="W818" s="304">
        <f t="shared" ca="1" si="352"/>
        <v>20.35804461963529</v>
      </c>
      <c r="Y818" s="314" t="str">
        <f t="shared" ca="1" si="370"/>
        <v/>
      </c>
      <c r="Z818" s="315" t="str">
        <f t="shared" ca="1" si="371"/>
        <v/>
      </c>
      <c r="AA818" s="316" t="str">
        <f t="shared" ca="1" si="372"/>
        <v/>
      </c>
      <c r="AC818" s="310" t="e">
        <f t="shared" ca="1" si="373"/>
        <v>#N/A</v>
      </c>
      <c r="AD818" s="323" t="e">
        <f t="shared" ca="1" si="374"/>
        <v>#N/A</v>
      </c>
      <c r="AE818" s="324" t="e">
        <f t="shared" ca="1" si="353"/>
        <v>#N/A</v>
      </c>
      <c r="AG818" s="306">
        <f t="shared" ca="1" si="375"/>
        <v>3.7371478646367251E-2</v>
      </c>
      <c r="AH818" s="304">
        <f t="shared" ca="1" si="376"/>
        <v>-9.7673168126817043</v>
      </c>
    </row>
    <row r="819" spans="1:34" x14ac:dyDescent="0.25">
      <c r="A819" s="347">
        <f t="shared" ca="1" si="354"/>
        <v>1E-4</v>
      </c>
      <c r="B819" s="304">
        <f t="shared" ca="1" si="355"/>
        <v>47.122100000001105</v>
      </c>
      <c r="D819" s="306">
        <f t="shared" ca="1" si="356"/>
        <v>-0.32137432838483299</v>
      </c>
      <c r="E819" s="307">
        <f t="shared" ca="1" si="357"/>
        <v>-4.7959143092294099E-2</v>
      </c>
      <c r="F819" s="304">
        <f t="shared" ca="1" si="358"/>
        <v>0.32493312904496152</v>
      </c>
      <c r="G819" s="306">
        <f t="shared" ca="1" si="359"/>
        <v>4.0339414154000233</v>
      </c>
      <c r="H819" s="307">
        <f t="shared" ca="1" si="360"/>
        <v>-122.53566231515367</v>
      </c>
      <c r="I819" s="304">
        <f t="shared" ca="1" si="361"/>
        <v>122.60204411981168</v>
      </c>
      <c r="J819" s="306">
        <f t="shared" ca="1" si="362"/>
        <v>677.64536374242232</v>
      </c>
      <c r="K819" s="307">
        <f t="shared" ca="1" si="363"/>
        <v>-12.401688889784865</v>
      </c>
      <c r="L819" s="304">
        <f t="shared" ca="1" si="348"/>
        <v>677.75883682097344</v>
      </c>
      <c r="M819" s="306">
        <f t="shared" ca="1" si="364"/>
        <v>-1.5378876616130486</v>
      </c>
      <c r="N819" s="304">
        <f t="shared" ca="1" si="365"/>
        <v>-88.114472375670985</v>
      </c>
      <c r="P819" s="310">
        <f t="shared" ca="1" si="366"/>
        <v>23</v>
      </c>
      <c r="Q819" s="304">
        <f t="shared" ca="1" si="367"/>
        <v>0</v>
      </c>
      <c r="R819" s="306">
        <f t="shared" ca="1" si="368"/>
        <v>0</v>
      </c>
      <c r="S819" s="307">
        <f t="shared" ca="1" si="369"/>
        <v>2.0842999999999985</v>
      </c>
      <c r="T819" s="304">
        <f t="shared" ca="1" si="349"/>
        <v>20.446982999999985</v>
      </c>
      <c r="U819" s="311">
        <f t="shared" ca="1" si="350"/>
        <v>0</v>
      </c>
      <c r="V819" s="306">
        <f t="shared" ca="1" si="351"/>
        <v>1.2265201495100633</v>
      </c>
      <c r="W819" s="304">
        <f t="shared" ca="1" si="352"/>
        <v>20.358070806218333</v>
      </c>
      <c r="Y819" s="314" t="str">
        <f t="shared" ca="1" si="370"/>
        <v/>
      </c>
      <c r="Z819" s="315" t="str">
        <f t="shared" ca="1" si="371"/>
        <v/>
      </c>
      <c r="AA819" s="316" t="str">
        <f t="shared" ca="1" si="372"/>
        <v/>
      </c>
      <c r="AC819" s="310" t="e">
        <f t="shared" ca="1" si="373"/>
        <v>#N/A</v>
      </c>
      <c r="AD819" s="323" t="e">
        <f t="shared" ca="1" si="374"/>
        <v>#N/A</v>
      </c>
      <c r="AE819" s="324" t="e">
        <f t="shared" ca="1" si="353"/>
        <v>#N/A</v>
      </c>
      <c r="AG819" s="306">
        <f t="shared" ca="1" si="375"/>
        <v>3.7358999713765328E-2</v>
      </c>
      <c r="AH819" s="304">
        <f t="shared" ca="1" si="376"/>
        <v>-9.7673293765942066</v>
      </c>
    </row>
    <row r="820" spans="1:34" x14ac:dyDescent="0.25">
      <c r="A820" s="347">
        <f t="shared" ca="1" si="354"/>
        <v>1E-4</v>
      </c>
      <c r="B820" s="304">
        <f t="shared" ca="1" si="355"/>
        <v>47.122200000001108</v>
      </c>
      <c r="D820" s="306">
        <f t="shared" ca="1" si="356"/>
        <v>-0.32137217168210142</v>
      </c>
      <c r="E820" s="307">
        <f t="shared" ca="1" si="357"/>
        <v>-4.7946501555617971E-2</v>
      </c>
      <c r="F820" s="304">
        <f t="shared" ca="1" si="358"/>
        <v>0.32492913033936022</v>
      </c>
      <c r="G820" s="306">
        <f t="shared" ca="1" si="359"/>
        <v>4.0339092781828549</v>
      </c>
      <c r="H820" s="307">
        <f t="shared" ca="1" si="360"/>
        <v>-122.53566710980382</v>
      </c>
      <c r="I820" s="304">
        <f t="shared" ca="1" si="361"/>
        <v>122.60204785446803</v>
      </c>
      <c r="J820" s="306">
        <f t="shared" ca="1" si="362"/>
        <v>677.64536374242232</v>
      </c>
      <c r="K820" s="307">
        <f t="shared" ca="1" si="363"/>
        <v>-12.413942456256112</v>
      </c>
      <c r="L820" s="304">
        <f t="shared" ca="1" si="348"/>
        <v>677.75906114850807</v>
      </c>
      <c r="M820" s="306">
        <f t="shared" ca="1" si="364"/>
        <v>-1.5378879248841308</v>
      </c>
      <c r="N820" s="304">
        <f t="shared" ca="1" si="365"/>
        <v>-88.114487459992873</v>
      </c>
      <c r="P820" s="310">
        <f t="shared" ca="1" si="366"/>
        <v>23</v>
      </c>
      <c r="Q820" s="304">
        <f t="shared" ca="1" si="367"/>
        <v>0</v>
      </c>
      <c r="R820" s="306">
        <f t="shared" ca="1" si="368"/>
        <v>0</v>
      </c>
      <c r="S820" s="307">
        <f t="shared" ca="1" si="369"/>
        <v>2.0842999999999985</v>
      </c>
      <c r="T820" s="304">
        <f t="shared" ca="1" si="349"/>
        <v>20.446982999999985</v>
      </c>
      <c r="U820" s="311">
        <f t="shared" ca="1" si="350"/>
        <v>0</v>
      </c>
      <c r="V820" s="306">
        <f t="shared" ca="1" si="351"/>
        <v>1.2265216524361806</v>
      </c>
      <c r="W820" s="304">
        <f t="shared" ca="1" si="352"/>
        <v>20.358096992421601</v>
      </c>
      <c r="Y820" s="314" t="str">
        <f t="shared" ca="1" si="370"/>
        <v/>
      </c>
      <c r="Z820" s="315" t="str">
        <f t="shared" ca="1" si="371"/>
        <v/>
      </c>
      <c r="AA820" s="316" t="str">
        <f t="shared" ca="1" si="372"/>
        <v/>
      </c>
      <c r="AC820" s="310" t="e">
        <f t="shared" ca="1" si="373"/>
        <v>#N/A</v>
      </c>
      <c r="AD820" s="323" t="e">
        <f t="shared" ca="1" si="374"/>
        <v>#N/A</v>
      </c>
      <c r="AE820" s="324" t="e">
        <f t="shared" ca="1" si="353"/>
        <v>#N/A</v>
      </c>
      <c r="AG820" s="306">
        <f t="shared" ca="1" si="375"/>
        <v>3.7346520962016072E-2</v>
      </c>
      <c r="AH820" s="304">
        <f t="shared" ca="1" si="376"/>
        <v>-9.7673419403244957</v>
      </c>
    </row>
    <row r="821" spans="1:34" x14ac:dyDescent="0.25">
      <c r="A821" s="347">
        <f t="shared" ca="1" si="354"/>
        <v>1E-4</v>
      </c>
      <c r="B821" s="304">
        <f t="shared" ca="1" si="355"/>
        <v>47.122300000001111</v>
      </c>
      <c r="D821" s="306">
        <f t="shared" ca="1" si="356"/>
        <v>-0.32137001498736983</v>
      </c>
      <c r="E821" s="307">
        <f t="shared" ca="1" si="357"/>
        <v>-4.7933860202187262E-2</v>
      </c>
      <c r="F821" s="304">
        <f t="shared" ca="1" si="358"/>
        <v>0.32492513212564078</v>
      </c>
      <c r="G821" s="306">
        <f t="shared" ca="1" si="359"/>
        <v>4.0338771411813559</v>
      </c>
      <c r="H821" s="307">
        <f t="shared" ca="1" si="360"/>
        <v>-122.53567190318985</v>
      </c>
      <c r="I821" s="304">
        <f t="shared" ca="1" si="361"/>
        <v>122.60205158787653</v>
      </c>
      <c r="J821" s="306">
        <f t="shared" ca="1" si="362"/>
        <v>677.64536374242232</v>
      </c>
      <c r="K821" s="307">
        <f t="shared" ca="1" si="363"/>
        <v>-12.426196023206762</v>
      </c>
      <c r="L821" s="304">
        <f t="shared" ca="1" si="348"/>
        <v>677.75928569751591</v>
      </c>
      <c r="M821" s="306">
        <f t="shared" ca="1" si="364"/>
        <v>-1.5378881881530995</v>
      </c>
      <c r="N821" s="304">
        <f t="shared" ca="1" si="365"/>
        <v>-88.114502544193655</v>
      </c>
      <c r="P821" s="310">
        <f t="shared" ca="1" si="366"/>
        <v>23</v>
      </c>
      <c r="Q821" s="304">
        <f t="shared" ca="1" si="367"/>
        <v>0</v>
      </c>
      <c r="R821" s="306">
        <f t="shared" ca="1" si="368"/>
        <v>0</v>
      </c>
      <c r="S821" s="307">
        <f t="shared" ca="1" si="369"/>
        <v>2.0842999999999985</v>
      </c>
      <c r="T821" s="304">
        <f t="shared" ca="1" si="349"/>
        <v>20.446982999999985</v>
      </c>
      <c r="U821" s="311">
        <f t="shared" ca="1" si="350"/>
        <v>0</v>
      </c>
      <c r="V821" s="306">
        <f t="shared" ca="1" si="351"/>
        <v>1.2265231553641995</v>
      </c>
      <c r="W821" s="304">
        <f t="shared" ca="1" si="352"/>
        <v>20.358123178245098</v>
      </c>
      <c r="Y821" s="314" t="str">
        <f t="shared" ca="1" si="370"/>
        <v/>
      </c>
      <c r="Z821" s="315" t="str">
        <f t="shared" ca="1" si="371"/>
        <v/>
      </c>
      <c r="AA821" s="316" t="str">
        <f t="shared" ca="1" si="372"/>
        <v/>
      </c>
      <c r="AC821" s="310" t="e">
        <f t="shared" ca="1" si="373"/>
        <v>#N/A</v>
      </c>
      <c r="AD821" s="323" t="e">
        <f t="shared" ca="1" si="374"/>
        <v>#N/A</v>
      </c>
      <c r="AE821" s="324" t="e">
        <f t="shared" ca="1" si="353"/>
        <v>#N/A</v>
      </c>
      <c r="AG821" s="306">
        <f t="shared" ca="1" si="375"/>
        <v>3.7334042391112376E-2</v>
      </c>
      <c r="AH821" s="304">
        <f t="shared" ca="1" si="376"/>
        <v>-9.7673545038725784</v>
      </c>
    </row>
    <row r="822" spans="1:34" x14ac:dyDescent="0.25">
      <c r="A822" s="347">
        <f t="shared" ca="1" si="354"/>
        <v>1E-4</v>
      </c>
      <c r="B822" s="304">
        <f t="shared" ca="1" si="355"/>
        <v>47.122400000001115</v>
      </c>
      <c r="D822" s="306">
        <f t="shared" ca="1" si="356"/>
        <v>-0.32136785830064285</v>
      </c>
      <c r="E822" s="307">
        <f t="shared" ca="1" si="357"/>
        <v>-4.7921219032005524E-2</v>
      </c>
      <c r="F822" s="304">
        <f t="shared" ca="1" si="358"/>
        <v>0.32492113440380499</v>
      </c>
      <c r="G822" s="306">
        <f t="shared" ca="1" si="359"/>
        <v>4.0338450043955261</v>
      </c>
      <c r="H822" s="307">
        <f t="shared" ca="1" si="360"/>
        <v>-122.53567669531175</v>
      </c>
      <c r="I822" s="304">
        <f t="shared" ca="1" si="361"/>
        <v>122.60205532003717</v>
      </c>
      <c r="J822" s="306">
        <f t="shared" ca="1" si="362"/>
        <v>677.64536374242232</v>
      </c>
      <c r="K822" s="307">
        <f t="shared" ca="1" si="363"/>
        <v>-12.438449590636687</v>
      </c>
      <c r="L822" s="304">
        <f t="shared" ca="1" si="348"/>
        <v>677.75951046799673</v>
      </c>
      <c r="M822" s="306">
        <f t="shared" ca="1" si="364"/>
        <v>-1.5378884514199547</v>
      </c>
      <c r="N822" s="304">
        <f t="shared" ca="1" si="365"/>
        <v>-88.114517628273333</v>
      </c>
      <c r="P822" s="310">
        <f t="shared" ca="1" si="366"/>
        <v>23</v>
      </c>
      <c r="Q822" s="304">
        <f t="shared" ca="1" si="367"/>
        <v>0</v>
      </c>
      <c r="R822" s="306">
        <f t="shared" ca="1" si="368"/>
        <v>0</v>
      </c>
      <c r="S822" s="307">
        <f t="shared" ca="1" si="369"/>
        <v>2.0842999999999985</v>
      </c>
      <c r="T822" s="304">
        <f t="shared" ca="1" si="349"/>
        <v>20.446982999999985</v>
      </c>
      <c r="U822" s="311">
        <f t="shared" ca="1" si="350"/>
        <v>0</v>
      </c>
      <c r="V822" s="306">
        <f t="shared" ca="1" si="351"/>
        <v>1.2265246582941201</v>
      </c>
      <c r="W822" s="304">
        <f t="shared" ca="1" si="352"/>
        <v>20.358149363688813</v>
      </c>
      <c r="Y822" s="314" t="str">
        <f t="shared" ca="1" si="370"/>
        <v/>
      </c>
      <c r="Z822" s="315" t="str">
        <f t="shared" ca="1" si="371"/>
        <v/>
      </c>
      <c r="AA822" s="316" t="str">
        <f t="shared" ca="1" si="372"/>
        <v/>
      </c>
      <c r="AC822" s="310" t="e">
        <f t="shared" ca="1" si="373"/>
        <v>#N/A</v>
      </c>
      <c r="AD822" s="323" t="e">
        <f t="shared" ca="1" si="374"/>
        <v>#N/A</v>
      </c>
      <c r="AE822" s="324" t="e">
        <f t="shared" ca="1" si="353"/>
        <v>#N/A</v>
      </c>
      <c r="AG822" s="306">
        <f t="shared" ca="1" si="375"/>
        <v>3.7321564001052465E-2</v>
      </c>
      <c r="AH822" s="304">
        <f t="shared" ca="1" si="376"/>
        <v>-9.7673670672384549</v>
      </c>
    </row>
    <row r="823" spans="1:34" x14ac:dyDescent="0.25">
      <c r="A823" s="347">
        <f t="shared" ca="1" si="354"/>
        <v>1E-4</v>
      </c>
      <c r="B823" s="304">
        <f t="shared" ca="1" si="355"/>
        <v>47.122500000001118</v>
      </c>
      <c r="D823" s="306">
        <f t="shared" ca="1" si="356"/>
        <v>-0.32136570162191852</v>
      </c>
      <c r="E823" s="307">
        <f t="shared" ca="1" si="357"/>
        <v>-4.7908578045069206E-2</v>
      </c>
      <c r="F823" s="304">
        <f t="shared" ca="1" si="358"/>
        <v>0.3249171371738469</v>
      </c>
      <c r="G823" s="306">
        <f t="shared" ca="1" si="359"/>
        <v>4.0338128678253637</v>
      </c>
      <c r="H823" s="307">
        <f t="shared" ca="1" si="360"/>
        <v>-122.53568148616955</v>
      </c>
      <c r="I823" s="304">
        <f t="shared" ca="1" si="361"/>
        <v>122.60205905094999</v>
      </c>
      <c r="J823" s="306">
        <f t="shared" ca="1" si="362"/>
        <v>677.64536374242232</v>
      </c>
      <c r="K823" s="307">
        <f t="shared" ca="1" si="363"/>
        <v>-12.45070315854576</v>
      </c>
      <c r="L823" s="304">
        <f t="shared" ca="1" si="348"/>
        <v>677.75973545995043</v>
      </c>
      <c r="M823" s="306">
        <f t="shared" ca="1" si="364"/>
        <v>-1.5378887146846967</v>
      </c>
      <c r="N823" s="304">
        <f t="shared" ca="1" si="365"/>
        <v>-88.114532712231949</v>
      </c>
      <c r="P823" s="310">
        <f t="shared" ca="1" si="366"/>
        <v>23</v>
      </c>
      <c r="Q823" s="304">
        <f t="shared" ca="1" si="367"/>
        <v>0</v>
      </c>
      <c r="R823" s="306">
        <f t="shared" ca="1" si="368"/>
        <v>0</v>
      </c>
      <c r="S823" s="307">
        <f t="shared" ca="1" si="369"/>
        <v>2.0842999999999985</v>
      </c>
      <c r="T823" s="304">
        <f t="shared" ca="1" si="349"/>
        <v>20.446982999999985</v>
      </c>
      <c r="U823" s="311">
        <f t="shared" ca="1" si="350"/>
        <v>0</v>
      </c>
      <c r="V823" s="306">
        <f t="shared" ca="1" si="351"/>
        <v>1.2265261612259417</v>
      </c>
      <c r="W823" s="304">
        <f t="shared" ca="1" si="352"/>
        <v>20.358175548752765</v>
      </c>
      <c r="Y823" s="314" t="str">
        <f t="shared" ca="1" si="370"/>
        <v/>
      </c>
      <c r="Z823" s="315" t="str">
        <f t="shared" ca="1" si="371"/>
        <v/>
      </c>
      <c r="AA823" s="316" t="str">
        <f t="shared" ca="1" si="372"/>
        <v/>
      </c>
      <c r="AC823" s="310" t="e">
        <f t="shared" ca="1" si="373"/>
        <v>#N/A</v>
      </c>
      <c r="AD823" s="323" t="e">
        <f t="shared" ca="1" si="374"/>
        <v>#N/A</v>
      </c>
      <c r="AE823" s="324" t="e">
        <f t="shared" ca="1" si="353"/>
        <v>#N/A</v>
      </c>
      <c r="AG823" s="306">
        <f t="shared" ca="1" si="375"/>
        <v>3.7309085791839891E-2</v>
      </c>
      <c r="AH823" s="304">
        <f t="shared" ca="1" si="376"/>
        <v>-9.7673796304221217</v>
      </c>
    </row>
    <row r="824" spans="1:34" x14ac:dyDescent="0.25">
      <c r="A824" s="347">
        <f t="shared" ca="1" si="354"/>
        <v>1E-4</v>
      </c>
      <c r="B824" s="304">
        <f t="shared" ca="1" si="355"/>
        <v>47.122600000001121</v>
      </c>
      <c r="D824" s="306">
        <f t="shared" ca="1" si="356"/>
        <v>-0.32136354495119496</v>
      </c>
      <c r="E824" s="307">
        <f t="shared" ca="1" si="357"/>
        <v>-4.7895937241378306E-2</v>
      </c>
      <c r="F824" s="304">
        <f t="shared" ca="1" si="358"/>
        <v>0.32491314043576131</v>
      </c>
      <c r="G824" s="306">
        <f t="shared" ca="1" si="359"/>
        <v>4.0337807314708689</v>
      </c>
      <c r="H824" s="307">
        <f t="shared" ca="1" si="360"/>
        <v>-122.53568627576327</v>
      </c>
      <c r="I824" s="304">
        <f t="shared" ca="1" si="361"/>
        <v>122.60206278061501</v>
      </c>
      <c r="J824" s="306">
        <f t="shared" ca="1" si="362"/>
        <v>677.64536374242232</v>
      </c>
      <c r="K824" s="307">
        <f t="shared" ca="1" si="363"/>
        <v>-12.462956726933857</v>
      </c>
      <c r="L824" s="304">
        <f t="shared" ca="1" si="348"/>
        <v>677.75996067337678</v>
      </c>
      <c r="M824" s="306">
        <f t="shared" ca="1" si="364"/>
        <v>-1.537888977947325</v>
      </c>
      <c r="N824" s="304">
        <f t="shared" ca="1" si="365"/>
        <v>-88.114547796069459</v>
      </c>
      <c r="P824" s="310">
        <f t="shared" ca="1" si="366"/>
        <v>23</v>
      </c>
      <c r="Q824" s="304">
        <f t="shared" ca="1" si="367"/>
        <v>0</v>
      </c>
      <c r="R824" s="306">
        <f t="shared" ca="1" si="368"/>
        <v>0</v>
      </c>
      <c r="S824" s="307">
        <f t="shared" ca="1" si="369"/>
        <v>2.0842999999999985</v>
      </c>
      <c r="T824" s="304">
        <f t="shared" ca="1" si="349"/>
        <v>20.446982999999985</v>
      </c>
      <c r="U824" s="311">
        <f t="shared" ca="1" si="350"/>
        <v>0</v>
      </c>
      <c r="V824" s="306">
        <f t="shared" ca="1" si="351"/>
        <v>1.2265276641596652</v>
      </c>
      <c r="W824" s="304">
        <f t="shared" ca="1" si="352"/>
        <v>20.358201733436953</v>
      </c>
      <c r="Y824" s="314" t="str">
        <f t="shared" ca="1" si="370"/>
        <v/>
      </c>
      <c r="Z824" s="315" t="str">
        <f t="shared" ca="1" si="371"/>
        <v/>
      </c>
      <c r="AA824" s="316" t="str">
        <f t="shared" ca="1" si="372"/>
        <v/>
      </c>
      <c r="AC824" s="310" t="e">
        <f t="shared" ca="1" si="373"/>
        <v>#N/A</v>
      </c>
      <c r="AD824" s="323" t="e">
        <f t="shared" ca="1" si="374"/>
        <v>#N/A</v>
      </c>
      <c r="AE824" s="324" t="e">
        <f t="shared" ca="1" si="353"/>
        <v>#N/A</v>
      </c>
      <c r="AG824" s="306">
        <f t="shared" ca="1" si="375"/>
        <v>3.7296607763467549E-2</v>
      </c>
      <c r="AH824" s="304">
        <f t="shared" ca="1" si="376"/>
        <v>-9.7673921934235857</v>
      </c>
    </row>
    <row r="825" spans="1:34" x14ac:dyDescent="0.25">
      <c r="A825" s="347">
        <f t="shared" ca="1" si="354"/>
        <v>1E-4</v>
      </c>
      <c r="B825" s="304">
        <f t="shared" ca="1" si="355"/>
        <v>47.122700000001124</v>
      </c>
      <c r="D825" s="306">
        <f t="shared" ca="1" si="356"/>
        <v>-0.32136138828847693</v>
      </c>
      <c r="E825" s="307">
        <f t="shared" ca="1" si="357"/>
        <v>-4.7883296620925719E-2</v>
      </c>
      <c r="F825" s="304">
        <f t="shared" ca="1" si="358"/>
        <v>0.32490914418954847</v>
      </c>
      <c r="G825" s="306">
        <f t="shared" ca="1" si="359"/>
        <v>4.0337485953320398</v>
      </c>
      <c r="H825" s="307">
        <f t="shared" ca="1" si="360"/>
        <v>-122.53569106409293</v>
      </c>
      <c r="I825" s="304">
        <f t="shared" ca="1" si="361"/>
        <v>122.60206650903226</v>
      </c>
      <c r="J825" s="306">
        <f t="shared" ca="1" si="362"/>
        <v>677.64536374242232</v>
      </c>
      <c r="K825" s="307">
        <f t="shared" ca="1" si="363"/>
        <v>-12.475210295800849</v>
      </c>
      <c r="L825" s="304">
        <f t="shared" ca="1" si="348"/>
        <v>677.76018610827555</v>
      </c>
      <c r="M825" s="306">
        <f t="shared" ca="1" si="364"/>
        <v>-1.5378892412078402</v>
      </c>
      <c r="N825" s="304">
        <f t="shared" ca="1" si="365"/>
        <v>-88.114562879785893</v>
      </c>
      <c r="P825" s="310">
        <f t="shared" ca="1" si="366"/>
        <v>23</v>
      </c>
      <c r="Q825" s="304">
        <f t="shared" ca="1" si="367"/>
        <v>0</v>
      </c>
      <c r="R825" s="306">
        <f t="shared" ca="1" si="368"/>
        <v>0</v>
      </c>
      <c r="S825" s="307">
        <f t="shared" ca="1" si="369"/>
        <v>2.0842999999999985</v>
      </c>
      <c r="T825" s="304">
        <f t="shared" ca="1" si="349"/>
        <v>20.446982999999985</v>
      </c>
      <c r="U825" s="311">
        <f t="shared" ca="1" si="350"/>
        <v>0</v>
      </c>
      <c r="V825" s="306">
        <f t="shared" ca="1" si="351"/>
        <v>1.2265291670952903</v>
      </c>
      <c r="W825" s="304">
        <f t="shared" ca="1" si="352"/>
        <v>20.358227917741392</v>
      </c>
      <c r="Y825" s="314" t="str">
        <f t="shared" ca="1" si="370"/>
        <v/>
      </c>
      <c r="Z825" s="315" t="str">
        <f t="shared" ca="1" si="371"/>
        <v/>
      </c>
      <c r="AA825" s="316" t="str">
        <f t="shared" ca="1" si="372"/>
        <v/>
      </c>
      <c r="AC825" s="310" t="e">
        <f t="shared" ca="1" si="373"/>
        <v>#N/A</v>
      </c>
      <c r="AD825" s="323" t="e">
        <f t="shared" ca="1" si="374"/>
        <v>#N/A</v>
      </c>
      <c r="AE825" s="324" t="e">
        <f t="shared" ca="1" si="353"/>
        <v>#N/A</v>
      </c>
      <c r="AG825" s="306">
        <f t="shared" ca="1" si="375"/>
        <v>3.7284129915937214E-2</v>
      </c>
      <c r="AH825" s="304">
        <f t="shared" ca="1" si="376"/>
        <v>-9.7674047562428488</v>
      </c>
    </row>
    <row r="826" spans="1:34" x14ac:dyDescent="0.25">
      <c r="A826" s="347">
        <f t="shared" ca="1" si="354"/>
        <v>1E-4</v>
      </c>
      <c r="B826" s="304">
        <f t="shared" ca="1" si="355"/>
        <v>47.122800000001128</v>
      </c>
      <c r="D826" s="306">
        <f t="shared" ca="1" si="356"/>
        <v>-0.32135923163376046</v>
      </c>
      <c r="E826" s="307">
        <f t="shared" ca="1" si="357"/>
        <v>-4.7870656183711446E-2</v>
      </c>
      <c r="F826" s="304">
        <f t="shared" ca="1" si="358"/>
        <v>0.32490514843520107</v>
      </c>
      <c r="G826" s="306">
        <f t="shared" ca="1" si="359"/>
        <v>4.0337164594088764</v>
      </c>
      <c r="H826" s="307">
        <f t="shared" ca="1" si="360"/>
        <v>-122.53569585115855</v>
      </c>
      <c r="I826" s="304">
        <f t="shared" ca="1" si="361"/>
        <v>122.60207023620173</v>
      </c>
      <c r="J826" s="306">
        <f t="shared" ca="1" si="362"/>
        <v>677.64536374242232</v>
      </c>
      <c r="K826" s="307">
        <f t="shared" ca="1" si="363"/>
        <v>-12.487463865146612</v>
      </c>
      <c r="L826" s="304">
        <f t="shared" ca="1" si="348"/>
        <v>677.76041176464651</v>
      </c>
      <c r="M826" s="306">
        <f t="shared" ca="1" si="364"/>
        <v>-1.5378895044662422</v>
      </c>
      <c r="N826" s="304">
        <f t="shared" ca="1" si="365"/>
        <v>-88.114577963381251</v>
      </c>
      <c r="P826" s="310">
        <f t="shared" ca="1" si="366"/>
        <v>23</v>
      </c>
      <c r="Q826" s="304">
        <f t="shared" ca="1" si="367"/>
        <v>0</v>
      </c>
      <c r="R826" s="306">
        <f t="shared" ca="1" si="368"/>
        <v>0</v>
      </c>
      <c r="S826" s="307">
        <f t="shared" ca="1" si="369"/>
        <v>2.0842999999999985</v>
      </c>
      <c r="T826" s="304">
        <f t="shared" ca="1" si="349"/>
        <v>20.446982999999985</v>
      </c>
      <c r="U826" s="311">
        <f t="shared" ca="1" si="350"/>
        <v>0</v>
      </c>
      <c r="V826" s="306">
        <f t="shared" ca="1" si="351"/>
        <v>1.2265306700328167</v>
      </c>
      <c r="W826" s="304">
        <f t="shared" ca="1" si="352"/>
        <v>20.35825410166607</v>
      </c>
      <c r="Y826" s="314" t="str">
        <f t="shared" ca="1" si="370"/>
        <v/>
      </c>
      <c r="Z826" s="315" t="str">
        <f t="shared" ca="1" si="371"/>
        <v/>
      </c>
      <c r="AA826" s="316" t="str">
        <f t="shared" ca="1" si="372"/>
        <v/>
      </c>
      <c r="AC826" s="310" t="e">
        <f t="shared" ca="1" si="373"/>
        <v>#N/A</v>
      </c>
      <c r="AD826" s="323" t="e">
        <f t="shared" ca="1" si="374"/>
        <v>#N/A</v>
      </c>
      <c r="AE826" s="324" t="e">
        <f t="shared" ca="1" si="353"/>
        <v>#N/A</v>
      </c>
      <c r="AG826" s="306">
        <f t="shared" ca="1" si="375"/>
        <v>3.7271652249240006E-2</v>
      </c>
      <c r="AH826" s="304">
        <f t="shared" ca="1" si="376"/>
        <v>-9.7674173188799145</v>
      </c>
    </row>
    <row r="827" spans="1:34" x14ac:dyDescent="0.25">
      <c r="A827" s="347">
        <f t="shared" ca="1" si="354"/>
        <v>1E-4</v>
      </c>
      <c r="B827" s="304">
        <f t="shared" ca="1" si="355"/>
        <v>47.122900000001131</v>
      </c>
      <c r="D827" s="306">
        <f t="shared" ca="1" si="356"/>
        <v>-0.32135707498704558</v>
      </c>
      <c r="E827" s="307">
        <f t="shared" ca="1" si="357"/>
        <v>-4.785801592973371E-2</v>
      </c>
      <c r="F827" s="304">
        <f t="shared" ca="1" si="358"/>
        <v>0.3249011531727154</v>
      </c>
      <c r="G827" s="306">
        <f t="shared" ca="1" si="359"/>
        <v>4.0336843237013777</v>
      </c>
      <c r="H827" s="307">
        <f t="shared" ca="1" si="360"/>
        <v>-122.53570063696014</v>
      </c>
      <c r="I827" s="304">
        <f t="shared" ca="1" si="361"/>
        <v>122.60207396212346</v>
      </c>
      <c r="J827" s="306">
        <f t="shared" ca="1" si="362"/>
        <v>677.64536374242232</v>
      </c>
      <c r="K827" s="307">
        <f t="shared" ca="1" si="363"/>
        <v>-12.499717434971018</v>
      </c>
      <c r="L827" s="304">
        <f t="shared" ca="1" si="348"/>
        <v>677.76063764248954</v>
      </c>
      <c r="M827" s="306">
        <f t="shared" ca="1" si="364"/>
        <v>-1.5378897677225305</v>
      </c>
      <c r="N827" s="304">
        <f t="shared" ca="1" si="365"/>
        <v>-88.114593046855489</v>
      </c>
      <c r="P827" s="310">
        <f t="shared" ca="1" si="366"/>
        <v>23</v>
      </c>
      <c r="Q827" s="304">
        <f t="shared" ca="1" si="367"/>
        <v>0</v>
      </c>
      <c r="R827" s="306">
        <f t="shared" ca="1" si="368"/>
        <v>0</v>
      </c>
      <c r="S827" s="307">
        <f t="shared" ca="1" si="369"/>
        <v>2.0842999999999985</v>
      </c>
      <c r="T827" s="304">
        <f t="shared" ca="1" si="349"/>
        <v>20.446982999999985</v>
      </c>
      <c r="U827" s="311">
        <f t="shared" ca="1" si="350"/>
        <v>0</v>
      </c>
      <c r="V827" s="306">
        <f t="shared" ca="1" si="351"/>
        <v>1.2265321729722447</v>
      </c>
      <c r="W827" s="304">
        <f t="shared" ca="1" si="352"/>
        <v>20.358280285211002</v>
      </c>
      <c r="Y827" s="314" t="str">
        <f t="shared" ca="1" si="370"/>
        <v/>
      </c>
      <c r="Z827" s="315" t="str">
        <f t="shared" ca="1" si="371"/>
        <v/>
      </c>
      <c r="AA827" s="316" t="str">
        <f t="shared" ca="1" si="372"/>
        <v/>
      </c>
      <c r="AC827" s="310" t="e">
        <f t="shared" ca="1" si="373"/>
        <v>#N/A</v>
      </c>
      <c r="AD827" s="323" t="e">
        <f t="shared" ca="1" si="374"/>
        <v>#N/A</v>
      </c>
      <c r="AE827" s="324" t="e">
        <f t="shared" ca="1" si="353"/>
        <v>#N/A</v>
      </c>
      <c r="AG827" s="306">
        <f t="shared" ca="1" si="375"/>
        <v>3.7259174763383029E-2</v>
      </c>
      <c r="AH827" s="304">
        <f t="shared" ca="1" si="376"/>
        <v>-9.7674298813347811</v>
      </c>
    </row>
    <row r="828" spans="1:34" x14ac:dyDescent="0.25">
      <c r="A828" s="347">
        <f t="shared" ca="1" si="354"/>
        <v>1E-4</v>
      </c>
      <c r="B828" s="304">
        <f t="shared" ca="1" si="355"/>
        <v>47.123000000001134</v>
      </c>
      <c r="D828" s="306">
        <f t="shared" ca="1" si="356"/>
        <v>-0.32135491834833702</v>
      </c>
      <c r="E828" s="307">
        <f t="shared" ca="1" si="357"/>
        <v>-4.7845375858992512E-2</v>
      </c>
      <c r="F828" s="304">
        <f t="shared" ca="1" si="358"/>
        <v>0.32489715840209288</v>
      </c>
      <c r="G828" s="306">
        <f t="shared" ca="1" si="359"/>
        <v>4.0336521882095431</v>
      </c>
      <c r="H828" s="307">
        <f t="shared" ca="1" si="360"/>
        <v>-122.53570542149772</v>
      </c>
      <c r="I828" s="304">
        <f t="shared" ca="1" si="361"/>
        <v>122.60207768679744</v>
      </c>
      <c r="J828" s="306">
        <f t="shared" ca="1" si="362"/>
        <v>677.64536374242232</v>
      </c>
      <c r="K828" s="307">
        <f t="shared" ca="1" si="363"/>
        <v>-12.51197100527394</v>
      </c>
      <c r="L828" s="304">
        <f t="shared" ca="1" si="348"/>
        <v>677.76086374180431</v>
      </c>
      <c r="M828" s="306">
        <f t="shared" ca="1" si="364"/>
        <v>-1.5378900309767058</v>
      </c>
      <c r="N828" s="304">
        <f t="shared" ca="1" si="365"/>
        <v>-88.11460813020868</v>
      </c>
      <c r="P828" s="310">
        <f t="shared" ca="1" si="366"/>
        <v>23</v>
      </c>
      <c r="Q828" s="304">
        <f t="shared" ca="1" si="367"/>
        <v>0</v>
      </c>
      <c r="R828" s="306">
        <f t="shared" ca="1" si="368"/>
        <v>0</v>
      </c>
      <c r="S828" s="307">
        <f t="shared" ca="1" si="369"/>
        <v>2.0842999999999985</v>
      </c>
      <c r="T828" s="304">
        <f t="shared" ca="1" si="349"/>
        <v>20.446982999999985</v>
      </c>
      <c r="U828" s="311">
        <f t="shared" ca="1" si="350"/>
        <v>0</v>
      </c>
      <c r="V828" s="306">
        <f t="shared" ca="1" si="351"/>
        <v>1.2265336759135743</v>
      </c>
      <c r="W828" s="304">
        <f t="shared" ca="1" si="352"/>
        <v>20.358306468376195</v>
      </c>
      <c r="Y828" s="314" t="str">
        <f t="shared" ca="1" si="370"/>
        <v/>
      </c>
      <c r="Z828" s="315" t="str">
        <f t="shared" ca="1" si="371"/>
        <v/>
      </c>
      <c r="AA828" s="316" t="str">
        <f t="shared" ca="1" si="372"/>
        <v/>
      </c>
      <c r="AC828" s="310" t="e">
        <f t="shared" ca="1" si="373"/>
        <v>#N/A</v>
      </c>
      <c r="AD828" s="323" t="e">
        <f t="shared" ca="1" si="374"/>
        <v>#N/A</v>
      </c>
      <c r="AE828" s="324" t="e">
        <f t="shared" ca="1" si="353"/>
        <v>#N/A</v>
      </c>
      <c r="AG828" s="306">
        <f t="shared" ca="1" si="375"/>
        <v>3.7246697458355627E-2</v>
      </c>
      <c r="AH828" s="304">
        <f t="shared" ca="1" si="376"/>
        <v>-9.7674424436074538</v>
      </c>
    </row>
    <row r="829" spans="1:34" x14ac:dyDescent="0.25">
      <c r="A829" s="347">
        <f t="shared" ca="1" si="354"/>
        <v>1E-4</v>
      </c>
      <c r="B829" s="304">
        <f t="shared" ca="1" si="355"/>
        <v>47.123100000001138</v>
      </c>
      <c r="D829" s="306">
        <f t="shared" ca="1" si="356"/>
        <v>-0.32135276171762872</v>
      </c>
      <c r="E829" s="307">
        <f t="shared" ca="1" si="357"/>
        <v>-4.7832735971478968E-2</v>
      </c>
      <c r="F829" s="304">
        <f t="shared" ca="1" si="358"/>
        <v>0.3248931641233227</v>
      </c>
      <c r="G829" s="306">
        <f t="shared" ca="1" si="359"/>
        <v>4.0336200529333714</v>
      </c>
      <c r="H829" s="307">
        <f t="shared" ca="1" si="360"/>
        <v>-122.53571020477132</v>
      </c>
      <c r="I829" s="304">
        <f t="shared" ca="1" si="361"/>
        <v>122.60208141022372</v>
      </c>
      <c r="J829" s="306">
        <f t="shared" ca="1" si="362"/>
        <v>677.64536374242232</v>
      </c>
      <c r="K829" s="307">
        <f t="shared" ca="1" si="363"/>
        <v>-12.524224576055254</v>
      </c>
      <c r="L829" s="304">
        <f t="shared" ca="1" si="348"/>
        <v>677.76109006259082</v>
      </c>
      <c r="M829" s="306">
        <f t="shared" ca="1" si="364"/>
        <v>-1.5378902942287676</v>
      </c>
      <c r="N829" s="304">
        <f t="shared" ca="1" si="365"/>
        <v>-88.114623213440765</v>
      </c>
      <c r="P829" s="310">
        <f t="shared" ca="1" si="366"/>
        <v>23</v>
      </c>
      <c r="Q829" s="304">
        <f t="shared" ca="1" si="367"/>
        <v>0</v>
      </c>
      <c r="R829" s="306">
        <f t="shared" ca="1" si="368"/>
        <v>0</v>
      </c>
      <c r="S829" s="307">
        <f t="shared" ca="1" si="369"/>
        <v>2.0842999999999985</v>
      </c>
      <c r="T829" s="304">
        <f t="shared" ca="1" si="349"/>
        <v>20.446982999999985</v>
      </c>
      <c r="U829" s="311">
        <f t="shared" ca="1" si="350"/>
        <v>0</v>
      </c>
      <c r="V829" s="306">
        <f t="shared" ca="1" si="351"/>
        <v>1.2265351788568053</v>
      </c>
      <c r="W829" s="304">
        <f t="shared" ca="1" si="352"/>
        <v>20.358332651161639</v>
      </c>
      <c r="Y829" s="314" t="str">
        <f t="shared" ca="1" si="370"/>
        <v/>
      </c>
      <c r="Z829" s="315" t="str">
        <f t="shared" ca="1" si="371"/>
        <v/>
      </c>
      <c r="AA829" s="316" t="str">
        <f t="shared" ca="1" si="372"/>
        <v/>
      </c>
      <c r="AC829" s="310" t="e">
        <f t="shared" ca="1" si="373"/>
        <v>#N/A</v>
      </c>
      <c r="AD829" s="323" t="e">
        <f t="shared" ca="1" si="374"/>
        <v>#N/A</v>
      </c>
      <c r="AE829" s="324" t="e">
        <f t="shared" ca="1" si="353"/>
        <v>#N/A</v>
      </c>
      <c r="AG829" s="306">
        <f t="shared" ca="1" si="375"/>
        <v>3.7234220334157797E-2</v>
      </c>
      <c r="AH829" s="304">
        <f t="shared" ca="1" si="376"/>
        <v>-9.7674550056979363</v>
      </c>
    </row>
    <row r="830" spans="1:34" x14ac:dyDescent="0.25">
      <c r="A830" s="347">
        <f t="shared" ca="1" si="354"/>
        <v>1E-4</v>
      </c>
      <c r="B830" s="304">
        <f t="shared" ca="1" si="355"/>
        <v>47.123200000001141</v>
      </c>
      <c r="D830" s="306">
        <f t="shared" ca="1" si="356"/>
        <v>-0.32135060509492724</v>
      </c>
      <c r="E830" s="307">
        <f t="shared" ca="1" si="357"/>
        <v>-4.7820096267198409E-2</v>
      </c>
      <c r="F830" s="304">
        <f t="shared" ca="1" si="358"/>
        <v>0.32488917033640874</v>
      </c>
      <c r="G830" s="306">
        <f t="shared" ca="1" si="359"/>
        <v>4.033587917872862</v>
      </c>
      <c r="H830" s="307">
        <f t="shared" ca="1" si="360"/>
        <v>-122.53571498678095</v>
      </c>
      <c r="I830" s="304">
        <f t="shared" ca="1" si="361"/>
        <v>122.60208513240231</v>
      </c>
      <c r="J830" s="306">
        <f t="shared" ca="1" si="362"/>
        <v>677.64536374242232</v>
      </c>
      <c r="K830" s="307">
        <f t="shared" ca="1" si="363"/>
        <v>-12.536478147314831</v>
      </c>
      <c r="L830" s="304">
        <f t="shared" ca="1" si="348"/>
        <v>677.76131660484862</v>
      </c>
      <c r="M830" s="306">
        <f t="shared" ca="1" si="364"/>
        <v>-1.5378905574787163</v>
      </c>
      <c r="N830" s="304">
        <f t="shared" ca="1" si="365"/>
        <v>-88.114638296551789</v>
      </c>
      <c r="P830" s="310">
        <f t="shared" ca="1" si="366"/>
        <v>23</v>
      </c>
      <c r="Q830" s="304">
        <f t="shared" ca="1" si="367"/>
        <v>0</v>
      </c>
      <c r="R830" s="306">
        <f t="shared" ca="1" si="368"/>
        <v>0</v>
      </c>
      <c r="S830" s="307">
        <f t="shared" ca="1" si="369"/>
        <v>2.0842999999999985</v>
      </c>
      <c r="T830" s="304">
        <f t="shared" ca="1" si="349"/>
        <v>20.446982999999985</v>
      </c>
      <c r="U830" s="311">
        <f t="shared" ca="1" si="350"/>
        <v>0</v>
      </c>
      <c r="V830" s="306">
        <f t="shared" ca="1" si="351"/>
        <v>1.2265366818019376</v>
      </c>
      <c r="W830" s="304">
        <f t="shared" ca="1" si="352"/>
        <v>20.358358833567351</v>
      </c>
      <c r="Y830" s="314" t="str">
        <f t="shared" ca="1" si="370"/>
        <v/>
      </c>
      <c r="Z830" s="315" t="str">
        <f t="shared" ca="1" si="371"/>
        <v/>
      </c>
      <c r="AA830" s="316" t="str">
        <f t="shared" ca="1" si="372"/>
        <v/>
      </c>
      <c r="AC830" s="310" t="e">
        <f t="shared" ca="1" si="373"/>
        <v>#N/A</v>
      </c>
      <c r="AD830" s="323" t="e">
        <f t="shared" ca="1" si="374"/>
        <v>#N/A</v>
      </c>
      <c r="AE830" s="324" t="e">
        <f t="shared" ca="1" si="353"/>
        <v>#N/A</v>
      </c>
      <c r="AG830" s="306">
        <f t="shared" ca="1" si="375"/>
        <v>3.7221743390791318E-2</v>
      </c>
      <c r="AH830" s="304">
        <f t="shared" ca="1" si="376"/>
        <v>-9.767467567606225</v>
      </c>
    </row>
    <row r="831" spans="1:34" x14ac:dyDescent="0.25">
      <c r="A831" s="347">
        <f t="shared" ca="1" si="354"/>
        <v>1E-4</v>
      </c>
      <c r="B831" s="304">
        <f t="shared" ca="1" si="355"/>
        <v>47.123300000001144</v>
      </c>
      <c r="D831" s="306">
        <f t="shared" ca="1" si="356"/>
        <v>-0.32134844848022648</v>
      </c>
      <c r="E831" s="307">
        <f t="shared" ca="1" si="357"/>
        <v>-4.7807456746145505E-2</v>
      </c>
      <c r="F831" s="304">
        <f t="shared" ca="1" si="358"/>
        <v>0.32488517704134079</v>
      </c>
      <c r="G831" s="306">
        <f t="shared" ca="1" si="359"/>
        <v>4.0335557830280138</v>
      </c>
      <c r="H831" s="307">
        <f t="shared" ca="1" si="360"/>
        <v>-122.53571976752661</v>
      </c>
      <c r="I831" s="304">
        <f t="shared" ca="1" si="361"/>
        <v>122.60208885333321</v>
      </c>
      <c r="J831" s="306">
        <f t="shared" ca="1" si="362"/>
        <v>677.64536374242232</v>
      </c>
      <c r="K831" s="307">
        <f t="shared" ca="1" si="363"/>
        <v>-12.548731719052547</v>
      </c>
      <c r="L831" s="304">
        <f t="shared" ca="1" si="348"/>
        <v>677.7615433685778</v>
      </c>
      <c r="M831" s="306">
        <f t="shared" ca="1" si="364"/>
        <v>-1.5378908207265516</v>
      </c>
      <c r="N831" s="304">
        <f t="shared" ca="1" si="365"/>
        <v>-88.114653379541707</v>
      </c>
      <c r="P831" s="310">
        <f t="shared" ca="1" si="366"/>
        <v>23</v>
      </c>
      <c r="Q831" s="304">
        <f t="shared" ca="1" si="367"/>
        <v>0</v>
      </c>
      <c r="R831" s="306">
        <f t="shared" ca="1" si="368"/>
        <v>0</v>
      </c>
      <c r="S831" s="307">
        <f t="shared" ca="1" si="369"/>
        <v>2.0842999999999985</v>
      </c>
      <c r="T831" s="304">
        <f t="shared" ca="1" si="349"/>
        <v>20.446982999999985</v>
      </c>
      <c r="U831" s="311">
        <f t="shared" ca="1" si="350"/>
        <v>0</v>
      </c>
      <c r="V831" s="306">
        <f t="shared" ca="1" si="351"/>
        <v>1.2265381847489716</v>
      </c>
      <c r="W831" s="304">
        <f t="shared" ca="1" si="352"/>
        <v>20.358385015593331</v>
      </c>
      <c r="Y831" s="314" t="str">
        <f t="shared" ca="1" si="370"/>
        <v/>
      </c>
      <c r="Z831" s="315" t="str">
        <f t="shared" ca="1" si="371"/>
        <v/>
      </c>
      <c r="AA831" s="316" t="str">
        <f t="shared" ca="1" si="372"/>
        <v/>
      </c>
      <c r="AC831" s="310" t="e">
        <f t="shared" ca="1" si="373"/>
        <v>#N/A</v>
      </c>
      <c r="AD831" s="323" t="e">
        <f t="shared" ca="1" si="374"/>
        <v>#N/A</v>
      </c>
      <c r="AE831" s="324" t="e">
        <f t="shared" ca="1" si="353"/>
        <v>#N/A</v>
      </c>
      <c r="AG831" s="306">
        <f t="shared" ca="1" si="375"/>
        <v>3.7209266628254412E-2</v>
      </c>
      <c r="AH831" s="304">
        <f t="shared" ca="1" si="376"/>
        <v>-9.7674801293323252</v>
      </c>
    </row>
    <row r="832" spans="1:34" x14ac:dyDescent="0.25">
      <c r="A832" s="347">
        <f t="shared" ca="1" si="354"/>
        <v>1E-4</v>
      </c>
      <c r="B832" s="304">
        <f t="shared" ca="1" si="355"/>
        <v>47.123400000001148</v>
      </c>
      <c r="D832" s="306">
        <f t="shared" ca="1" si="356"/>
        <v>-0.32134629187353114</v>
      </c>
      <c r="E832" s="307">
        <f t="shared" ca="1" si="357"/>
        <v>-4.779481740831848E-2</v>
      </c>
      <c r="F832" s="304">
        <f t="shared" ca="1" si="358"/>
        <v>0.32488118423811985</v>
      </c>
      <c r="G832" s="306">
        <f t="shared" ca="1" si="359"/>
        <v>4.0335236483988268</v>
      </c>
      <c r="H832" s="307">
        <f t="shared" ca="1" si="360"/>
        <v>-122.53572454700836</v>
      </c>
      <c r="I832" s="304">
        <f t="shared" ca="1" si="361"/>
        <v>122.60209257301646</v>
      </c>
      <c r="J832" s="306">
        <f t="shared" ca="1" si="362"/>
        <v>677.64536374242232</v>
      </c>
      <c r="K832" s="307">
        <f t="shared" ca="1" si="363"/>
        <v>-12.560985291268274</v>
      </c>
      <c r="L832" s="304">
        <f t="shared" ca="1" si="348"/>
        <v>677.76177035377805</v>
      </c>
      <c r="M832" s="306">
        <f t="shared" ca="1" si="364"/>
        <v>-1.5378910839722739</v>
      </c>
      <c r="N832" s="304">
        <f t="shared" ca="1" si="365"/>
        <v>-88.114668462410577</v>
      </c>
      <c r="P832" s="310">
        <f t="shared" ca="1" si="366"/>
        <v>23</v>
      </c>
      <c r="Q832" s="304">
        <f t="shared" ca="1" si="367"/>
        <v>0</v>
      </c>
      <c r="R832" s="306">
        <f t="shared" ca="1" si="368"/>
        <v>0</v>
      </c>
      <c r="S832" s="307">
        <f t="shared" ca="1" si="369"/>
        <v>2.0842999999999985</v>
      </c>
      <c r="T832" s="304">
        <f t="shared" ca="1" si="349"/>
        <v>20.446982999999985</v>
      </c>
      <c r="U832" s="311">
        <f t="shared" ca="1" si="350"/>
        <v>0</v>
      </c>
      <c r="V832" s="306">
        <f t="shared" ca="1" si="351"/>
        <v>1.2265396876979069</v>
      </c>
      <c r="W832" s="304">
        <f t="shared" ca="1" si="352"/>
        <v>20.358411197239583</v>
      </c>
      <c r="Y832" s="314" t="str">
        <f t="shared" ca="1" si="370"/>
        <v/>
      </c>
      <c r="Z832" s="315" t="str">
        <f t="shared" ca="1" si="371"/>
        <v/>
      </c>
      <c r="AA832" s="316" t="str">
        <f t="shared" ca="1" si="372"/>
        <v/>
      </c>
      <c r="AC832" s="310" t="e">
        <f t="shared" ca="1" si="373"/>
        <v>#N/A</v>
      </c>
      <c r="AD832" s="323" t="e">
        <f t="shared" ca="1" si="374"/>
        <v>#N/A</v>
      </c>
      <c r="AE832" s="324" t="e">
        <f t="shared" ca="1" si="353"/>
        <v>#N/A</v>
      </c>
      <c r="AG832" s="306">
        <f t="shared" ca="1" si="375"/>
        <v>3.719679004654175E-2</v>
      </c>
      <c r="AH832" s="304">
        <f t="shared" ca="1" si="376"/>
        <v>-9.7674926908762387</v>
      </c>
    </row>
    <row r="833" spans="1:34" x14ac:dyDescent="0.25">
      <c r="A833" s="347">
        <f t="shared" ca="1" si="354"/>
        <v>1E-4</v>
      </c>
      <c r="B833" s="304">
        <f t="shared" ca="1" si="355"/>
        <v>47.123500000001151</v>
      </c>
      <c r="D833" s="306">
        <f t="shared" ca="1" si="356"/>
        <v>-0.32134413527483707</v>
      </c>
      <c r="E833" s="307">
        <f t="shared" ca="1" si="357"/>
        <v>-4.7782178253715557E-2</v>
      </c>
      <c r="F833" s="304">
        <f t="shared" ca="1" si="358"/>
        <v>0.32487719192673814</v>
      </c>
      <c r="G833" s="306">
        <f t="shared" ca="1" si="359"/>
        <v>4.0334915139852994</v>
      </c>
      <c r="H833" s="307">
        <f t="shared" ca="1" si="360"/>
        <v>-122.53572932522619</v>
      </c>
      <c r="I833" s="304">
        <f t="shared" ca="1" si="361"/>
        <v>122.60209629145209</v>
      </c>
      <c r="J833" s="306">
        <f t="shared" ca="1" si="362"/>
        <v>677.64536374242232</v>
      </c>
      <c r="K833" s="307">
        <f t="shared" ca="1" si="363"/>
        <v>-12.573238863961885</v>
      </c>
      <c r="L833" s="304">
        <f t="shared" ca="1" si="348"/>
        <v>677.761997560449</v>
      </c>
      <c r="M833" s="306">
        <f t="shared" ca="1" si="364"/>
        <v>-1.5378913472158828</v>
      </c>
      <c r="N833" s="304">
        <f t="shared" ca="1" si="365"/>
        <v>-88.114683545158357</v>
      </c>
      <c r="P833" s="310">
        <f t="shared" ca="1" si="366"/>
        <v>23</v>
      </c>
      <c r="Q833" s="304">
        <f t="shared" ca="1" si="367"/>
        <v>0</v>
      </c>
      <c r="R833" s="306">
        <f t="shared" ca="1" si="368"/>
        <v>0</v>
      </c>
      <c r="S833" s="307">
        <f t="shared" ca="1" si="369"/>
        <v>2.0842999999999985</v>
      </c>
      <c r="T833" s="304">
        <f t="shared" ca="1" si="349"/>
        <v>20.446982999999985</v>
      </c>
      <c r="U833" s="311">
        <f t="shared" ca="1" si="350"/>
        <v>0</v>
      </c>
      <c r="V833" s="306">
        <f t="shared" ca="1" si="351"/>
        <v>1.2265411906487436</v>
      </c>
      <c r="W833" s="304">
        <f t="shared" ca="1" si="352"/>
        <v>20.358437378506114</v>
      </c>
      <c r="Y833" s="314" t="str">
        <f t="shared" ca="1" si="370"/>
        <v/>
      </c>
      <c r="Z833" s="315" t="str">
        <f t="shared" ca="1" si="371"/>
        <v/>
      </c>
      <c r="AA833" s="316" t="str">
        <f t="shared" ca="1" si="372"/>
        <v/>
      </c>
      <c r="AC833" s="310" t="e">
        <f t="shared" ca="1" si="373"/>
        <v>#N/A</v>
      </c>
      <c r="AD833" s="323" t="e">
        <f t="shared" ca="1" si="374"/>
        <v>#N/A</v>
      </c>
      <c r="AE833" s="324" t="e">
        <f t="shared" ca="1" si="353"/>
        <v>#N/A</v>
      </c>
      <c r="AG833" s="306">
        <f t="shared" ca="1" si="375"/>
        <v>3.718431364564978E-2</v>
      </c>
      <c r="AH833" s="304">
        <f t="shared" ca="1" si="376"/>
        <v>-9.7675052522379691</v>
      </c>
    </row>
    <row r="834" spans="1:34" x14ac:dyDescent="0.25">
      <c r="A834" s="347">
        <f t="shared" ca="1" si="354"/>
        <v>1E-4</v>
      </c>
      <c r="B834" s="304">
        <f t="shared" ca="1" si="355"/>
        <v>47.123600000001154</v>
      </c>
      <c r="D834" s="306">
        <f t="shared" ca="1" si="356"/>
        <v>-0.32134197868414893</v>
      </c>
      <c r="E834" s="307">
        <f t="shared" ca="1" si="357"/>
        <v>-4.7769539282334961E-2</v>
      </c>
      <c r="F834" s="304">
        <f t="shared" ca="1" si="358"/>
        <v>0.32487320010719656</v>
      </c>
      <c r="G834" s="306">
        <f t="shared" ca="1" si="359"/>
        <v>4.0334593797874305</v>
      </c>
      <c r="H834" s="307">
        <f t="shared" ca="1" si="360"/>
        <v>-122.53573410218011</v>
      </c>
      <c r="I834" s="304">
        <f t="shared" ca="1" si="361"/>
        <v>122.60210000864008</v>
      </c>
      <c r="J834" s="306">
        <f t="shared" ca="1" si="362"/>
        <v>677.64536374242232</v>
      </c>
      <c r="K834" s="307">
        <f t="shared" ca="1" si="363"/>
        <v>-12.585492437133256</v>
      </c>
      <c r="L834" s="304">
        <f t="shared" ca="1" si="348"/>
        <v>677.76222498859067</v>
      </c>
      <c r="M834" s="306">
        <f t="shared" ca="1" si="364"/>
        <v>-1.5378916104573785</v>
      </c>
      <c r="N834" s="304">
        <f t="shared" ca="1" si="365"/>
        <v>-88.114698627785046</v>
      </c>
      <c r="P834" s="310">
        <f t="shared" ca="1" si="366"/>
        <v>23</v>
      </c>
      <c r="Q834" s="304">
        <f t="shared" ca="1" si="367"/>
        <v>0</v>
      </c>
      <c r="R834" s="306">
        <f t="shared" ca="1" si="368"/>
        <v>0</v>
      </c>
      <c r="S834" s="307">
        <f t="shared" ca="1" si="369"/>
        <v>2.0842999999999985</v>
      </c>
      <c r="T834" s="304">
        <f t="shared" ca="1" si="349"/>
        <v>20.446982999999985</v>
      </c>
      <c r="U834" s="311">
        <f t="shared" ca="1" si="350"/>
        <v>0</v>
      </c>
      <c r="V834" s="306">
        <f t="shared" ca="1" si="351"/>
        <v>1.2265426936014818</v>
      </c>
      <c r="W834" s="304">
        <f t="shared" ca="1" si="352"/>
        <v>20.358463559392931</v>
      </c>
      <c r="Y834" s="314" t="str">
        <f t="shared" ca="1" si="370"/>
        <v/>
      </c>
      <c r="Z834" s="315" t="str">
        <f t="shared" ca="1" si="371"/>
        <v/>
      </c>
      <c r="AA834" s="316" t="str">
        <f t="shared" ca="1" si="372"/>
        <v/>
      </c>
      <c r="AC834" s="310" t="e">
        <f t="shared" ca="1" si="373"/>
        <v>#N/A</v>
      </c>
      <c r="AD834" s="323" t="e">
        <f t="shared" ca="1" si="374"/>
        <v>#N/A</v>
      </c>
      <c r="AE834" s="324" t="e">
        <f t="shared" ca="1" si="353"/>
        <v>#N/A</v>
      </c>
      <c r="AG834" s="306">
        <f t="shared" ca="1" si="375"/>
        <v>3.7171837425580279E-2</v>
      </c>
      <c r="AH834" s="304">
        <f t="shared" ca="1" si="376"/>
        <v>-9.7675178134175162</v>
      </c>
    </row>
    <row r="835" spans="1:34" x14ac:dyDescent="0.25">
      <c r="A835" s="347">
        <f t="shared" ca="1" si="354"/>
        <v>1E-4</v>
      </c>
      <c r="B835" s="304">
        <f t="shared" ca="1" si="355"/>
        <v>47.123700000001158</v>
      </c>
      <c r="D835" s="306">
        <f t="shared" ca="1" si="356"/>
        <v>-0.32133982210146494</v>
      </c>
      <c r="E835" s="307">
        <f t="shared" ca="1" si="357"/>
        <v>-4.7756900494171362E-2</v>
      </c>
      <c r="F835" s="304">
        <f t="shared" ca="1" si="358"/>
        <v>0.32486920877948916</v>
      </c>
      <c r="G835" s="306">
        <f t="shared" ca="1" si="359"/>
        <v>4.0334272458052203</v>
      </c>
      <c r="H835" s="307">
        <f t="shared" ca="1" si="360"/>
        <v>-122.53573887787016</v>
      </c>
      <c r="I835" s="304">
        <f t="shared" ca="1" si="361"/>
        <v>122.60210372458046</v>
      </c>
      <c r="J835" s="306">
        <f t="shared" ca="1" si="362"/>
        <v>677.64536374242232</v>
      </c>
      <c r="K835" s="307">
        <f t="shared" ca="1" si="363"/>
        <v>-12.597746010782259</v>
      </c>
      <c r="L835" s="304">
        <f t="shared" ca="1" si="348"/>
        <v>677.76245263820272</v>
      </c>
      <c r="M835" s="306">
        <f t="shared" ca="1" si="364"/>
        <v>-1.5378918736967613</v>
      </c>
      <c r="N835" s="304">
        <f t="shared" ca="1" si="365"/>
        <v>-88.114713710290687</v>
      </c>
      <c r="P835" s="310">
        <f t="shared" ca="1" si="366"/>
        <v>23</v>
      </c>
      <c r="Q835" s="304">
        <f t="shared" ca="1" si="367"/>
        <v>0</v>
      </c>
      <c r="R835" s="306">
        <f t="shared" ca="1" si="368"/>
        <v>0</v>
      </c>
      <c r="S835" s="307">
        <f t="shared" ca="1" si="369"/>
        <v>2.0842999999999985</v>
      </c>
      <c r="T835" s="304">
        <f t="shared" ca="1" si="349"/>
        <v>20.446982999999985</v>
      </c>
      <c r="U835" s="311">
        <f t="shared" ca="1" si="350"/>
        <v>0</v>
      </c>
      <c r="V835" s="306">
        <f t="shared" ca="1" si="351"/>
        <v>1.2265441965561212</v>
      </c>
      <c r="W835" s="304">
        <f t="shared" ca="1" si="352"/>
        <v>20.358489739900019</v>
      </c>
      <c r="Y835" s="314" t="str">
        <f t="shared" ca="1" si="370"/>
        <v/>
      </c>
      <c r="Z835" s="315" t="str">
        <f t="shared" ca="1" si="371"/>
        <v/>
      </c>
      <c r="AA835" s="316" t="str">
        <f t="shared" ca="1" si="372"/>
        <v/>
      </c>
      <c r="AC835" s="310" t="e">
        <f t="shared" ca="1" si="373"/>
        <v>#N/A</v>
      </c>
      <c r="AD835" s="323" t="e">
        <f t="shared" ca="1" si="374"/>
        <v>#N/A</v>
      </c>
      <c r="AE835" s="324" t="e">
        <f t="shared" ca="1" si="353"/>
        <v>#N/A</v>
      </c>
      <c r="AG835" s="306">
        <f t="shared" ca="1" si="375"/>
        <v>3.715936138632614E-2</v>
      </c>
      <c r="AH835" s="304">
        <f t="shared" ca="1" si="376"/>
        <v>-9.7675303744148856</v>
      </c>
    </row>
    <row r="836" spans="1:34" x14ac:dyDescent="0.25">
      <c r="A836" s="347">
        <f t="shared" ca="1" si="354"/>
        <v>1E-4</v>
      </c>
      <c r="B836" s="304">
        <f t="shared" ca="1" si="355"/>
        <v>47.123800000001161</v>
      </c>
      <c r="D836" s="306">
        <f t="shared" ca="1" si="356"/>
        <v>-0.32133766552678289</v>
      </c>
      <c r="E836" s="307">
        <f t="shared" ca="1" si="357"/>
        <v>-4.7744261889230089E-2</v>
      </c>
      <c r="F836" s="304">
        <f t="shared" ca="1" si="358"/>
        <v>0.32486521794361117</v>
      </c>
      <c r="G836" s="306">
        <f t="shared" ca="1" si="359"/>
        <v>4.0333951120386677</v>
      </c>
      <c r="H836" s="307">
        <f t="shared" ca="1" si="360"/>
        <v>-122.53574365229635</v>
      </c>
      <c r="I836" s="304">
        <f t="shared" ca="1" si="361"/>
        <v>122.60210743927325</v>
      </c>
      <c r="J836" s="306">
        <f t="shared" ca="1" si="362"/>
        <v>677.64536374242232</v>
      </c>
      <c r="K836" s="307">
        <f t="shared" ca="1" si="363"/>
        <v>-12.609999584908767</v>
      </c>
      <c r="L836" s="304">
        <f t="shared" ref="L836:L899" ca="1" si="377">SQRT(pos_x^2+pos_z^2)</f>
        <v>677.76268050928513</v>
      </c>
      <c r="M836" s="306">
        <f t="shared" ca="1" si="364"/>
        <v>-1.5378921369340306</v>
      </c>
      <c r="N836" s="304">
        <f t="shared" ca="1" si="365"/>
        <v>-88.114728792675223</v>
      </c>
      <c r="P836" s="310">
        <f t="shared" ca="1" si="366"/>
        <v>23</v>
      </c>
      <c r="Q836" s="304">
        <f t="shared" ca="1" si="367"/>
        <v>0</v>
      </c>
      <c r="R836" s="306">
        <f t="shared" ca="1" si="368"/>
        <v>0</v>
      </c>
      <c r="S836" s="307">
        <f t="shared" ca="1" si="369"/>
        <v>2.0842999999999985</v>
      </c>
      <c r="T836" s="304">
        <f t="shared" ref="T836:T899" ca="1" si="378">m*g</f>
        <v>20.446982999999985</v>
      </c>
      <c r="U836" s="311">
        <f t="shared" ref="U836:U899" ca="1" si="379">IF(pos_xz&lt;L_rampe,Poids*COS(Beta),0)</f>
        <v>0</v>
      </c>
      <c r="V836" s="306">
        <f t="shared" ref="V836:V899" ca="1" si="380">Rho_moyen*(20000-Alt_rampe-pos_z)/(20000+Alt_rampe+pos_z)</f>
        <v>1.2265456995126618</v>
      </c>
      <c r="W836" s="304">
        <f t="shared" ref="W836:W899" ca="1" si="381">1/2*Rho*Sref*Cx*vit_xz^2</f>
        <v>20.358515920027397</v>
      </c>
      <c r="Y836" s="314" t="str">
        <f t="shared" ca="1" si="370"/>
        <v/>
      </c>
      <c r="Z836" s="315" t="str">
        <f t="shared" ca="1" si="371"/>
        <v/>
      </c>
      <c r="AA836" s="316" t="str">
        <f t="shared" ca="1" si="372"/>
        <v/>
      </c>
      <c r="AC836" s="310" t="e">
        <f t="shared" ca="1" si="373"/>
        <v>#N/A</v>
      </c>
      <c r="AD836" s="323" t="e">
        <f t="shared" ca="1" si="374"/>
        <v>#N/A</v>
      </c>
      <c r="AE836" s="324" t="e">
        <f t="shared" ref="AE836:AE899" ca="1" si="382">IF(t&lt;T_para, pos_z, NA())</f>
        <v>#N/A</v>
      </c>
      <c r="AG836" s="306">
        <f t="shared" ca="1" si="375"/>
        <v>3.7146885527896245E-2</v>
      </c>
      <c r="AH836" s="304">
        <f t="shared" ca="1" si="376"/>
        <v>-9.76754293523007</v>
      </c>
    </row>
    <row r="837" spans="1:34" x14ac:dyDescent="0.25">
      <c r="A837" s="347">
        <f t="shared" ref="A837:A900" ca="1" si="383">IF(B836+0.01&lt;=T_ini+ROUNDUP(Temps_fin_propu,0), 0.01, IF(K836&gt;0, 0.1, 0.0001))</f>
        <v>1E-4</v>
      </c>
      <c r="B837" s="304">
        <f t="shared" ref="B837:B900" ca="1" si="384">B836+pas</f>
        <v>47.123900000001164</v>
      </c>
      <c r="D837" s="306">
        <f t="shared" ref="D837:D900" ca="1" si="385">IF(AND(L836&lt;L_rampe,Poussee&lt;Poids*SIN(M836)),0,(-W836+Poussee)/m*COS(M836)-U836/m*SIN(M836))</f>
        <v>-0.3213355089601076</v>
      </c>
      <c r="E837" s="307">
        <f t="shared" ref="E837:E900" ca="1" si="386">IF(AND(L836&lt;L_rampe,Poussee&lt;Poids*SIN(M836)),0,(-W836+Poussee)/m*SIN(M836)+U836/m*COS(M836)-Poids/m)</f>
        <v>-4.7731623467509365E-2</v>
      </c>
      <c r="F837" s="304">
        <f t="shared" ref="F837:F900" ca="1" si="387">SQRT(acc_x^2+acc_z^2)</f>
        <v>0.32486122759956365</v>
      </c>
      <c r="G837" s="306">
        <f t="shared" ref="G837:G900" ca="1" si="388">G836+acc_x*pas</f>
        <v>4.033362978487772</v>
      </c>
      <c r="H837" s="307">
        <f t="shared" ref="H837:H900" ca="1" si="389">H836+acc_z*pas</f>
        <v>-122.53574842545869</v>
      </c>
      <c r="I837" s="304">
        <f t="shared" ref="I837:I900" ca="1" si="390">SQRT(vit_x^2+vit_z^2)</f>
        <v>122.60211115271848</v>
      </c>
      <c r="J837" s="306">
        <f t="shared" ref="J837:J900" ca="1" si="391">J836+0.5*(vit_x+G836)*pas*(K836&gt;=0)</f>
        <v>677.64536374242232</v>
      </c>
      <c r="K837" s="307">
        <f t="shared" ref="K837:K900" ca="1" si="392">K836+0.5*(vit_z+H836)*pas</f>
        <v>-12.622253159512654</v>
      </c>
      <c r="L837" s="304">
        <f t="shared" ca="1" si="377"/>
        <v>677.76290860183747</v>
      </c>
      <c r="M837" s="306">
        <f t="shared" ref="M837:M900" ca="1" si="393">IF(AND(L836&gt;L_rampe,G837&gt;0),ATAN2(G837,H837),$M$4)</f>
        <v>-1.5378924001691869</v>
      </c>
      <c r="N837" s="304">
        <f t="shared" ref="N837:N900" ca="1" si="394">DEGREES(Beta)</f>
        <v>-88.114743874938696</v>
      </c>
      <c r="P837" s="310">
        <f t="shared" ref="P837:P900" ca="1" si="395">MATCH(t-pas/2-T_ini,CdP_t)</f>
        <v>23</v>
      </c>
      <c r="Q837" s="304">
        <f t="shared" ref="Q837:Q900" ca="1" si="396">(INDEX(CdP,2,i_P+1)-INDEX(CdP,2,i_P+0))/(INDEX(CdP,1,i_P+1)-INDEX(CdP,1,i_P+0))*(t-pas/2-T_ini-INDEX(CdP,1,i_P+0))+INDEX(CdP,2,i_P+0)</f>
        <v>0</v>
      </c>
      <c r="R837" s="306">
        <f t="shared" ref="R837:R900" ca="1" si="397">Poussee/(g*ISP)</f>
        <v>0</v>
      </c>
      <c r="S837" s="307">
        <f t="shared" ref="S837:S900" ca="1" si="398">S836-Débit*pas</f>
        <v>2.0842999999999985</v>
      </c>
      <c r="T837" s="304">
        <f t="shared" ca="1" si="378"/>
        <v>20.446982999999985</v>
      </c>
      <c r="U837" s="311">
        <f t="shared" ca="1" si="379"/>
        <v>0</v>
      </c>
      <c r="V837" s="306">
        <f t="shared" ca="1" si="380"/>
        <v>1.2265472024711042</v>
      </c>
      <c r="W837" s="304">
        <f t="shared" ca="1" si="381"/>
        <v>20.358542099775072</v>
      </c>
      <c r="Y837" s="314" t="str">
        <f t="shared" ref="Y837:Y900" ca="1" si="399">IF(AND(pos_z&lt;=0,K836&gt;0),"Impact balistique","") &amp; IF(AND(H838&lt;0,vit_z&gt;=0),"Apogée","") &amp; IF(AND(Poussee=0,Q836&gt;0),"Fin de propulsion","") &amp; IF(AND(L838&gt;L_rampe,pos_xz&lt;=L_rampe),"Sortie de rampe","")</f>
        <v/>
      </c>
      <c r="Z837" s="315" t="str">
        <f t="shared" ref="Z837:Z900" ca="1" si="400">IF(ABS(t-T_para)&lt;pas/2,"Para","")</f>
        <v/>
      </c>
      <c r="AA837" s="316" t="str">
        <f t="shared" ref="AA837:AA900" ca="1" si="401">IF(ABS(t-T_satellite)&lt;pas/2,"Satellite","")</f>
        <v/>
      </c>
      <c r="AC837" s="310" t="e">
        <f t="shared" ref="AC837:AC900" ca="1" si="402">IF(ABS(t-ROUND(t,0))&lt;0.001,t,NA())</f>
        <v>#N/A</v>
      </c>
      <c r="AD837" s="323" t="e">
        <f t="shared" ref="AD837:AD900" ca="1" si="403">IF(ABS(t-ROUND(t,0))&lt;0.001,pos_x,NA())</f>
        <v>#N/A</v>
      </c>
      <c r="AE837" s="324" t="e">
        <f t="shared" ca="1" si="382"/>
        <v>#N/A</v>
      </c>
      <c r="AG837" s="306">
        <f t="shared" ref="AG837:AG900" ca="1" si="404">IF(AND(L836&lt;L_rampe,Poussee&lt;Poids*SIN(M836)),0,(-W836+Poussee)/m-Poids*SIN(M836)/m)</f>
        <v>3.7134409850281713E-2</v>
      </c>
      <c r="AH837" s="304">
        <f t="shared" ref="AH837:AH900" ca="1" si="405">IF(AND(L836&lt;L_rampe,Poussee&lt;Poids*SIN(M836)), g*SIN(M836), (-W836+Poussee)/m)</f>
        <v>-9.7675554958630766</v>
      </c>
    </row>
    <row r="838" spans="1:34" x14ac:dyDescent="0.25">
      <c r="A838" s="347">
        <f t="shared" ca="1" si="383"/>
        <v>1E-4</v>
      </c>
      <c r="B838" s="304">
        <f t="shared" ca="1" si="384"/>
        <v>47.124000000001168</v>
      </c>
      <c r="D838" s="306">
        <f t="shared" ca="1" si="385"/>
        <v>-0.32133335240143518</v>
      </c>
      <c r="E838" s="307">
        <f t="shared" ca="1" si="386"/>
        <v>-4.7718985228996758E-2</v>
      </c>
      <c r="F838" s="304">
        <f t="shared" ca="1" si="387"/>
        <v>0.32485723774733749</v>
      </c>
      <c r="G838" s="306">
        <f t="shared" ca="1" si="388"/>
        <v>4.0333308451525323</v>
      </c>
      <c r="H838" s="307">
        <f t="shared" ca="1" si="389"/>
        <v>-122.53575319735721</v>
      </c>
      <c r="I838" s="304">
        <f t="shared" ca="1" si="390"/>
        <v>122.60211486491616</v>
      </c>
      <c r="J838" s="306">
        <f t="shared" ca="1" si="391"/>
        <v>677.64536374242232</v>
      </c>
      <c r="K838" s="307">
        <f t="shared" ca="1" si="392"/>
        <v>-12.634506734593796</v>
      </c>
      <c r="L838" s="304">
        <f t="shared" ca="1" si="377"/>
        <v>677.76313691585972</v>
      </c>
      <c r="M838" s="306">
        <f t="shared" ca="1" si="393"/>
        <v>-1.5378926634022303</v>
      </c>
      <c r="N838" s="304">
        <f t="shared" ca="1" si="394"/>
        <v>-88.114758957081122</v>
      </c>
      <c r="P838" s="310">
        <f t="shared" ca="1" si="395"/>
        <v>23</v>
      </c>
      <c r="Q838" s="304">
        <f t="shared" ca="1" si="396"/>
        <v>0</v>
      </c>
      <c r="R838" s="306">
        <f t="shared" ca="1" si="397"/>
        <v>0</v>
      </c>
      <c r="S838" s="307">
        <f t="shared" ca="1" si="398"/>
        <v>2.0842999999999985</v>
      </c>
      <c r="T838" s="304">
        <f t="shared" ca="1" si="378"/>
        <v>20.446982999999985</v>
      </c>
      <c r="U838" s="311">
        <f t="shared" ca="1" si="379"/>
        <v>0</v>
      </c>
      <c r="V838" s="306">
        <f t="shared" ca="1" si="380"/>
        <v>1.2265487054314479</v>
      </c>
      <c r="W838" s="304">
        <f t="shared" ca="1" si="381"/>
        <v>20.358568279143046</v>
      </c>
      <c r="Y838" s="314" t="str">
        <f t="shared" ca="1" si="399"/>
        <v/>
      </c>
      <c r="Z838" s="315" t="str">
        <f t="shared" ca="1" si="400"/>
        <v/>
      </c>
      <c r="AA838" s="316" t="str">
        <f t="shared" ca="1" si="401"/>
        <v/>
      </c>
      <c r="AC838" s="310" t="e">
        <f t="shared" ca="1" si="402"/>
        <v>#N/A</v>
      </c>
      <c r="AD838" s="323" t="e">
        <f t="shared" ca="1" si="403"/>
        <v>#N/A</v>
      </c>
      <c r="AE838" s="324" t="e">
        <f t="shared" ca="1" si="382"/>
        <v>#N/A</v>
      </c>
      <c r="AG838" s="306">
        <f t="shared" ca="1" si="404"/>
        <v>3.7121934353477215E-2</v>
      </c>
      <c r="AH838" s="304">
        <f t="shared" ca="1" si="405"/>
        <v>-9.7675680563139125</v>
      </c>
    </row>
    <row r="839" spans="1:34" x14ac:dyDescent="0.25">
      <c r="A839" s="347">
        <f t="shared" ca="1" si="383"/>
        <v>1E-4</v>
      </c>
      <c r="B839" s="304">
        <f t="shared" ca="1" si="384"/>
        <v>47.124100000001171</v>
      </c>
      <c r="D839" s="306">
        <f t="shared" ca="1" si="385"/>
        <v>-0.32133119585076586</v>
      </c>
      <c r="E839" s="307">
        <f t="shared" ca="1" si="386"/>
        <v>-4.7706347173695818E-2</v>
      </c>
      <c r="F839" s="304">
        <f t="shared" ca="1" si="387"/>
        <v>0.32485324838693003</v>
      </c>
      <c r="G839" s="306">
        <f t="shared" ca="1" si="388"/>
        <v>4.0332987120329475</v>
      </c>
      <c r="H839" s="307">
        <f t="shared" ca="1" si="389"/>
        <v>-122.53575796799193</v>
      </c>
      <c r="I839" s="304">
        <f t="shared" ca="1" si="390"/>
        <v>122.60211857586631</v>
      </c>
      <c r="J839" s="306">
        <f t="shared" ca="1" si="391"/>
        <v>677.64536374242232</v>
      </c>
      <c r="K839" s="307">
        <f t="shared" ca="1" si="392"/>
        <v>-12.646760310152063</v>
      </c>
      <c r="L839" s="304">
        <f t="shared" ca="1" si="377"/>
        <v>677.76336545135155</v>
      </c>
      <c r="M839" s="306">
        <f t="shared" ca="1" si="393"/>
        <v>-1.5378929266331605</v>
      </c>
      <c r="N839" s="304">
        <f t="shared" ca="1" si="394"/>
        <v>-88.114774039102457</v>
      </c>
      <c r="P839" s="310">
        <f t="shared" ca="1" si="395"/>
        <v>23</v>
      </c>
      <c r="Q839" s="304">
        <f t="shared" ca="1" si="396"/>
        <v>0</v>
      </c>
      <c r="R839" s="306">
        <f t="shared" ca="1" si="397"/>
        <v>0</v>
      </c>
      <c r="S839" s="307">
        <f t="shared" ca="1" si="398"/>
        <v>2.0842999999999985</v>
      </c>
      <c r="T839" s="304">
        <f t="shared" ca="1" si="378"/>
        <v>20.446982999999985</v>
      </c>
      <c r="U839" s="311">
        <f t="shared" ca="1" si="379"/>
        <v>0</v>
      </c>
      <c r="V839" s="306">
        <f t="shared" ca="1" si="380"/>
        <v>1.226550208393693</v>
      </c>
      <c r="W839" s="304">
        <f t="shared" ca="1" si="381"/>
        <v>20.358594458131329</v>
      </c>
      <c r="Y839" s="314" t="str">
        <f t="shared" ca="1" si="399"/>
        <v/>
      </c>
      <c r="Z839" s="315" t="str">
        <f t="shared" ca="1" si="400"/>
        <v/>
      </c>
      <c r="AA839" s="316" t="str">
        <f t="shared" ca="1" si="401"/>
        <v/>
      </c>
      <c r="AC839" s="310" t="e">
        <f t="shared" ca="1" si="402"/>
        <v>#N/A</v>
      </c>
      <c r="AD839" s="323" t="e">
        <f t="shared" ca="1" si="403"/>
        <v>#N/A</v>
      </c>
      <c r="AE839" s="324" t="e">
        <f t="shared" ca="1" si="382"/>
        <v>#N/A</v>
      </c>
      <c r="AG839" s="306">
        <f t="shared" ca="1" si="404"/>
        <v>3.7109459037484527E-2</v>
      </c>
      <c r="AH839" s="304">
        <f t="shared" ca="1" si="405"/>
        <v>-9.7675806165825758</v>
      </c>
    </row>
    <row r="840" spans="1:34" x14ac:dyDescent="0.25">
      <c r="A840" s="347">
        <f t="shared" ca="1" si="383"/>
        <v>1E-4</v>
      </c>
      <c r="B840" s="304">
        <f t="shared" ca="1" si="384"/>
        <v>47.124200000001174</v>
      </c>
      <c r="D840" s="306">
        <f t="shared" ca="1" si="385"/>
        <v>-0.32132903930810208</v>
      </c>
      <c r="E840" s="307">
        <f t="shared" ca="1" si="386"/>
        <v>-4.7693709301602993E-2</v>
      </c>
      <c r="F840" s="304">
        <f t="shared" ca="1" si="387"/>
        <v>0.32484925951833971</v>
      </c>
      <c r="G840" s="306">
        <f t="shared" ca="1" si="388"/>
        <v>4.033266579129017</v>
      </c>
      <c r="H840" s="307">
        <f t="shared" ca="1" si="389"/>
        <v>-122.53576273736286</v>
      </c>
      <c r="I840" s="304">
        <f t="shared" ca="1" si="390"/>
        <v>122.60212228556895</v>
      </c>
      <c r="J840" s="306">
        <f t="shared" ca="1" si="391"/>
        <v>677.64536374242232</v>
      </c>
      <c r="K840" s="307">
        <f t="shared" ca="1" si="392"/>
        <v>-12.65901388618733</v>
      </c>
      <c r="L840" s="304">
        <f t="shared" ca="1" si="377"/>
        <v>677.76359420831284</v>
      </c>
      <c r="M840" s="306">
        <f t="shared" ca="1" si="393"/>
        <v>-1.5378931898619774</v>
      </c>
      <c r="N840" s="304">
        <f t="shared" ca="1" si="394"/>
        <v>-88.114789121002715</v>
      </c>
      <c r="P840" s="310">
        <f t="shared" ca="1" si="395"/>
        <v>23</v>
      </c>
      <c r="Q840" s="304">
        <f t="shared" ca="1" si="396"/>
        <v>0</v>
      </c>
      <c r="R840" s="306">
        <f t="shared" ca="1" si="397"/>
        <v>0</v>
      </c>
      <c r="S840" s="307">
        <f t="shared" ca="1" si="398"/>
        <v>2.0842999999999985</v>
      </c>
      <c r="T840" s="304">
        <f t="shared" ca="1" si="378"/>
        <v>20.446982999999985</v>
      </c>
      <c r="U840" s="311">
        <f t="shared" ca="1" si="379"/>
        <v>0</v>
      </c>
      <c r="V840" s="306">
        <f t="shared" ca="1" si="380"/>
        <v>1.2265517113578392</v>
      </c>
      <c r="W840" s="304">
        <f t="shared" ca="1" si="381"/>
        <v>20.358620636739911</v>
      </c>
      <c r="Y840" s="314" t="str">
        <f t="shared" ca="1" si="399"/>
        <v/>
      </c>
      <c r="Z840" s="315" t="str">
        <f t="shared" ca="1" si="400"/>
        <v/>
      </c>
      <c r="AA840" s="316" t="str">
        <f t="shared" ca="1" si="401"/>
        <v/>
      </c>
      <c r="AC840" s="310" t="e">
        <f t="shared" ca="1" si="402"/>
        <v>#N/A</v>
      </c>
      <c r="AD840" s="323" t="e">
        <f t="shared" ca="1" si="403"/>
        <v>#N/A</v>
      </c>
      <c r="AE840" s="324" t="e">
        <f t="shared" ca="1" si="382"/>
        <v>#N/A</v>
      </c>
      <c r="AG840" s="306">
        <f t="shared" ca="1" si="404"/>
        <v>3.7096983902300096E-2</v>
      </c>
      <c r="AH840" s="304">
        <f t="shared" ca="1" si="405"/>
        <v>-9.7675931766690702</v>
      </c>
    </row>
    <row r="841" spans="1:34" x14ac:dyDescent="0.25">
      <c r="A841" s="347">
        <f t="shared" ca="1" si="383"/>
        <v>1E-4</v>
      </c>
      <c r="B841" s="304">
        <f t="shared" ca="1" si="384"/>
        <v>47.124300000001178</v>
      </c>
      <c r="D841" s="306">
        <f t="shared" ca="1" si="385"/>
        <v>-0.32132688277344401</v>
      </c>
      <c r="E841" s="307">
        <f t="shared" ca="1" si="386"/>
        <v>-4.7681071612720061E-2</v>
      </c>
      <c r="F841" s="304">
        <f t="shared" ca="1" si="387"/>
        <v>0.32484527114156359</v>
      </c>
      <c r="G841" s="306">
        <f t="shared" ca="1" si="388"/>
        <v>4.0332344464407397</v>
      </c>
      <c r="H841" s="307">
        <f t="shared" ca="1" si="389"/>
        <v>-122.53576750547002</v>
      </c>
      <c r="I841" s="304">
        <f t="shared" ca="1" si="390"/>
        <v>122.60212599402409</v>
      </c>
      <c r="J841" s="306">
        <f t="shared" ca="1" si="391"/>
        <v>677.64536374242232</v>
      </c>
      <c r="K841" s="307">
        <f t="shared" ca="1" si="392"/>
        <v>-12.671267462699472</v>
      </c>
      <c r="L841" s="304">
        <f t="shared" ca="1" si="377"/>
        <v>677.76382318674337</v>
      </c>
      <c r="M841" s="306">
        <f t="shared" ca="1" si="393"/>
        <v>-1.5378934530886816</v>
      </c>
      <c r="N841" s="304">
        <f t="shared" ca="1" si="394"/>
        <v>-88.114804202781912</v>
      </c>
      <c r="P841" s="310">
        <f t="shared" ca="1" si="395"/>
        <v>23</v>
      </c>
      <c r="Q841" s="304">
        <f t="shared" ca="1" si="396"/>
        <v>0</v>
      </c>
      <c r="R841" s="306">
        <f t="shared" ca="1" si="397"/>
        <v>0</v>
      </c>
      <c r="S841" s="307">
        <f t="shared" ca="1" si="398"/>
        <v>2.0842999999999985</v>
      </c>
      <c r="T841" s="304">
        <f t="shared" ca="1" si="378"/>
        <v>20.446982999999985</v>
      </c>
      <c r="U841" s="311">
        <f t="shared" ca="1" si="379"/>
        <v>0</v>
      </c>
      <c r="V841" s="306">
        <f t="shared" ca="1" si="380"/>
        <v>1.2265532143238869</v>
      </c>
      <c r="W841" s="304">
        <f t="shared" ca="1" si="381"/>
        <v>20.358646814968807</v>
      </c>
      <c r="Y841" s="314" t="str">
        <f t="shared" ca="1" si="399"/>
        <v/>
      </c>
      <c r="Z841" s="315" t="str">
        <f t="shared" ca="1" si="400"/>
        <v/>
      </c>
      <c r="AA841" s="316" t="str">
        <f t="shared" ca="1" si="401"/>
        <v/>
      </c>
      <c r="AC841" s="310" t="e">
        <f t="shared" ca="1" si="402"/>
        <v>#N/A</v>
      </c>
      <c r="AD841" s="323" t="e">
        <f t="shared" ca="1" si="403"/>
        <v>#N/A</v>
      </c>
      <c r="AE841" s="324" t="e">
        <f t="shared" ca="1" si="382"/>
        <v>#N/A</v>
      </c>
      <c r="AG841" s="306">
        <f t="shared" ca="1" si="404"/>
        <v>3.7084508947923922E-2</v>
      </c>
      <c r="AH841" s="304">
        <f t="shared" ca="1" si="405"/>
        <v>-9.7676057365733939</v>
      </c>
    </row>
    <row r="842" spans="1:34" x14ac:dyDescent="0.25">
      <c r="A842" s="347">
        <f t="shared" ca="1" si="383"/>
        <v>1E-4</v>
      </c>
      <c r="B842" s="304">
        <f t="shared" ca="1" si="384"/>
        <v>47.124400000001181</v>
      </c>
      <c r="D842" s="306">
        <f t="shared" ca="1" si="385"/>
        <v>-0.32132472624678771</v>
      </c>
      <c r="E842" s="307">
        <f t="shared" ca="1" si="386"/>
        <v>-4.7668434107039914E-2</v>
      </c>
      <c r="F842" s="304">
        <f t="shared" ca="1" si="387"/>
        <v>0.32484128325659328</v>
      </c>
      <c r="G842" s="306">
        <f t="shared" ca="1" si="388"/>
        <v>4.0332023139681148</v>
      </c>
      <c r="H842" s="307">
        <f t="shared" ca="1" si="389"/>
        <v>-122.53577227231344</v>
      </c>
      <c r="I842" s="304">
        <f t="shared" ca="1" si="390"/>
        <v>122.60212970123176</v>
      </c>
      <c r="J842" s="306">
        <f t="shared" ca="1" si="391"/>
        <v>677.64536374242232</v>
      </c>
      <c r="K842" s="307">
        <f t="shared" ca="1" si="392"/>
        <v>-12.683521039688362</v>
      </c>
      <c r="L842" s="304">
        <f t="shared" ca="1" si="377"/>
        <v>677.7640523866429</v>
      </c>
      <c r="M842" s="306">
        <f t="shared" ca="1" si="393"/>
        <v>-1.5378937163132727</v>
      </c>
      <c r="N842" s="304">
        <f t="shared" ca="1" si="394"/>
        <v>-88.114819284440046</v>
      </c>
      <c r="P842" s="310">
        <f t="shared" ca="1" si="395"/>
        <v>23</v>
      </c>
      <c r="Q842" s="304">
        <f t="shared" ca="1" si="396"/>
        <v>0</v>
      </c>
      <c r="R842" s="306">
        <f t="shared" ca="1" si="397"/>
        <v>0</v>
      </c>
      <c r="S842" s="307">
        <f t="shared" ca="1" si="398"/>
        <v>2.0842999999999985</v>
      </c>
      <c r="T842" s="304">
        <f t="shared" ca="1" si="378"/>
        <v>20.446982999999985</v>
      </c>
      <c r="U842" s="311">
        <f t="shared" ca="1" si="379"/>
        <v>0</v>
      </c>
      <c r="V842" s="306">
        <f t="shared" ca="1" si="380"/>
        <v>1.2265547172918361</v>
      </c>
      <c r="W842" s="304">
        <f t="shared" ca="1" si="381"/>
        <v>20.358672992818022</v>
      </c>
      <c r="Y842" s="314" t="str">
        <f t="shared" ca="1" si="399"/>
        <v/>
      </c>
      <c r="Z842" s="315" t="str">
        <f t="shared" ca="1" si="400"/>
        <v/>
      </c>
      <c r="AA842" s="316" t="str">
        <f t="shared" ca="1" si="401"/>
        <v/>
      </c>
      <c r="AC842" s="310" t="e">
        <f t="shared" ca="1" si="402"/>
        <v>#N/A</v>
      </c>
      <c r="AD842" s="323" t="e">
        <f t="shared" ca="1" si="403"/>
        <v>#N/A</v>
      </c>
      <c r="AE842" s="324" t="e">
        <f t="shared" ca="1" si="382"/>
        <v>#N/A</v>
      </c>
      <c r="AG842" s="306">
        <f t="shared" ca="1" si="404"/>
        <v>3.70720341743489E-2</v>
      </c>
      <c r="AH842" s="304">
        <f t="shared" ca="1" si="405"/>
        <v>-9.767618296295554</v>
      </c>
    </row>
    <row r="843" spans="1:34" x14ac:dyDescent="0.25">
      <c r="A843" s="347">
        <f t="shared" ca="1" si="383"/>
        <v>1E-4</v>
      </c>
      <c r="B843" s="304">
        <f t="shared" ca="1" si="384"/>
        <v>47.124500000001184</v>
      </c>
      <c r="D843" s="306">
        <f t="shared" ca="1" si="385"/>
        <v>-0.32132256972813789</v>
      </c>
      <c r="E843" s="307">
        <f t="shared" ca="1" si="386"/>
        <v>-4.765579678456433E-2</v>
      </c>
      <c r="F843" s="304">
        <f t="shared" ca="1" si="387"/>
        <v>0.32483729586343024</v>
      </c>
      <c r="G843" s="306">
        <f t="shared" ca="1" si="388"/>
        <v>4.0331701817111423</v>
      </c>
      <c r="H843" s="307">
        <f t="shared" ca="1" si="389"/>
        <v>-122.53577703789311</v>
      </c>
      <c r="I843" s="304">
        <f t="shared" ca="1" si="390"/>
        <v>122.60213340719197</v>
      </c>
      <c r="J843" s="306">
        <f t="shared" ca="1" si="391"/>
        <v>677.64536374242232</v>
      </c>
      <c r="K843" s="307">
        <f t="shared" ca="1" si="392"/>
        <v>-12.695774617153871</v>
      </c>
      <c r="L843" s="304">
        <f t="shared" ca="1" si="377"/>
        <v>677.76428180801133</v>
      </c>
      <c r="M843" s="306">
        <f t="shared" ca="1" si="393"/>
        <v>-1.5378939795357507</v>
      </c>
      <c r="N843" s="304">
        <f t="shared" ca="1" si="394"/>
        <v>-88.114834365977103</v>
      </c>
      <c r="P843" s="310">
        <f t="shared" ca="1" si="395"/>
        <v>23</v>
      </c>
      <c r="Q843" s="304">
        <f t="shared" ca="1" si="396"/>
        <v>0</v>
      </c>
      <c r="R843" s="306">
        <f t="shared" ca="1" si="397"/>
        <v>0</v>
      </c>
      <c r="S843" s="307">
        <f t="shared" ca="1" si="398"/>
        <v>2.0842999999999985</v>
      </c>
      <c r="T843" s="304">
        <f t="shared" ca="1" si="378"/>
        <v>20.446982999999985</v>
      </c>
      <c r="U843" s="311">
        <f t="shared" ca="1" si="379"/>
        <v>0</v>
      </c>
      <c r="V843" s="306">
        <f t="shared" ca="1" si="380"/>
        <v>1.2265562202616864</v>
      </c>
      <c r="W843" s="304">
        <f t="shared" ca="1" si="381"/>
        <v>20.358699170287554</v>
      </c>
      <c r="Y843" s="314" t="str">
        <f t="shared" ca="1" si="399"/>
        <v/>
      </c>
      <c r="Z843" s="315" t="str">
        <f t="shared" ca="1" si="400"/>
        <v/>
      </c>
      <c r="AA843" s="316" t="str">
        <f t="shared" ca="1" si="401"/>
        <v/>
      </c>
      <c r="AC843" s="310" t="e">
        <f t="shared" ca="1" si="402"/>
        <v>#N/A</v>
      </c>
      <c r="AD843" s="323" t="e">
        <f t="shared" ca="1" si="403"/>
        <v>#N/A</v>
      </c>
      <c r="AE843" s="324" t="e">
        <f t="shared" ca="1" si="382"/>
        <v>#N/A</v>
      </c>
      <c r="AG843" s="306">
        <f t="shared" ca="1" si="404"/>
        <v>3.7059559581578583E-2</v>
      </c>
      <c r="AH843" s="304">
        <f t="shared" ca="1" si="405"/>
        <v>-9.7676308558355505</v>
      </c>
    </row>
    <row r="844" spans="1:34" x14ac:dyDescent="0.25">
      <c r="A844" s="347">
        <f t="shared" ca="1" si="383"/>
        <v>1E-4</v>
      </c>
      <c r="B844" s="304">
        <f t="shared" ca="1" si="384"/>
        <v>47.124600000001188</v>
      </c>
      <c r="D844" s="306">
        <f t="shared" ca="1" si="385"/>
        <v>-0.3213204132174925</v>
      </c>
      <c r="E844" s="307">
        <f t="shared" ca="1" si="386"/>
        <v>-4.7643159645291533E-2</v>
      </c>
      <c r="F844" s="304">
        <f t="shared" ca="1" si="387"/>
        <v>0.3248333089620688</v>
      </c>
      <c r="G844" s="306">
        <f t="shared" ca="1" si="388"/>
        <v>4.0331380496698204</v>
      </c>
      <c r="H844" s="307">
        <f t="shared" ca="1" si="389"/>
        <v>-122.53578180220907</v>
      </c>
      <c r="I844" s="304">
        <f t="shared" ca="1" si="390"/>
        <v>122.60213711190472</v>
      </c>
      <c r="J844" s="306">
        <f t="shared" ca="1" si="391"/>
        <v>677.64536374242232</v>
      </c>
      <c r="K844" s="307">
        <f t="shared" ca="1" si="392"/>
        <v>-12.708028195095876</v>
      </c>
      <c r="L844" s="304">
        <f t="shared" ca="1" si="377"/>
        <v>677.76451145084843</v>
      </c>
      <c r="M844" s="306">
        <f t="shared" ca="1" si="393"/>
        <v>-1.5378942427561157</v>
      </c>
      <c r="N844" s="304">
        <f t="shared" ca="1" si="394"/>
        <v>-88.114849447393112</v>
      </c>
      <c r="P844" s="310">
        <f t="shared" ca="1" si="395"/>
        <v>23</v>
      </c>
      <c r="Q844" s="304">
        <f t="shared" ca="1" si="396"/>
        <v>0</v>
      </c>
      <c r="R844" s="306">
        <f t="shared" ca="1" si="397"/>
        <v>0</v>
      </c>
      <c r="S844" s="307">
        <f t="shared" ca="1" si="398"/>
        <v>2.0842999999999985</v>
      </c>
      <c r="T844" s="304">
        <f t="shared" ca="1" si="378"/>
        <v>20.446982999999985</v>
      </c>
      <c r="U844" s="311">
        <f t="shared" ca="1" si="379"/>
        <v>0</v>
      </c>
      <c r="V844" s="306">
        <f t="shared" ca="1" si="380"/>
        <v>1.2265577232334377</v>
      </c>
      <c r="W844" s="304">
        <f t="shared" ca="1" si="381"/>
        <v>20.358725347377398</v>
      </c>
      <c r="Y844" s="314" t="str">
        <f t="shared" ca="1" si="399"/>
        <v/>
      </c>
      <c r="Z844" s="315" t="str">
        <f t="shared" ca="1" si="400"/>
        <v/>
      </c>
      <c r="AA844" s="316" t="str">
        <f t="shared" ca="1" si="401"/>
        <v/>
      </c>
      <c r="AC844" s="310" t="e">
        <f t="shared" ca="1" si="402"/>
        <v>#N/A</v>
      </c>
      <c r="AD844" s="323" t="e">
        <f t="shared" ca="1" si="403"/>
        <v>#N/A</v>
      </c>
      <c r="AE844" s="324" t="e">
        <f t="shared" ca="1" si="382"/>
        <v>#N/A</v>
      </c>
      <c r="AG844" s="306">
        <f t="shared" ca="1" si="404"/>
        <v>3.7047085169609417E-2</v>
      </c>
      <c r="AH844" s="304">
        <f t="shared" ca="1" si="405"/>
        <v>-9.7676434151933833</v>
      </c>
    </row>
    <row r="845" spans="1:34" x14ac:dyDescent="0.25">
      <c r="A845" s="347">
        <f t="shared" ca="1" si="383"/>
        <v>1E-4</v>
      </c>
      <c r="B845" s="304">
        <f t="shared" ca="1" si="384"/>
        <v>47.124700000001191</v>
      </c>
      <c r="D845" s="306">
        <f t="shared" ca="1" si="385"/>
        <v>-0.32131825671485176</v>
      </c>
      <c r="E845" s="307">
        <f t="shared" ca="1" si="386"/>
        <v>-4.7630522689221522E-2</v>
      </c>
      <c r="F845" s="304">
        <f t="shared" ca="1" si="387"/>
        <v>0.32482932255250574</v>
      </c>
      <c r="G845" s="306">
        <f t="shared" ca="1" si="388"/>
        <v>4.0331059178441491</v>
      </c>
      <c r="H845" s="307">
        <f t="shared" ca="1" si="389"/>
        <v>-122.53578656526135</v>
      </c>
      <c r="I845" s="304">
        <f t="shared" ca="1" si="390"/>
        <v>122.60214081537008</v>
      </c>
      <c r="J845" s="306">
        <f t="shared" ca="1" si="391"/>
        <v>677.64536374242232</v>
      </c>
      <c r="K845" s="307">
        <f t="shared" ca="1" si="392"/>
        <v>-12.72028177351425</v>
      </c>
      <c r="L845" s="304">
        <f t="shared" ca="1" si="377"/>
        <v>677.76474131515386</v>
      </c>
      <c r="M845" s="306">
        <f t="shared" ca="1" si="393"/>
        <v>-1.5378945059743678</v>
      </c>
      <c r="N845" s="304">
        <f t="shared" ca="1" si="394"/>
        <v>-88.114864528688045</v>
      </c>
      <c r="P845" s="310">
        <f t="shared" ca="1" si="395"/>
        <v>23</v>
      </c>
      <c r="Q845" s="304">
        <f t="shared" ca="1" si="396"/>
        <v>0</v>
      </c>
      <c r="R845" s="306">
        <f t="shared" ca="1" si="397"/>
        <v>0</v>
      </c>
      <c r="S845" s="307">
        <f t="shared" ca="1" si="398"/>
        <v>2.0842999999999985</v>
      </c>
      <c r="T845" s="304">
        <f t="shared" ca="1" si="378"/>
        <v>20.446982999999985</v>
      </c>
      <c r="U845" s="311">
        <f t="shared" ca="1" si="379"/>
        <v>0</v>
      </c>
      <c r="V845" s="306">
        <f t="shared" ca="1" si="380"/>
        <v>1.226559226207091</v>
      </c>
      <c r="W845" s="304">
        <f t="shared" ca="1" si="381"/>
        <v>20.358751524087584</v>
      </c>
      <c r="Y845" s="314" t="str">
        <f t="shared" ca="1" si="399"/>
        <v/>
      </c>
      <c r="Z845" s="315" t="str">
        <f t="shared" ca="1" si="400"/>
        <v/>
      </c>
      <c r="AA845" s="316" t="str">
        <f t="shared" ca="1" si="401"/>
        <v/>
      </c>
      <c r="AC845" s="310" t="e">
        <f t="shared" ca="1" si="402"/>
        <v>#N/A</v>
      </c>
      <c r="AD845" s="323" t="e">
        <f t="shared" ca="1" si="403"/>
        <v>#N/A</v>
      </c>
      <c r="AE845" s="324" t="e">
        <f t="shared" ca="1" si="382"/>
        <v>#N/A</v>
      </c>
      <c r="AG845" s="306">
        <f t="shared" ca="1" si="404"/>
        <v>3.7034610938444956E-2</v>
      </c>
      <c r="AH845" s="304">
        <f t="shared" ca="1" si="405"/>
        <v>-9.7676559743690508</v>
      </c>
    </row>
    <row r="846" spans="1:34" x14ac:dyDescent="0.25">
      <c r="A846" s="347">
        <f t="shared" ca="1" si="383"/>
        <v>1E-4</v>
      </c>
      <c r="B846" s="304">
        <f t="shared" ca="1" si="384"/>
        <v>47.124800000001194</v>
      </c>
      <c r="D846" s="306">
        <f t="shared" ca="1" si="385"/>
        <v>-0.32131610022021628</v>
      </c>
      <c r="E846" s="307">
        <f t="shared" ca="1" si="386"/>
        <v>-4.7617885916341862E-2</v>
      </c>
      <c r="F846" s="304">
        <f t="shared" ca="1" si="387"/>
        <v>0.32482533663473639</v>
      </c>
      <c r="G846" s="306">
        <f t="shared" ca="1" si="388"/>
        <v>4.0330737862341275</v>
      </c>
      <c r="H846" s="307">
        <f t="shared" ca="1" si="389"/>
        <v>-122.53579132704994</v>
      </c>
      <c r="I846" s="304">
        <f t="shared" ca="1" si="390"/>
        <v>122.602144517588</v>
      </c>
      <c r="J846" s="306">
        <f t="shared" ca="1" si="391"/>
        <v>677.64536374242232</v>
      </c>
      <c r="K846" s="307">
        <f t="shared" ca="1" si="392"/>
        <v>-12.732535352408865</v>
      </c>
      <c r="L846" s="304">
        <f t="shared" ca="1" si="377"/>
        <v>677.76497140092761</v>
      </c>
      <c r="M846" s="306">
        <f t="shared" ca="1" si="393"/>
        <v>-1.5378947691905069</v>
      </c>
      <c r="N846" s="304">
        <f t="shared" ca="1" si="394"/>
        <v>-88.114879609861916</v>
      </c>
      <c r="P846" s="310">
        <f t="shared" ca="1" si="395"/>
        <v>23</v>
      </c>
      <c r="Q846" s="304">
        <f t="shared" ca="1" si="396"/>
        <v>0</v>
      </c>
      <c r="R846" s="306">
        <f t="shared" ca="1" si="397"/>
        <v>0</v>
      </c>
      <c r="S846" s="307">
        <f t="shared" ca="1" si="398"/>
        <v>2.0842999999999985</v>
      </c>
      <c r="T846" s="304">
        <f t="shared" ca="1" si="378"/>
        <v>20.446982999999985</v>
      </c>
      <c r="U846" s="311">
        <f t="shared" ca="1" si="379"/>
        <v>0</v>
      </c>
      <c r="V846" s="306">
        <f t="shared" ca="1" si="380"/>
        <v>1.226560729182645</v>
      </c>
      <c r="W846" s="304">
        <f t="shared" ca="1" si="381"/>
        <v>20.358777700418091</v>
      </c>
      <c r="Y846" s="314" t="str">
        <f t="shared" ca="1" si="399"/>
        <v/>
      </c>
      <c r="Z846" s="315" t="str">
        <f t="shared" ca="1" si="400"/>
        <v/>
      </c>
      <c r="AA846" s="316" t="str">
        <f t="shared" ca="1" si="401"/>
        <v/>
      </c>
      <c r="AC846" s="310" t="e">
        <f t="shared" ca="1" si="402"/>
        <v>#N/A</v>
      </c>
      <c r="AD846" s="323" t="e">
        <f t="shared" ca="1" si="403"/>
        <v>#N/A</v>
      </c>
      <c r="AE846" s="324" t="e">
        <f t="shared" ca="1" si="382"/>
        <v>#N/A</v>
      </c>
      <c r="AG846" s="306">
        <f t="shared" ca="1" si="404"/>
        <v>3.7022136888069213E-2</v>
      </c>
      <c r="AH846" s="304">
        <f t="shared" ca="1" si="405"/>
        <v>-9.767668533362567</v>
      </c>
    </row>
    <row r="847" spans="1:34" x14ac:dyDescent="0.25">
      <c r="A847" s="347">
        <f t="shared" ca="1" si="383"/>
        <v>1E-4</v>
      </c>
      <c r="B847" s="304">
        <f t="shared" ca="1" si="384"/>
        <v>47.124900000001197</v>
      </c>
      <c r="D847" s="306">
        <f t="shared" ca="1" si="385"/>
        <v>-0.32131394373358607</v>
      </c>
      <c r="E847" s="307">
        <f t="shared" ca="1" si="386"/>
        <v>-4.7605249326664989E-2</v>
      </c>
      <c r="F847" s="304">
        <f t="shared" ca="1" si="387"/>
        <v>0.32482135120875916</v>
      </c>
      <c r="G847" s="306">
        <f t="shared" ca="1" si="388"/>
        <v>4.0330416548397539</v>
      </c>
      <c r="H847" s="307">
        <f t="shared" ca="1" si="389"/>
        <v>-122.53579608757487</v>
      </c>
      <c r="I847" s="304">
        <f t="shared" ca="1" si="390"/>
        <v>122.60214821855855</v>
      </c>
      <c r="J847" s="306">
        <f t="shared" ca="1" si="391"/>
        <v>677.64536374242232</v>
      </c>
      <c r="K847" s="307">
        <f t="shared" ca="1" si="392"/>
        <v>-12.744788931779597</v>
      </c>
      <c r="L847" s="304">
        <f t="shared" ca="1" si="377"/>
        <v>677.76520170816934</v>
      </c>
      <c r="M847" s="306">
        <f t="shared" ca="1" si="393"/>
        <v>-1.5378950324045331</v>
      </c>
      <c r="N847" s="304">
        <f t="shared" ca="1" si="394"/>
        <v>-88.114894690914724</v>
      </c>
      <c r="P847" s="310">
        <f t="shared" ca="1" si="395"/>
        <v>23</v>
      </c>
      <c r="Q847" s="304">
        <f t="shared" ca="1" si="396"/>
        <v>0</v>
      </c>
      <c r="R847" s="306">
        <f t="shared" ca="1" si="397"/>
        <v>0</v>
      </c>
      <c r="S847" s="307">
        <f t="shared" ca="1" si="398"/>
        <v>2.0842999999999985</v>
      </c>
      <c r="T847" s="304">
        <f t="shared" ca="1" si="378"/>
        <v>20.446982999999985</v>
      </c>
      <c r="U847" s="311">
        <f t="shared" ca="1" si="379"/>
        <v>0</v>
      </c>
      <c r="V847" s="306">
        <f t="shared" ca="1" si="380"/>
        <v>1.2265622321601004</v>
      </c>
      <c r="W847" s="304">
        <f t="shared" ca="1" si="381"/>
        <v>20.358803876368942</v>
      </c>
      <c r="Y847" s="314" t="str">
        <f t="shared" ca="1" si="399"/>
        <v/>
      </c>
      <c r="Z847" s="315" t="str">
        <f t="shared" ca="1" si="400"/>
        <v/>
      </c>
      <c r="AA847" s="316" t="str">
        <f t="shared" ca="1" si="401"/>
        <v/>
      </c>
      <c r="AC847" s="310" t="e">
        <f t="shared" ca="1" si="402"/>
        <v>#N/A</v>
      </c>
      <c r="AD847" s="323" t="e">
        <f t="shared" ca="1" si="403"/>
        <v>#N/A</v>
      </c>
      <c r="AE847" s="324" t="e">
        <f t="shared" ca="1" si="382"/>
        <v>#N/A</v>
      </c>
      <c r="AG847" s="306">
        <f t="shared" ca="1" si="404"/>
        <v>3.7009663018496397E-2</v>
      </c>
      <c r="AH847" s="304">
        <f t="shared" ca="1" si="405"/>
        <v>-9.7676810921739214</v>
      </c>
    </row>
    <row r="848" spans="1:34" x14ac:dyDescent="0.25">
      <c r="A848" s="347">
        <f t="shared" ca="1" si="383"/>
        <v>1E-4</v>
      </c>
      <c r="B848" s="304">
        <f t="shared" ca="1" si="384"/>
        <v>47.125000000001201</v>
      </c>
      <c r="D848" s="306">
        <f t="shared" ca="1" si="385"/>
        <v>-0.32131178725496162</v>
      </c>
      <c r="E848" s="307">
        <f t="shared" ca="1" si="386"/>
        <v>-4.7592612920174915E-2</v>
      </c>
      <c r="F848" s="304">
        <f t="shared" ca="1" si="387"/>
        <v>0.3248173662745687</v>
      </c>
      <c r="G848" s="306">
        <f t="shared" ca="1" si="388"/>
        <v>4.0330095236610282</v>
      </c>
      <c r="H848" s="307">
        <f t="shared" ca="1" si="389"/>
        <v>-122.53580084683615</v>
      </c>
      <c r="I848" s="304">
        <f t="shared" ca="1" si="390"/>
        <v>122.60215191828172</v>
      </c>
      <c r="J848" s="306">
        <f t="shared" ca="1" si="391"/>
        <v>677.64536374242232</v>
      </c>
      <c r="K848" s="307">
        <f t="shared" ca="1" si="392"/>
        <v>-12.757042511626318</v>
      </c>
      <c r="L848" s="304">
        <f t="shared" ca="1" si="377"/>
        <v>677.76543223687884</v>
      </c>
      <c r="M848" s="306">
        <f t="shared" ca="1" si="393"/>
        <v>-1.5378952956164462</v>
      </c>
      <c r="N848" s="304">
        <f t="shared" ca="1" si="394"/>
        <v>-88.114909771846456</v>
      </c>
      <c r="P848" s="310">
        <f t="shared" ca="1" si="395"/>
        <v>23</v>
      </c>
      <c r="Q848" s="304">
        <f t="shared" ca="1" si="396"/>
        <v>0</v>
      </c>
      <c r="R848" s="306">
        <f t="shared" ca="1" si="397"/>
        <v>0</v>
      </c>
      <c r="S848" s="307">
        <f t="shared" ca="1" si="398"/>
        <v>2.0842999999999985</v>
      </c>
      <c r="T848" s="304">
        <f t="shared" ca="1" si="378"/>
        <v>20.446982999999985</v>
      </c>
      <c r="U848" s="311">
        <f t="shared" ca="1" si="379"/>
        <v>0</v>
      </c>
      <c r="V848" s="306">
        <f t="shared" ca="1" si="380"/>
        <v>1.2265637351394565</v>
      </c>
      <c r="W848" s="304">
        <f t="shared" ca="1" si="381"/>
        <v>20.358830051940117</v>
      </c>
      <c r="Y848" s="314" t="str">
        <f t="shared" ca="1" si="399"/>
        <v/>
      </c>
      <c r="Z848" s="315" t="str">
        <f t="shared" ca="1" si="400"/>
        <v/>
      </c>
      <c r="AA848" s="316" t="str">
        <f t="shared" ca="1" si="401"/>
        <v/>
      </c>
      <c r="AC848" s="310" t="e">
        <f t="shared" ca="1" si="402"/>
        <v>#N/A</v>
      </c>
      <c r="AD848" s="323" t="e">
        <f t="shared" ca="1" si="403"/>
        <v>#N/A</v>
      </c>
      <c r="AE848" s="324" t="e">
        <f t="shared" ca="1" si="382"/>
        <v>#N/A</v>
      </c>
      <c r="AG848" s="306">
        <f t="shared" ca="1" si="404"/>
        <v>3.6997189329710523E-2</v>
      </c>
      <c r="AH848" s="304">
        <f t="shared" ca="1" si="405"/>
        <v>-9.7676936508031265</v>
      </c>
    </row>
    <row r="849" spans="1:34" x14ac:dyDescent="0.25">
      <c r="A849" s="347">
        <f t="shared" ca="1" si="383"/>
        <v>1E-4</v>
      </c>
      <c r="B849" s="304">
        <f t="shared" ca="1" si="384"/>
        <v>47.125100000001204</v>
      </c>
      <c r="D849" s="306">
        <f t="shared" ca="1" si="385"/>
        <v>-0.32130963078434288</v>
      </c>
      <c r="E849" s="307">
        <f t="shared" ca="1" si="386"/>
        <v>-4.7579976696885851E-2</v>
      </c>
      <c r="F849" s="304">
        <f t="shared" ca="1" si="387"/>
        <v>0.32481338183216363</v>
      </c>
      <c r="G849" s="306">
        <f t="shared" ca="1" si="388"/>
        <v>4.0329773926979495</v>
      </c>
      <c r="H849" s="307">
        <f t="shared" ca="1" si="389"/>
        <v>-122.53580560483383</v>
      </c>
      <c r="I849" s="304">
        <f t="shared" ca="1" si="390"/>
        <v>122.60215561675756</v>
      </c>
      <c r="J849" s="306">
        <f t="shared" ca="1" si="391"/>
        <v>677.64536374242232</v>
      </c>
      <c r="K849" s="307">
        <f t="shared" ca="1" si="392"/>
        <v>-12.769296091948902</v>
      </c>
      <c r="L849" s="304">
        <f t="shared" ca="1" si="377"/>
        <v>677.76566298705609</v>
      </c>
      <c r="M849" s="306">
        <f t="shared" ca="1" si="393"/>
        <v>-1.5378955588262466</v>
      </c>
      <c r="N849" s="304">
        <f t="shared" ca="1" si="394"/>
        <v>-88.114924852657154</v>
      </c>
      <c r="P849" s="310">
        <f t="shared" ca="1" si="395"/>
        <v>23</v>
      </c>
      <c r="Q849" s="304">
        <f t="shared" ca="1" si="396"/>
        <v>0</v>
      </c>
      <c r="R849" s="306">
        <f t="shared" ca="1" si="397"/>
        <v>0</v>
      </c>
      <c r="S849" s="307">
        <f t="shared" ca="1" si="398"/>
        <v>2.0842999999999985</v>
      </c>
      <c r="T849" s="304">
        <f t="shared" ca="1" si="378"/>
        <v>20.446982999999985</v>
      </c>
      <c r="U849" s="311">
        <f t="shared" ca="1" si="379"/>
        <v>0</v>
      </c>
      <c r="V849" s="306">
        <f t="shared" ca="1" si="380"/>
        <v>1.2265652381207148</v>
      </c>
      <c r="W849" s="304">
        <f t="shared" ca="1" si="381"/>
        <v>20.35885622713166</v>
      </c>
      <c r="Y849" s="314" t="str">
        <f t="shared" ca="1" si="399"/>
        <v/>
      </c>
      <c r="Z849" s="315" t="str">
        <f t="shared" ca="1" si="400"/>
        <v/>
      </c>
      <c r="AA849" s="316" t="str">
        <f t="shared" ca="1" si="401"/>
        <v/>
      </c>
      <c r="AC849" s="310" t="e">
        <f t="shared" ca="1" si="402"/>
        <v>#N/A</v>
      </c>
      <c r="AD849" s="323" t="e">
        <f t="shared" ca="1" si="403"/>
        <v>#N/A</v>
      </c>
      <c r="AE849" s="324" t="e">
        <f t="shared" ca="1" si="382"/>
        <v>#N/A</v>
      </c>
      <c r="AG849" s="306">
        <f t="shared" ca="1" si="404"/>
        <v>3.6984715821724023E-2</v>
      </c>
      <c r="AH849" s="304">
        <f t="shared" ca="1" si="405"/>
        <v>-9.7677062092501714</v>
      </c>
    </row>
    <row r="850" spans="1:34" x14ac:dyDescent="0.25">
      <c r="A850" s="347">
        <f t="shared" ca="1" si="383"/>
        <v>1E-4</v>
      </c>
      <c r="B850" s="304">
        <f t="shared" ca="1" si="384"/>
        <v>47.125200000001207</v>
      </c>
      <c r="D850" s="306">
        <f t="shared" ca="1" si="385"/>
        <v>-0.32130747432172851</v>
      </c>
      <c r="E850" s="307">
        <f t="shared" ca="1" si="386"/>
        <v>-4.7567340656774704E-2</v>
      </c>
      <c r="F850" s="304">
        <f t="shared" ca="1" si="387"/>
        <v>0.3248093978815359</v>
      </c>
      <c r="G850" s="306">
        <f t="shared" ca="1" si="388"/>
        <v>4.0329452619505171</v>
      </c>
      <c r="H850" s="307">
        <f t="shared" ca="1" si="389"/>
        <v>-122.5358103615679</v>
      </c>
      <c r="I850" s="304">
        <f t="shared" ca="1" si="390"/>
        <v>122.60215931398606</v>
      </c>
      <c r="J850" s="306">
        <f t="shared" ca="1" si="391"/>
        <v>677.64536374242232</v>
      </c>
      <c r="K850" s="307">
        <f t="shared" ca="1" si="392"/>
        <v>-12.781549672747223</v>
      </c>
      <c r="L850" s="304">
        <f t="shared" ca="1" si="377"/>
        <v>677.76589395870076</v>
      </c>
      <c r="M850" s="306">
        <f t="shared" ca="1" si="393"/>
        <v>-1.5378958220339343</v>
      </c>
      <c r="N850" s="304">
        <f t="shared" ca="1" si="394"/>
        <v>-88.11493993334679</v>
      </c>
      <c r="P850" s="310">
        <f t="shared" ca="1" si="395"/>
        <v>23</v>
      </c>
      <c r="Q850" s="304">
        <f t="shared" ca="1" si="396"/>
        <v>0</v>
      </c>
      <c r="R850" s="306">
        <f t="shared" ca="1" si="397"/>
        <v>0</v>
      </c>
      <c r="S850" s="307">
        <f t="shared" ca="1" si="398"/>
        <v>2.0842999999999985</v>
      </c>
      <c r="T850" s="304">
        <f t="shared" ca="1" si="378"/>
        <v>20.446982999999985</v>
      </c>
      <c r="U850" s="311">
        <f t="shared" ca="1" si="379"/>
        <v>0</v>
      </c>
      <c r="V850" s="306">
        <f t="shared" ca="1" si="380"/>
        <v>1.2265667411038739</v>
      </c>
      <c r="W850" s="304">
        <f t="shared" ca="1" si="381"/>
        <v>20.358882401943546</v>
      </c>
      <c r="Y850" s="314" t="str">
        <f t="shared" ca="1" si="399"/>
        <v/>
      </c>
      <c r="Z850" s="315" t="str">
        <f t="shared" ca="1" si="400"/>
        <v/>
      </c>
      <c r="AA850" s="316" t="str">
        <f t="shared" ca="1" si="401"/>
        <v/>
      </c>
      <c r="AC850" s="310" t="e">
        <f t="shared" ca="1" si="402"/>
        <v>#N/A</v>
      </c>
      <c r="AD850" s="323" t="e">
        <f t="shared" ca="1" si="403"/>
        <v>#N/A</v>
      </c>
      <c r="AE850" s="324" t="e">
        <f t="shared" ca="1" si="382"/>
        <v>#N/A</v>
      </c>
      <c r="AG850" s="306">
        <f t="shared" ca="1" si="404"/>
        <v>3.6972242494513807E-2</v>
      </c>
      <c r="AH850" s="304">
        <f t="shared" ca="1" si="405"/>
        <v>-9.7677187675150776</v>
      </c>
    </row>
    <row r="851" spans="1:34" x14ac:dyDescent="0.25">
      <c r="A851" s="347">
        <f t="shared" ca="1" si="383"/>
        <v>1E-4</v>
      </c>
      <c r="B851" s="304">
        <f t="shared" ca="1" si="384"/>
        <v>47.125300000001211</v>
      </c>
      <c r="D851" s="306">
        <f t="shared" ca="1" si="385"/>
        <v>-0.32130531786711852</v>
      </c>
      <c r="E851" s="307">
        <f t="shared" ca="1" si="386"/>
        <v>-4.7554704799852132E-2</v>
      </c>
      <c r="F851" s="304">
        <f t="shared" ca="1" si="387"/>
        <v>0.32480541442268346</v>
      </c>
      <c r="G851" s="306">
        <f t="shared" ca="1" si="388"/>
        <v>4.0329131314187308</v>
      </c>
      <c r="H851" s="307">
        <f t="shared" ca="1" si="389"/>
        <v>-122.53581511703838</v>
      </c>
      <c r="I851" s="304">
        <f t="shared" ca="1" si="390"/>
        <v>122.60216300996724</v>
      </c>
      <c r="J851" s="306">
        <f t="shared" ca="1" si="391"/>
        <v>677.64536374242232</v>
      </c>
      <c r="K851" s="307">
        <f t="shared" ca="1" si="392"/>
        <v>-12.793803254021153</v>
      </c>
      <c r="L851" s="304">
        <f t="shared" ca="1" si="377"/>
        <v>677.7661251518125</v>
      </c>
      <c r="M851" s="306">
        <f t="shared" ca="1" si="393"/>
        <v>-1.5378960852395089</v>
      </c>
      <c r="N851" s="304">
        <f t="shared" ca="1" si="394"/>
        <v>-88.114955013915363</v>
      </c>
      <c r="P851" s="310">
        <f t="shared" ca="1" si="395"/>
        <v>23</v>
      </c>
      <c r="Q851" s="304">
        <f t="shared" ca="1" si="396"/>
        <v>0</v>
      </c>
      <c r="R851" s="306">
        <f t="shared" ca="1" si="397"/>
        <v>0</v>
      </c>
      <c r="S851" s="307">
        <f t="shared" ca="1" si="398"/>
        <v>2.0842999999999985</v>
      </c>
      <c r="T851" s="304">
        <f t="shared" ca="1" si="378"/>
        <v>20.446982999999985</v>
      </c>
      <c r="U851" s="311">
        <f t="shared" ca="1" si="379"/>
        <v>0</v>
      </c>
      <c r="V851" s="306">
        <f t="shared" ca="1" si="380"/>
        <v>1.2265682440889343</v>
      </c>
      <c r="W851" s="304">
        <f t="shared" ca="1" si="381"/>
        <v>20.358908576375779</v>
      </c>
      <c r="Y851" s="314" t="str">
        <f t="shared" ca="1" si="399"/>
        <v/>
      </c>
      <c r="Z851" s="315" t="str">
        <f t="shared" ca="1" si="400"/>
        <v/>
      </c>
      <c r="AA851" s="316" t="str">
        <f t="shared" ca="1" si="401"/>
        <v/>
      </c>
      <c r="AC851" s="310" t="e">
        <f t="shared" ca="1" si="402"/>
        <v>#N/A</v>
      </c>
      <c r="AD851" s="323" t="e">
        <f t="shared" ca="1" si="403"/>
        <v>#N/A</v>
      </c>
      <c r="AE851" s="324" t="e">
        <f t="shared" ca="1" si="382"/>
        <v>#N/A</v>
      </c>
      <c r="AG851" s="306">
        <f t="shared" ca="1" si="404"/>
        <v>3.6959769348095861E-2</v>
      </c>
      <c r="AH851" s="304">
        <f t="shared" ca="1" si="405"/>
        <v>-9.7677313255978326</v>
      </c>
    </row>
    <row r="852" spans="1:34" x14ac:dyDescent="0.25">
      <c r="A852" s="347">
        <f t="shared" ca="1" si="383"/>
        <v>1E-4</v>
      </c>
      <c r="B852" s="304">
        <f t="shared" ca="1" si="384"/>
        <v>47.125400000001214</v>
      </c>
      <c r="D852" s="306">
        <f t="shared" ca="1" si="385"/>
        <v>-0.32130316142051518</v>
      </c>
      <c r="E852" s="307">
        <f t="shared" ca="1" si="386"/>
        <v>-4.7542069126119912E-2</v>
      </c>
      <c r="F852" s="304">
        <f t="shared" ca="1" si="387"/>
        <v>0.32480143145560553</v>
      </c>
      <c r="G852" s="306">
        <f t="shared" ca="1" si="388"/>
        <v>4.0328810011025888</v>
      </c>
      <c r="H852" s="307">
        <f t="shared" ca="1" si="389"/>
        <v>-122.53581987124529</v>
      </c>
      <c r="I852" s="304">
        <f t="shared" ca="1" si="390"/>
        <v>122.60216670470113</v>
      </c>
      <c r="J852" s="306">
        <f t="shared" ca="1" si="391"/>
        <v>677.64536374242232</v>
      </c>
      <c r="K852" s="307">
        <f t="shared" ca="1" si="392"/>
        <v>-12.806056835770567</v>
      </c>
      <c r="L852" s="304">
        <f t="shared" ca="1" si="377"/>
        <v>677.76635656639144</v>
      </c>
      <c r="M852" s="306">
        <f t="shared" ca="1" si="393"/>
        <v>-1.5378963484429709</v>
      </c>
      <c r="N852" s="304">
        <f t="shared" ca="1" si="394"/>
        <v>-88.114970094362889</v>
      </c>
      <c r="P852" s="310">
        <f t="shared" ca="1" si="395"/>
        <v>23</v>
      </c>
      <c r="Q852" s="304">
        <f t="shared" ca="1" si="396"/>
        <v>0</v>
      </c>
      <c r="R852" s="306">
        <f t="shared" ca="1" si="397"/>
        <v>0</v>
      </c>
      <c r="S852" s="307">
        <f t="shared" ca="1" si="398"/>
        <v>2.0842999999999985</v>
      </c>
      <c r="T852" s="304">
        <f t="shared" ca="1" si="378"/>
        <v>20.446982999999985</v>
      </c>
      <c r="U852" s="311">
        <f t="shared" ca="1" si="379"/>
        <v>0</v>
      </c>
      <c r="V852" s="306">
        <f t="shared" ca="1" si="380"/>
        <v>1.2265697470758958</v>
      </c>
      <c r="W852" s="304">
        <f t="shared" ca="1" si="381"/>
        <v>20.358934750428375</v>
      </c>
      <c r="Y852" s="314" t="str">
        <f t="shared" ca="1" si="399"/>
        <v/>
      </c>
      <c r="Z852" s="315" t="str">
        <f t="shared" ca="1" si="400"/>
        <v/>
      </c>
      <c r="AA852" s="316" t="str">
        <f t="shared" ca="1" si="401"/>
        <v/>
      </c>
      <c r="AC852" s="310" t="e">
        <f t="shared" ca="1" si="402"/>
        <v>#N/A</v>
      </c>
      <c r="AD852" s="323" t="e">
        <f t="shared" ca="1" si="403"/>
        <v>#N/A</v>
      </c>
      <c r="AE852" s="324" t="e">
        <f t="shared" ca="1" si="382"/>
        <v>#N/A</v>
      </c>
      <c r="AG852" s="306">
        <f t="shared" ca="1" si="404"/>
        <v>3.6947296382464856E-2</v>
      </c>
      <c r="AH852" s="304">
        <f t="shared" ca="1" si="405"/>
        <v>-9.7677438834984383</v>
      </c>
    </row>
    <row r="853" spans="1:34" x14ac:dyDescent="0.25">
      <c r="A853" s="347">
        <f t="shared" ca="1" si="383"/>
        <v>1E-4</v>
      </c>
      <c r="B853" s="304">
        <f t="shared" ca="1" si="384"/>
        <v>47.125500000001217</v>
      </c>
      <c r="D853" s="306">
        <f t="shared" ca="1" si="385"/>
        <v>-0.32130100498191694</v>
      </c>
      <c r="E853" s="307">
        <f t="shared" ca="1" si="386"/>
        <v>-4.7529433635567386E-2</v>
      </c>
      <c r="F853" s="304">
        <f t="shared" ca="1" si="387"/>
        <v>0.32479744898029544</v>
      </c>
      <c r="G853" s="306">
        <f t="shared" ca="1" si="388"/>
        <v>4.0328488710020904</v>
      </c>
      <c r="H853" s="307">
        <f t="shared" ca="1" si="389"/>
        <v>-122.53582462418866</v>
      </c>
      <c r="I853" s="304">
        <f t="shared" ca="1" si="390"/>
        <v>122.60217039818775</v>
      </c>
      <c r="J853" s="306">
        <f t="shared" ca="1" si="391"/>
        <v>677.64536374242232</v>
      </c>
      <c r="K853" s="307">
        <f t="shared" ca="1" si="392"/>
        <v>-12.818310417995338</v>
      </c>
      <c r="L853" s="304">
        <f t="shared" ca="1" si="377"/>
        <v>677.76658820243711</v>
      </c>
      <c r="M853" s="306">
        <f t="shared" ca="1" si="393"/>
        <v>-1.5378966116443198</v>
      </c>
      <c r="N853" s="304">
        <f t="shared" ca="1" si="394"/>
        <v>-88.114985174689338</v>
      </c>
      <c r="P853" s="310">
        <f t="shared" ca="1" si="395"/>
        <v>23</v>
      </c>
      <c r="Q853" s="304">
        <f t="shared" ca="1" si="396"/>
        <v>0</v>
      </c>
      <c r="R853" s="306">
        <f t="shared" ca="1" si="397"/>
        <v>0</v>
      </c>
      <c r="S853" s="307">
        <f t="shared" ca="1" si="398"/>
        <v>2.0842999999999985</v>
      </c>
      <c r="T853" s="304">
        <f t="shared" ca="1" si="378"/>
        <v>20.446982999999985</v>
      </c>
      <c r="U853" s="311">
        <f t="shared" ca="1" si="379"/>
        <v>0</v>
      </c>
      <c r="V853" s="306">
        <f t="shared" ca="1" si="380"/>
        <v>1.2265712500647581</v>
      </c>
      <c r="W853" s="304">
        <f t="shared" ca="1" si="381"/>
        <v>20.358960924101325</v>
      </c>
      <c r="Y853" s="314" t="str">
        <f t="shared" ca="1" si="399"/>
        <v/>
      </c>
      <c r="Z853" s="315" t="str">
        <f t="shared" ca="1" si="400"/>
        <v/>
      </c>
      <c r="AA853" s="316" t="str">
        <f t="shared" ca="1" si="401"/>
        <v/>
      </c>
      <c r="AC853" s="310" t="e">
        <f t="shared" ca="1" si="402"/>
        <v>#N/A</v>
      </c>
      <c r="AD853" s="323" t="e">
        <f t="shared" ca="1" si="403"/>
        <v>#N/A</v>
      </c>
      <c r="AE853" s="324" t="e">
        <f t="shared" ca="1" si="382"/>
        <v>#N/A</v>
      </c>
      <c r="AG853" s="306">
        <f t="shared" ca="1" si="404"/>
        <v>3.693482359761191E-2</v>
      </c>
      <c r="AH853" s="304">
        <f t="shared" ca="1" si="405"/>
        <v>-9.7677564412169033</v>
      </c>
    </row>
    <row r="854" spans="1:34" x14ac:dyDescent="0.25">
      <c r="A854" s="347">
        <f t="shared" ca="1" si="383"/>
        <v>1E-4</v>
      </c>
      <c r="B854" s="304">
        <f t="shared" ca="1" si="384"/>
        <v>47.125600000001221</v>
      </c>
      <c r="D854" s="306">
        <f t="shared" ca="1" si="385"/>
        <v>-0.32129884855132596</v>
      </c>
      <c r="E854" s="307">
        <f t="shared" ca="1" si="386"/>
        <v>-4.7516798328199883E-2</v>
      </c>
      <c r="F854" s="304">
        <f t="shared" ca="1" si="387"/>
        <v>0.32479346699675271</v>
      </c>
      <c r="G854" s="306">
        <f t="shared" ca="1" si="388"/>
        <v>4.0328167411172355</v>
      </c>
      <c r="H854" s="307">
        <f t="shared" ca="1" si="389"/>
        <v>-122.5358293758685</v>
      </c>
      <c r="I854" s="304">
        <f t="shared" ca="1" si="390"/>
        <v>122.6021740904271</v>
      </c>
      <c r="J854" s="306">
        <f t="shared" ca="1" si="391"/>
        <v>677.64536374242232</v>
      </c>
      <c r="K854" s="307">
        <f t="shared" ca="1" si="392"/>
        <v>-12.830564000695341</v>
      </c>
      <c r="L854" s="304">
        <f t="shared" ca="1" si="377"/>
        <v>677.7668200599494</v>
      </c>
      <c r="M854" s="306">
        <f t="shared" ca="1" si="393"/>
        <v>-1.537896874843556</v>
      </c>
      <c r="N854" s="304">
        <f t="shared" ca="1" si="394"/>
        <v>-88.115000254894738</v>
      </c>
      <c r="P854" s="310">
        <f t="shared" ca="1" si="395"/>
        <v>23</v>
      </c>
      <c r="Q854" s="304">
        <f t="shared" ca="1" si="396"/>
        <v>0</v>
      </c>
      <c r="R854" s="306">
        <f t="shared" ca="1" si="397"/>
        <v>0</v>
      </c>
      <c r="S854" s="307">
        <f t="shared" ca="1" si="398"/>
        <v>2.0842999999999985</v>
      </c>
      <c r="T854" s="304">
        <f t="shared" ca="1" si="378"/>
        <v>20.446982999999985</v>
      </c>
      <c r="U854" s="311">
        <f t="shared" ca="1" si="379"/>
        <v>0</v>
      </c>
      <c r="V854" s="306">
        <f t="shared" ca="1" si="380"/>
        <v>1.2265727530555219</v>
      </c>
      <c r="W854" s="304">
        <f t="shared" ca="1" si="381"/>
        <v>20.358987097394646</v>
      </c>
      <c r="Y854" s="314" t="str">
        <f t="shared" ca="1" si="399"/>
        <v/>
      </c>
      <c r="Z854" s="315" t="str">
        <f t="shared" ca="1" si="400"/>
        <v/>
      </c>
      <c r="AA854" s="316" t="str">
        <f t="shared" ca="1" si="401"/>
        <v/>
      </c>
      <c r="AC854" s="310" t="e">
        <f t="shared" ca="1" si="402"/>
        <v>#N/A</v>
      </c>
      <c r="AD854" s="323" t="e">
        <f t="shared" ca="1" si="403"/>
        <v>#N/A</v>
      </c>
      <c r="AE854" s="324" t="e">
        <f t="shared" ca="1" si="382"/>
        <v>#N/A</v>
      </c>
      <c r="AG854" s="306">
        <f t="shared" ca="1" si="404"/>
        <v>3.6922350993549458E-2</v>
      </c>
      <c r="AH854" s="304">
        <f t="shared" ca="1" si="405"/>
        <v>-9.7677689987532208</v>
      </c>
    </row>
    <row r="855" spans="1:34" x14ac:dyDescent="0.25">
      <c r="A855" s="347">
        <f t="shared" ca="1" si="383"/>
        <v>1E-4</v>
      </c>
      <c r="B855" s="304">
        <f t="shared" ca="1" si="384"/>
        <v>47.125700000001224</v>
      </c>
      <c r="D855" s="306">
        <f t="shared" ca="1" si="385"/>
        <v>-0.32129669212874057</v>
      </c>
      <c r="E855" s="307">
        <f t="shared" ca="1" si="386"/>
        <v>-4.750416320400852E-2</v>
      </c>
      <c r="F855" s="304">
        <f t="shared" ca="1" si="387"/>
        <v>0.324789485504971</v>
      </c>
      <c r="G855" s="306">
        <f t="shared" ca="1" si="388"/>
        <v>4.0327846114480224</v>
      </c>
      <c r="H855" s="307">
        <f t="shared" ca="1" si="389"/>
        <v>-122.53583412628483</v>
      </c>
      <c r="I855" s="304">
        <f t="shared" ca="1" si="390"/>
        <v>122.6021777814192</v>
      </c>
      <c r="J855" s="306">
        <f t="shared" ca="1" si="391"/>
        <v>677.64536374242232</v>
      </c>
      <c r="K855" s="307">
        <f t="shared" ca="1" si="392"/>
        <v>-12.842817583870449</v>
      </c>
      <c r="L855" s="304">
        <f t="shared" ca="1" si="377"/>
        <v>677.76705213892808</v>
      </c>
      <c r="M855" s="306">
        <f t="shared" ca="1" si="393"/>
        <v>-1.5378971380406796</v>
      </c>
      <c r="N855" s="304">
        <f t="shared" ca="1" si="394"/>
        <v>-88.115015334979105</v>
      </c>
      <c r="P855" s="310">
        <f t="shared" ca="1" si="395"/>
        <v>23</v>
      </c>
      <c r="Q855" s="304">
        <f t="shared" ca="1" si="396"/>
        <v>0</v>
      </c>
      <c r="R855" s="306">
        <f t="shared" ca="1" si="397"/>
        <v>0</v>
      </c>
      <c r="S855" s="307">
        <f t="shared" ca="1" si="398"/>
        <v>2.0842999999999985</v>
      </c>
      <c r="T855" s="304">
        <f t="shared" ca="1" si="378"/>
        <v>20.446982999999985</v>
      </c>
      <c r="U855" s="311">
        <f t="shared" ca="1" si="379"/>
        <v>0</v>
      </c>
      <c r="V855" s="306">
        <f t="shared" ca="1" si="380"/>
        <v>1.2265742560481872</v>
      </c>
      <c r="W855" s="304">
        <f t="shared" ca="1" si="381"/>
        <v>20.359013270308338</v>
      </c>
      <c r="Y855" s="314" t="str">
        <f t="shared" ca="1" si="399"/>
        <v/>
      </c>
      <c r="Z855" s="315" t="str">
        <f t="shared" ca="1" si="400"/>
        <v/>
      </c>
      <c r="AA855" s="316" t="str">
        <f t="shared" ca="1" si="401"/>
        <v/>
      </c>
      <c r="AC855" s="310" t="e">
        <f t="shared" ca="1" si="402"/>
        <v>#N/A</v>
      </c>
      <c r="AD855" s="323" t="e">
        <f t="shared" ca="1" si="403"/>
        <v>#N/A</v>
      </c>
      <c r="AE855" s="324" t="e">
        <f t="shared" ca="1" si="382"/>
        <v>#N/A</v>
      </c>
      <c r="AG855" s="306">
        <f t="shared" ca="1" si="404"/>
        <v>3.6909878570257959E-2</v>
      </c>
      <c r="AH855" s="304">
        <f t="shared" ca="1" si="405"/>
        <v>-9.7677815561074031</v>
      </c>
    </row>
    <row r="856" spans="1:34" x14ac:dyDescent="0.25">
      <c r="A856" s="347">
        <f t="shared" ca="1" si="383"/>
        <v>1E-4</v>
      </c>
      <c r="B856" s="304">
        <f t="shared" ca="1" si="384"/>
        <v>47.125800000001227</v>
      </c>
      <c r="D856" s="306">
        <f t="shared" ca="1" si="385"/>
        <v>-0.32129453571415895</v>
      </c>
      <c r="E856" s="307">
        <f t="shared" ca="1" si="386"/>
        <v>-4.7491528262991523E-2</v>
      </c>
      <c r="F856" s="304">
        <f t="shared" ca="1" si="387"/>
        <v>0.32478550450494476</v>
      </c>
      <c r="G856" s="306">
        <f t="shared" ca="1" si="388"/>
        <v>4.0327524819944509</v>
      </c>
      <c r="H856" s="307">
        <f t="shared" ca="1" si="389"/>
        <v>-122.53583887543765</v>
      </c>
      <c r="I856" s="304">
        <f t="shared" ca="1" si="390"/>
        <v>122.60218147116407</v>
      </c>
      <c r="J856" s="306">
        <f t="shared" ca="1" si="391"/>
        <v>677.64536374242232</v>
      </c>
      <c r="K856" s="307">
        <f t="shared" ca="1" si="392"/>
        <v>-12.855071167520535</v>
      </c>
      <c r="L856" s="304">
        <f t="shared" ca="1" si="377"/>
        <v>677.76728443937293</v>
      </c>
      <c r="M856" s="306">
        <f t="shared" ca="1" si="393"/>
        <v>-1.5378974012356903</v>
      </c>
      <c r="N856" s="304">
        <f t="shared" ca="1" si="394"/>
        <v>-88.11503041494241</v>
      </c>
      <c r="P856" s="310">
        <f t="shared" ca="1" si="395"/>
        <v>23</v>
      </c>
      <c r="Q856" s="304">
        <f t="shared" ca="1" si="396"/>
        <v>0</v>
      </c>
      <c r="R856" s="306">
        <f t="shared" ca="1" si="397"/>
        <v>0</v>
      </c>
      <c r="S856" s="307">
        <f t="shared" ca="1" si="398"/>
        <v>2.0842999999999985</v>
      </c>
      <c r="T856" s="304">
        <f t="shared" ca="1" si="378"/>
        <v>20.446982999999985</v>
      </c>
      <c r="U856" s="311">
        <f t="shared" ca="1" si="379"/>
        <v>0</v>
      </c>
      <c r="V856" s="306">
        <f t="shared" ca="1" si="380"/>
        <v>1.2265757590427531</v>
      </c>
      <c r="W856" s="304">
        <f t="shared" ca="1" si="381"/>
        <v>20.359039442842398</v>
      </c>
      <c r="Y856" s="314" t="str">
        <f t="shared" ca="1" si="399"/>
        <v/>
      </c>
      <c r="Z856" s="315" t="str">
        <f t="shared" ca="1" si="400"/>
        <v/>
      </c>
      <c r="AA856" s="316" t="str">
        <f t="shared" ca="1" si="401"/>
        <v/>
      </c>
      <c r="AC856" s="310" t="e">
        <f t="shared" ca="1" si="402"/>
        <v>#N/A</v>
      </c>
      <c r="AD856" s="323" t="e">
        <f t="shared" ca="1" si="403"/>
        <v>#N/A</v>
      </c>
      <c r="AE856" s="324" t="e">
        <f t="shared" ca="1" si="382"/>
        <v>#N/A</v>
      </c>
      <c r="AG856" s="306">
        <f t="shared" ca="1" si="404"/>
        <v>3.689740632774452E-2</v>
      </c>
      <c r="AH856" s="304">
        <f t="shared" ca="1" si="405"/>
        <v>-9.7677941132794484</v>
      </c>
    </row>
    <row r="857" spans="1:34" x14ac:dyDescent="0.25">
      <c r="A857" s="347">
        <f t="shared" ca="1" si="383"/>
        <v>1E-4</v>
      </c>
      <c r="B857" s="304">
        <f t="shared" ca="1" si="384"/>
        <v>47.125900000001231</v>
      </c>
      <c r="D857" s="306">
        <f t="shared" ca="1" si="385"/>
        <v>-0.32129237930758536</v>
      </c>
      <c r="E857" s="307">
        <f t="shared" ca="1" si="386"/>
        <v>-4.7478893505155995E-2</v>
      </c>
      <c r="F857" s="304">
        <f t="shared" ca="1" si="387"/>
        <v>0.3247815239966757</v>
      </c>
      <c r="G857" s="306">
        <f t="shared" ca="1" si="388"/>
        <v>4.0327203527565203</v>
      </c>
      <c r="H857" s="307">
        <f t="shared" ca="1" si="389"/>
        <v>-122.535843623327</v>
      </c>
      <c r="I857" s="304">
        <f t="shared" ca="1" si="390"/>
        <v>122.60218515966174</v>
      </c>
      <c r="J857" s="306">
        <f t="shared" ca="1" si="391"/>
        <v>677.64536374242232</v>
      </c>
      <c r="K857" s="307">
        <f t="shared" ca="1" si="392"/>
        <v>-12.867324751645473</v>
      </c>
      <c r="L857" s="304">
        <f t="shared" ca="1" si="377"/>
        <v>677.76751696128383</v>
      </c>
      <c r="M857" s="306">
        <f t="shared" ca="1" si="393"/>
        <v>-1.5378976644285882</v>
      </c>
      <c r="N857" s="304">
        <f t="shared" ca="1" si="394"/>
        <v>-88.115045494784653</v>
      </c>
      <c r="P857" s="310">
        <f t="shared" ca="1" si="395"/>
        <v>23</v>
      </c>
      <c r="Q857" s="304">
        <f t="shared" ca="1" si="396"/>
        <v>0</v>
      </c>
      <c r="R857" s="306">
        <f t="shared" ca="1" si="397"/>
        <v>0</v>
      </c>
      <c r="S857" s="307">
        <f t="shared" ca="1" si="398"/>
        <v>2.0842999999999985</v>
      </c>
      <c r="T857" s="304">
        <f t="shared" ca="1" si="378"/>
        <v>20.446982999999985</v>
      </c>
      <c r="U857" s="311">
        <f t="shared" ca="1" si="379"/>
        <v>0</v>
      </c>
      <c r="V857" s="306">
        <f t="shared" ca="1" si="380"/>
        <v>1.2265772620392204</v>
      </c>
      <c r="W857" s="304">
        <f t="shared" ca="1" si="381"/>
        <v>20.35906561499684</v>
      </c>
      <c r="Y857" s="314" t="str">
        <f t="shared" ca="1" si="399"/>
        <v/>
      </c>
      <c r="Z857" s="315" t="str">
        <f t="shared" ca="1" si="400"/>
        <v/>
      </c>
      <c r="AA857" s="316" t="str">
        <f t="shared" ca="1" si="401"/>
        <v/>
      </c>
      <c r="AC857" s="310" t="e">
        <f t="shared" ca="1" si="402"/>
        <v>#N/A</v>
      </c>
      <c r="AD857" s="323" t="e">
        <f t="shared" ca="1" si="403"/>
        <v>#N/A</v>
      </c>
      <c r="AE857" s="324" t="e">
        <f t="shared" ca="1" si="382"/>
        <v>#N/A</v>
      </c>
      <c r="AG857" s="306">
        <f t="shared" ca="1" si="404"/>
        <v>3.6884934266007363E-2</v>
      </c>
      <c r="AH857" s="304">
        <f t="shared" ca="1" si="405"/>
        <v>-9.7678066702693531</v>
      </c>
    </row>
    <row r="858" spans="1:34" x14ac:dyDescent="0.25">
      <c r="A858" s="347">
        <f t="shared" ca="1" si="383"/>
        <v>1E-4</v>
      </c>
      <c r="B858" s="304">
        <f t="shared" ca="1" si="384"/>
        <v>47.126000000001234</v>
      </c>
      <c r="D858" s="306">
        <f t="shared" ca="1" si="385"/>
        <v>-0.32129022290901832</v>
      </c>
      <c r="E858" s="307">
        <f t="shared" ca="1" si="386"/>
        <v>-4.7466258930489502E-2</v>
      </c>
      <c r="F858" s="304">
        <f t="shared" ca="1" si="387"/>
        <v>0.32477754398015724</v>
      </c>
      <c r="G858" s="306">
        <f t="shared" ca="1" si="388"/>
        <v>4.0326882237342296</v>
      </c>
      <c r="H858" s="307">
        <f t="shared" ca="1" si="389"/>
        <v>-122.53584836995289</v>
      </c>
      <c r="I858" s="304">
        <f t="shared" ca="1" si="390"/>
        <v>122.60218884691224</v>
      </c>
      <c r="J858" s="306">
        <f t="shared" ca="1" si="391"/>
        <v>677.64536374242232</v>
      </c>
      <c r="K858" s="307">
        <f t="shared" ca="1" si="392"/>
        <v>-12.879578336245137</v>
      </c>
      <c r="L858" s="304">
        <f t="shared" ca="1" si="377"/>
        <v>677.76774970466056</v>
      </c>
      <c r="M858" s="306">
        <f t="shared" ca="1" si="393"/>
        <v>-1.5378979276193736</v>
      </c>
      <c r="N858" s="304">
        <f t="shared" ca="1" si="394"/>
        <v>-88.115060574505861</v>
      </c>
      <c r="P858" s="310">
        <f t="shared" ca="1" si="395"/>
        <v>23</v>
      </c>
      <c r="Q858" s="304">
        <f t="shared" ca="1" si="396"/>
        <v>0</v>
      </c>
      <c r="R858" s="306">
        <f t="shared" ca="1" si="397"/>
        <v>0</v>
      </c>
      <c r="S858" s="307">
        <f t="shared" ca="1" si="398"/>
        <v>2.0842999999999985</v>
      </c>
      <c r="T858" s="304">
        <f t="shared" ca="1" si="378"/>
        <v>20.446982999999985</v>
      </c>
      <c r="U858" s="311">
        <f t="shared" ca="1" si="379"/>
        <v>0</v>
      </c>
      <c r="V858" s="306">
        <f t="shared" ca="1" si="380"/>
        <v>1.2265787650375888</v>
      </c>
      <c r="W858" s="304">
        <f t="shared" ca="1" si="381"/>
        <v>20.359091786771671</v>
      </c>
      <c r="Y858" s="314" t="str">
        <f t="shared" ca="1" si="399"/>
        <v/>
      </c>
      <c r="Z858" s="315" t="str">
        <f t="shared" ca="1" si="400"/>
        <v/>
      </c>
      <c r="AA858" s="316" t="str">
        <f t="shared" ca="1" si="401"/>
        <v/>
      </c>
      <c r="AC858" s="310" t="e">
        <f t="shared" ca="1" si="402"/>
        <v>#N/A</v>
      </c>
      <c r="AD858" s="323" t="e">
        <f t="shared" ca="1" si="403"/>
        <v>#N/A</v>
      </c>
      <c r="AE858" s="324" t="e">
        <f t="shared" ca="1" si="382"/>
        <v>#N/A</v>
      </c>
      <c r="AG858" s="306">
        <f t="shared" ca="1" si="404"/>
        <v>3.6872462385044713E-2</v>
      </c>
      <c r="AH858" s="304">
        <f t="shared" ca="1" si="405"/>
        <v>-9.7678192270771262</v>
      </c>
    </row>
    <row r="859" spans="1:34" x14ac:dyDescent="0.25">
      <c r="A859" s="347">
        <f t="shared" ca="1" si="383"/>
        <v>1E-4</v>
      </c>
      <c r="B859" s="304">
        <f t="shared" ca="1" si="384"/>
        <v>47.126100000001237</v>
      </c>
      <c r="D859" s="306">
        <f t="shared" ca="1" si="385"/>
        <v>-0.32128806651845593</v>
      </c>
      <c r="E859" s="307">
        <f t="shared" ca="1" si="386"/>
        <v>-4.7453624538992045E-2</v>
      </c>
      <c r="F859" s="304">
        <f t="shared" ca="1" si="387"/>
        <v>0.32477356445538386</v>
      </c>
      <c r="G859" s="306">
        <f t="shared" ca="1" si="388"/>
        <v>4.032656094927578</v>
      </c>
      <c r="H859" s="307">
        <f t="shared" ca="1" si="389"/>
        <v>-122.53585311531535</v>
      </c>
      <c r="I859" s="304">
        <f t="shared" ca="1" si="390"/>
        <v>122.60219253291555</v>
      </c>
      <c r="J859" s="306">
        <f t="shared" ca="1" si="391"/>
        <v>677.64536374242232</v>
      </c>
      <c r="K859" s="307">
        <f t="shared" ca="1" si="392"/>
        <v>-12.891831921319401</v>
      </c>
      <c r="L859" s="304">
        <f t="shared" ca="1" si="377"/>
        <v>677.76798266950277</v>
      </c>
      <c r="M859" s="306">
        <f t="shared" ca="1" si="393"/>
        <v>-1.5378981908080462</v>
      </c>
      <c r="N859" s="304">
        <f t="shared" ca="1" si="394"/>
        <v>-88.115075654106022</v>
      </c>
      <c r="P859" s="310">
        <f t="shared" ca="1" si="395"/>
        <v>23</v>
      </c>
      <c r="Q859" s="304">
        <f t="shared" ca="1" si="396"/>
        <v>0</v>
      </c>
      <c r="R859" s="306">
        <f t="shared" ca="1" si="397"/>
        <v>0</v>
      </c>
      <c r="S859" s="307">
        <f t="shared" ca="1" si="398"/>
        <v>2.0842999999999985</v>
      </c>
      <c r="T859" s="304">
        <f t="shared" ca="1" si="378"/>
        <v>20.446982999999985</v>
      </c>
      <c r="U859" s="311">
        <f t="shared" ca="1" si="379"/>
        <v>0</v>
      </c>
      <c r="V859" s="306">
        <f t="shared" ca="1" si="380"/>
        <v>1.2265802680378584</v>
      </c>
      <c r="W859" s="304">
        <f t="shared" ca="1" si="381"/>
        <v>20.359117958166884</v>
      </c>
      <c r="Y859" s="314" t="str">
        <f t="shared" ca="1" si="399"/>
        <v/>
      </c>
      <c r="Z859" s="315" t="str">
        <f t="shared" ca="1" si="400"/>
        <v/>
      </c>
      <c r="AA859" s="316" t="str">
        <f t="shared" ca="1" si="401"/>
        <v/>
      </c>
      <c r="AC859" s="310" t="e">
        <f t="shared" ca="1" si="402"/>
        <v>#N/A</v>
      </c>
      <c r="AD859" s="323" t="e">
        <f t="shared" ca="1" si="403"/>
        <v>#N/A</v>
      </c>
      <c r="AE859" s="324" t="e">
        <f t="shared" ca="1" si="382"/>
        <v>#N/A</v>
      </c>
      <c r="AG859" s="306">
        <f t="shared" ca="1" si="404"/>
        <v>3.6859990684847688E-2</v>
      </c>
      <c r="AH859" s="304">
        <f t="shared" ca="1" si="405"/>
        <v>-9.7678317837027713</v>
      </c>
    </row>
    <row r="860" spans="1:34" x14ac:dyDescent="0.25">
      <c r="A860" s="347">
        <f t="shared" ca="1" si="383"/>
        <v>1E-4</v>
      </c>
      <c r="B860" s="304">
        <f t="shared" ca="1" si="384"/>
        <v>47.126200000001241</v>
      </c>
      <c r="D860" s="306">
        <f t="shared" ca="1" si="385"/>
        <v>-0.32128591013590041</v>
      </c>
      <c r="E860" s="307">
        <f t="shared" ca="1" si="386"/>
        <v>-4.74409903306654E-2</v>
      </c>
      <c r="F860" s="304">
        <f t="shared" ca="1" si="387"/>
        <v>0.32476958542235473</v>
      </c>
      <c r="G860" s="306">
        <f t="shared" ca="1" si="388"/>
        <v>4.0326239663365646</v>
      </c>
      <c r="H860" s="307">
        <f t="shared" ca="1" si="389"/>
        <v>-122.53585785941438</v>
      </c>
      <c r="I860" s="304">
        <f t="shared" ca="1" si="390"/>
        <v>122.60219621767172</v>
      </c>
      <c r="J860" s="306">
        <f t="shared" ca="1" si="391"/>
        <v>677.64536374242232</v>
      </c>
      <c r="K860" s="307">
        <f t="shared" ca="1" si="392"/>
        <v>-12.904085506868137</v>
      </c>
      <c r="L860" s="304">
        <f t="shared" ca="1" si="377"/>
        <v>677.76821585581035</v>
      </c>
      <c r="M860" s="306">
        <f t="shared" ca="1" si="393"/>
        <v>-1.5378984539946061</v>
      </c>
      <c r="N860" s="304">
        <f t="shared" ca="1" si="394"/>
        <v>-88.115090733585134</v>
      </c>
      <c r="P860" s="310">
        <f t="shared" ca="1" si="395"/>
        <v>23</v>
      </c>
      <c r="Q860" s="304">
        <f t="shared" ca="1" si="396"/>
        <v>0</v>
      </c>
      <c r="R860" s="306">
        <f t="shared" ca="1" si="397"/>
        <v>0</v>
      </c>
      <c r="S860" s="307">
        <f t="shared" ca="1" si="398"/>
        <v>2.0842999999999985</v>
      </c>
      <c r="T860" s="304">
        <f t="shared" ca="1" si="378"/>
        <v>20.446982999999985</v>
      </c>
      <c r="U860" s="311">
        <f t="shared" ca="1" si="379"/>
        <v>0</v>
      </c>
      <c r="V860" s="306">
        <f t="shared" ca="1" si="380"/>
        <v>1.2265817710400289</v>
      </c>
      <c r="W860" s="304">
        <f t="shared" ca="1" si="381"/>
        <v>20.359144129182486</v>
      </c>
      <c r="Y860" s="314" t="str">
        <f t="shared" ca="1" si="399"/>
        <v/>
      </c>
      <c r="Z860" s="315" t="str">
        <f t="shared" ca="1" si="400"/>
        <v/>
      </c>
      <c r="AA860" s="316" t="str">
        <f t="shared" ca="1" si="401"/>
        <v/>
      </c>
      <c r="AC860" s="310" t="e">
        <f t="shared" ca="1" si="402"/>
        <v>#N/A</v>
      </c>
      <c r="AD860" s="323" t="e">
        <f t="shared" ca="1" si="403"/>
        <v>#N/A</v>
      </c>
      <c r="AE860" s="324" t="e">
        <f t="shared" ca="1" si="382"/>
        <v>#N/A</v>
      </c>
      <c r="AG860" s="306">
        <f t="shared" ca="1" si="404"/>
        <v>3.6847519165421616E-2</v>
      </c>
      <c r="AH860" s="304">
        <f t="shared" ca="1" si="405"/>
        <v>-9.7678443401462829</v>
      </c>
    </row>
    <row r="861" spans="1:34" x14ac:dyDescent="0.25">
      <c r="A861" s="347">
        <f t="shared" ca="1" si="383"/>
        <v>1E-4</v>
      </c>
      <c r="B861" s="304">
        <f t="shared" ca="1" si="384"/>
        <v>47.126300000001244</v>
      </c>
      <c r="D861" s="306">
        <f t="shared" ca="1" si="385"/>
        <v>-0.32128375376135215</v>
      </c>
      <c r="E861" s="307">
        <f t="shared" ca="1" si="386"/>
        <v>-4.7428356305506014E-2</v>
      </c>
      <c r="F861" s="304">
        <f t="shared" ca="1" si="387"/>
        <v>0.32476560688106615</v>
      </c>
      <c r="G861" s="306">
        <f t="shared" ca="1" si="388"/>
        <v>4.0325918379611885</v>
      </c>
      <c r="H861" s="307">
        <f t="shared" ca="1" si="389"/>
        <v>-122.53586260225001</v>
      </c>
      <c r="I861" s="304">
        <f t="shared" ca="1" si="390"/>
        <v>122.60219990118074</v>
      </c>
      <c r="J861" s="306">
        <f t="shared" ca="1" si="391"/>
        <v>677.64536374242232</v>
      </c>
      <c r="K861" s="307">
        <f t="shared" ca="1" si="392"/>
        <v>-12.916339092891221</v>
      </c>
      <c r="L861" s="304">
        <f t="shared" ca="1" si="377"/>
        <v>677.76844926358319</v>
      </c>
      <c r="M861" s="306">
        <f t="shared" ca="1" si="393"/>
        <v>-1.5378987171790535</v>
      </c>
      <c r="N861" s="304">
        <f t="shared" ca="1" si="394"/>
        <v>-88.115105812943199</v>
      </c>
      <c r="P861" s="310">
        <f t="shared" ca="1" si="395"/>
        <v>23</v>
      </c>
      <c r="Q861" s="304">
        <f t="shared" ca="1" si="396"/>
        <v>0</v>
      </c>
      <c r="R861" s="306">
        <f t="shared" ca="1" si="397"/>
        <v>0</v>
      </c>
      <c r="S861" s="307">
        <f t="shared" ca="1" si="398"/>
        <v>2.0842999999999985</v>
      </c>
      <c r="T861" s="304">
        <f t="shared" ca="1" si="378"/>
        <v>20.446982999999985</v>
      </c>
      <c r="U861" s="311">
        <f t="shared" ca="1" si="379"/>
        <v>0</v>
      </c>
      <c r="V861" s="306">
        <f t="shared" ca="1" si="380"/>
        <v>1.2265832740441009</v>
      </c>
      <c r="W861" s="304">
        <f t="shared" ca="1" si="381"/>
        <v>20.359170299818491</v>
      </c>
      <c r="Y861" s="314" t="str">
        <f t="shared" ca="1" si="399"/>
        <v/>
      </c>
      <c r="Z861" s="315" t="str">
        <f t="shared" ca="1" si="400"/>
        <v/>
      </c>
      <c r="AA861" s="316" t="str">
        <f t="shared" ca="1" si="401"/>
        <v/>
      </c>
      <c r="AC861" s="310" t="e">
        <f t="shared" ca="1" si="402"/>
        <v>#N/A</v>
      </c>
      <c r="AD861" s="323" t="e">
        <f t="shared" ca="1" si="403"/>
        <v>#N/A</v>
      </c>
      <c r="AE861" s="324" t="e">
        <f t="shared" ca="1" si="382"/>
        <v>#N/A</v>
      </c>
      <c r="AG861" s="306">
        <f t="shared" ca="1" si="404"/>
        <v>3.6835047826766498E-2</v>
      </c>
      <c r="AH861" s="304">
        <f t="shared" ca="1" si="405"/>
        <v>-9.7678568964076664</v>
      </c>
    </row>
    <row r="862" spans="1:34" x14ac:dyDescent="0.25">
      <c r="A862" s="347">
        <f t="shared" ca="1" si="383"/>
        <v>1E-4</v>
      </c>
      <c r="B862" s="304">
        <f t="shared" ca="1" si="384"/>
        <v>47.126400000001247</v>
      </c>
      <c r="D862" s="306">
        <f t="shared" ca="1" si="385"/>
        <v>-0.32128159739480933</v>
      </c>
      <c r="E862" s="307">
        <f t="shared" ca="1" si="386"/>
        <v>-4.7415722463506782E-2</v>
      </c>
      <c r="F862" s="304">
        <f t="shared" ca="1" si="387"/>
        <v>0.32476162883151183</v>
      </c>
      <c r="G862" s="306">
        <f t="shared" ca="1" si="388"/>
        <v>4.0325597098014487</v>
      </c>
      <c r="H862" s="307">
        <f t="shared" ca="1" si="389"/>
        <v>-122.53586734382225</v>
      </c>
      <c r="I862" s="304">
        <f t="shared" ca="1" si="390"/>
        <v>122.60220358344264</v>
      </c>
      <c r="J862" s="306">
        <f t="shared" ca="1" si="391"/>
        <v>677.64536374242232</v>
      </c>
      <c r="K862" s="307">
        <f t="shared" ca="1" si="392"/>
        <v>-12.928592679388524</v>
      </c>
      <c r="L862" s="304">
        <f t="shared" ca="1" si="377"/>
        <v>677.76868289282106</v>
      </c>
      <c r="M862" s="306">
        <f t="shared" ca="1" si="393"/>
        <v>-1.5378989803613881</v>
      </c>
      <c r="N862" s="304">
        <f t="shared" ca="1" si="394"/>
        <v>-88.115120892180215</v>
      </c>
      <c r="P862" s="310">
        <f t="shared" ca="1" si="395"/>
        <v>23</v>
      </c>
      <c r="Q862" s="304">
        <f t="shared" ca="1" si="396"/>
        <v>0</v>
      </c>
      <c r="R862" s="306">
        <f t="shared" ca="1" si="397"/>
        <v>0</v>
      </c>
      <c r="S862" s="307">
        <f t="shared" ca="1" si="398"/>
        <v>2.0842999999999985</v>
      </c>
      <c r="T862" s="304">
        <f t="shared" ca="1" si="378"/>
        <v>20.446982999999985</v>
      </c>
      <c r="U862" s="311">
        <f t="shared" ca="1" si="379"/>
        <v>0</v>
      </c>
      <c r="V862" s="306">
        <f t="shared" ca="1" si="380"/>
        <v>1.2265847770500737</v>
      </c>
      <c r="W862" s="304">
        <f t="shared" ca="1" si="381"/>
        <v>20.359196470074888</v>
      </c>
      <c r="Y862" s="314" t="str">
        <f t="shared" ca="1" si="399"/>
        <v/>
      </c>
      <c r="Z862" s="315" t="str">
        <f t="shared" ca="1" si="400"/>
        <v/>
      </c>
      <c r="AA862" s="316" t="str">
        <f t="shared" ca="1" si="401"/>
        <v/>
      </c>
      <c r="AC862" s="310" t="e">
        <f t="shared" ca="1" si="402"/>
        <v>#N/A</v>
      </c>
      <c r="AD862" s="323" t="e">
        <f t="shared" ca="1" si="403"/>
        <v>#N/A</v>
      </c>
      <c r="AE862" s="324" t="e">
        <f t="shared" ca="1" si="382"/>
        <v>#N/A</v>
      </c>
      <c r="AG862" s="306">
        <f t="shared" ca="1" si="404"/>
        <v>3.6822576668868123E-2</v>
      </c>
      <c r="AH862" s="304">
        <f t="shared" ca="1" si="405"/>
        <v>-9.7678694524869289</v>
      </c>
    </row>
    <row r="863" spans="1:34" x14ac:dyDescent="0.25">
      <c r="A863" s="347">
        <f t="shared" ca="1" si="383"/>
        <v>1E-4</v>
      </c>
      <c r="B863" s="304">
        <f t="shared" ca="1" si="384"/>
        <v>47.126500000001251</v>
      </c>
      <c r="D863" s="306">
        <f t="shared" ca="1" si="385"/>
        <v>-0.32127944103627437</v>
      </c>
      <c r="E863" s="307">
        <f t="shared" ca="1" si="386"/>
        <v>-4.7403088804674809E-2</v>
      </c>
      <c r="F863" s="304">
        <f t="shared" ca="1" si="387"/>
        <v>0.32475765127369177</v>
      </c>
      <c r="G863" s="306">
        <f t="shared" ca="1" si="388"/>
        <v>4.0325275818573454</v>
      </c>
      <c r="H863" s="307">
        <f t="shared" ca="1" si="389"/>
        <v>-122.53587208413113</v>
      </c>
      <c r="I863" s="304">
        <f t="shared" ca="1" si="390"/>
        <v>122.60220726445748</v>
      </c>
      <c r="J863" s="306">
        <f t="shared" ca="1" si="391"/>
        <v>677.64536374242232</v>
      </c>
      <c r="K863" s="307">
        <f t="shared" ca="1" si="392"/>
        <v>-12.940846266359921</v>
      </c>
      <c r="L863" s="304">
        <f t="shared" ca="1" si="377"/>
        <v>677.76891674352362</v>
      </c>
      <c r="M863" s="306">
        <f t="shared" ca="1" si="393"/>
        <v>-1.5378992435416101</v>
      </c>
      <c r="N863" s="304">
        <f t="shared" ca="1" si="394"/>
        <v>-88.115135971296183</v>
      </c>
      <c r="P863" s="310">
        <f t="shared" ca="1" si="395"/>
        <v>23</v>
      </c>
      <c r="Q863" s="304">
        <f t="shared" ca="1" si="396"/>
        <v>0</v>
      </c>
      <c r="R863" s="306">
        <f t="shared" ca="1" si="397"/>
        <v>0</v>
      </c>
      <c r="S863" s="307">
        <f t="shared" ca="1" si="398"/>
        <v>2.0842999999999985</v>
      </c>
      <c r="T863" s="304">
        <f t="shared" ca="1" si="378"/>
        <v>20.446982999999985</v>
      </c>
      <c r="U863" s="311">
        <f t="shared" ca="1" si="379"/>
        <v>0</v>
      </c>
      <c r="V863" s="306">
        <f t="shared" ca="1" si="380"/>
        <v>1.2265862800579475</v>
      </c>
      <c r="W863" s="304">
        <f t="shared" ca="1" si="381"/>
        <v>20.359222639951692</v>
      </c>
      <c r="Y863" s="314" t="str">
        <f t="shared" ca="1" si="399"/>
        <v/>
      </c>
      <c r="Z863" s="315" t="str">
        <f t="shared" ca="1" si="400"/>
        <v/>
      </c>
      <c r="AA863" s="316" t="str">
        <f t="shared" ca="1" si="401"/>
        <v/>
      </c>
      <c r="AC863" s="310" t="e">
        <f t="shared" ca="1" si="402"/>
        <v>#N/A</v>
      </c>
      <c r="AD863" s="323" t="e">
        <f t="shared" ca="1" si="403"/>
        <v>#N/A</v>
      </c>
      <c r="AE863" s="324" t="e">
        <f t="shared" ca="1" si="382"/>
        <v>#N/A</v>
      </c>
      <c r="AG863" s="306">
        <f t="shared" ca="1" si="404"/>
        <v>3.6810105691738926E-2</v>
      </c>
      <c r="AH863" s="304">
        <f t="shared" ca="1" si="405"/>
        <v>-9.7678820083840634</v>
      </c>
    </row>
    <row r="864" spans="1:34" x14ac:dyDescent="0.25">
      <c r="A864" s="347">
        <f t="shared" ca="1" si="383"/>
        <v>1E-4</v>
      </c>
      <c r="B864" s="304">
        <f t="shared" ca="1" si="384"/>
        <v>47.126600000001254</v>
      </c>
      <c r="D864" s="306">
        <f t="shared" ca="1" si="385"/>
        <v>-0.32127728468574535</v>
      </c>
      <c r="E864" s="307">
        <f t="shared" ca="1" si="386"/>
        <v>-4.739045532900299E-2</v>
      </c>
      <c r="F864" s="304">
        <f t="shared" ca="1" si="387"/>
        <v>0.32475367420759954</v>
      </c>
      <c r="G864" s="306">
        <f t="shared" ca="1" si="388"/>
        <v>4.0324954541288767</v>
      </c>
      <c r="H864" s="307">
        <f t="shared" ca="1" si="389"/>
        <v>-122.53587682317666</v>
      </c>
      <c r="I864" s="304">
        <f t="shared" ca="1" si="390"/>
        <v>122.60221094422521</v>
      </c>
      <c r="J864" s="306">
        <f t="shared" ca="1" si="391"/>
        <v>677.64536374242232</v>
      </c>
      <c r="K864" s="307">
        <f t="shared" ca="1" si="392"/>
        <v>-12.953099853805286</v>
      </c>
      <c r="L864" s="304">
        <f t="shared" ca="1" si="377"/>
        <v>677.76915081569075</v>
      </c>
      <c r="M864" s="306">
        <f t="shared" ca="1" si="393"/>
        <v>-1.5378995067197194</v>
      </c>
      <c r="N864" s="304">
        <f t="shared" ca="1" si="394"/>
        <v>-88.115151050291104</v>
      </c>
      <c r="P864" s="310">
        <f t="shared" ca="1" si="395"/>
        <v>23</v>
      </c>
      <c r="Q864" s="304">
        <f t="shared" ca="1" si="396"/>
        <v>0</v>
      </c>
      <c r="R864" s="306">
        <f t="shared" ca="1" si="397"/>
        <v>0</v>
      </c>
      <c r="S864" s="307">
        <f t="shared" ca="1" si="398"/>
        <v>2.0842999999999985</v>
      </c>
      <c r="T864" s="304">
        <f t="shared" ca="1" si="378"/>
        <v>20.446982999999985</v>
      </c>
      <c r="U864" s="311">
        <f t="shared" ca="1" si="379"/>
        <v>0</v>
      </c>
      <c r="V864" s="306">
        <f t="shared" ca="1" si="380"/>
        <v>1.2265877830677225</v>
      </c>
      <c r="W864" s="304">
        <f t="shared" ca="1" si="381"/>
        <v>20.359248809448911</v>
      </c>
      <c r="Y864" s="314" t="str">
        <f t="shared" ca="1" si="399"/>
        <v/>
      </c>
      <c r="Z864" s="315" t="str">
        <f t="shared" ca="1" si="400"/>
        <v/>
      </c>
      <c r="AA864" s="316" t="str">
        <f t="shared" ca="1" si="401"/>
        <v/>
      </c>
      <c r="AC864" s="310" t="e">
        <f t="shared" ca="1" si="402"/>
        <v>#N/A</v>
      </c>
      <c r="AD864" s="323" t="e">
        <f t="shared" ca="1" si="403"/>
        <v>#N/A</v>
      </c>
      <c r="AE864" s="324" t="e">
        <f t="shared" ca="1" si="382"/>
        <v>#N/A</v>
      </c>
      <c r="AG864" s="306">
        <f t="shared" ca="1" si="404"/>
        <v>3.6797634895370024E-2</v>
      </c>
      <c r="AH864" s="304">
        <f t="shared" ca="1" si="405"/>
        <v>-9.7678945640990769</v>
      </c>
    </row>
    <row r="865" spans="1:34" x14ac:dyDescent="0.25">
      <c r="A865" s="347">
        <f t="shared" ca="1" si="383"/>
        <v>1E-4</v>
      </c>
      <c r="B865" s="304">
        <f t="shared" ca="1" si="384"/>
        <v>47.126700000001257</v>
      </c>
      <c r="D865" s="306">
        <f t="shared" ca="1" si="385"/>
        <v>-0.32127512834322486</v>
      </c>
      <c r="E865" s="307">
        <f t="shared" ca="1" si="386"/>
        <v>-4.7377822036487771E-2</v>
      </c>
      <c r="F865" s="304">
        <f t="shared" ca="1" si="387"/>
        <v>0.32474969763323369</v>
      </c>
      <c r="G865" s="306">
        <f t="shared" ca="1" si="388"/>
        <v>4.0324633266160426</v>
      </c>
      <c r="H865" s="307">
        <f t="shared" ca="1" si="389"/>
        <v>-122.53588156095887</v>
      </c>
      <c r="I865" s="304">
        <f t="shared" ca="1" si="390"/>
        <v>122.60221462274588</v>
      </c>
      <c r="J865" s="306">
        <f t="shared" ca="1" si="391"/>
        <v>677.64536374242232</v>
      </c>
      <c r="K865" s="307">
        <f t="shared" ca="1" si="392"/>
        <v>-12.965353441724492</v>
      </c>
      <c r="L865" s="304">
        <f t="shared" ca="1" si="377"/>
        <v>677.76938510932223</v>
      </c>
      <c r="M865" s="306">
        <f t="shared" ca="1" si="393"/>
        <v>-1.5378997698957164</v>
      </c>
      <c r="N865" s="304">
        <f t="shared" ca="1" si="394"/>
        <v>-88.115166129165004</v>
      </c>
      <c r="P865" s="310">
        <f t="shared" ca="1" si="395"/>
        <v>23</v>
      </c>
      <c r="Q865" s="304">
        <f t="shared" ca="1" si="396"/>
        <v>0</v>
      </c>
      <c r="R865" s="306">
        <f t="shared" ca="1" si="397"/>
        <v>0</v>
      </c>
      <c r="S865" s="307">
        <f t="shared" ca="1" si="398"/>
        <v>2.0842999999999985</v>
      </c>
      <c r="T865" s="304">
        <f t="shared" ca="1" si="378"/>
        <v>20.446982999999985</v>
      </c>
      <c r="U865" s="311">
        <f t="shared" ca="1" si="379"/>
        <v>0</v>
      </c>
      <c r="V865" s="306">
        <f t="shared" ca="1" si="380"/>
        <v>1.2265892860793981</v>
      </c>
      <c r="W865" s="304">
        <f t="shared" ca="1" si="381"/>
        <v>20.359274978566525</v>
      </c>
      <c r="Y865" s="314" t="str">
        <f t="shared" ca="1" si="399"/>
        <v/>
      </c>
      <c r="Z865" s="315" t="str">
        <f t="shared" ca="1" si="400"/>
        <v/>
      </c>
      <c r="AA865" s="316" t="str">
        <f t="shared" ca="1" si="401"/>
        <v/>
      </c>
      <c r="AC865" s="310" t="e">
        <f t="shared" ca="1" si="402"/>
        <v>#N/A</v>
      </c>
      <c r="AD865" s="323" t="e">
        <f t="shared" ca="1" si="403"/>
        <v>#N/A</v>
      </c>
      <c r="AE865" s="324" t="e">
        <f t="shared" ca="1" si="382"/>
        <v>#N/A</v>
      </c>
      <c r="AG865" s="306">
        <f t="shared" ca="1" si="404"/>
        <v>3.6785164279754312E-2</v>
      </c>
      <c r="AH865" s="304">
        <f t="shared" ca="1" si="405"/>
        <v>-9.7679071196319747</v>
      </c>
    </row>
    <row r="866" spans="1:34" x14ac:dyDescent="0.25">
      <c r="A866" s="347">
        <f t="shared" ca="1" si="383"/>
        <v>1E-4</v>
      </c>
      <c r="B866" s="304">
        <f t="shared" ca="1" si="384"/>
        <v>47.126800000001261</v>
      </c>
      <c r="D866" s="306">
        <f t="shared" ca="1" si="385"/>
        <v>-0.32127297200870858</v>
      </c>
      <c r="E866" s="307">
        <f t="shared" ca="1" si="386"/>
        <v>-4.7365188927134483E-2</v>
      </c>
      <c r="F866" s="304">
        <f t="shared" ca="1" si="387"/>
        <v>0.32474572155058734</v>
      </c>
      <c r="G866" s="306">
        <f t="shared" ca="1" si="388"/>
        <v>4.0324311993188413</v>
      </c>
      <c r="H866" s="307">
        <f t="shared" ca="1" si="389"/>
        <v>-122.53588629747776</v>
      </c>
      <c r="I866" s="304">
        <f t="shared" ca="1" si="390"/>
        <v>122.60221830001952</v>
      </c>
      <c r="J866" s="306">
        <f t="shared" ca="1" si="391"/>
        <v>677.64536374242232</v>
      </c>
      <c r="K866" s="307">
        <f t="shared" ca="1" si="392"/>
        <v>-12.977607030117413</v>
      </c>
      <c r="L866" s="304">
        <f t="shared" ca="1" si="377"/>
        <v>677.76961962441783</v>
      </c>
      <c r="M866" s="306">
        <f t="shared" ca="1" si="393"/>
        <v>-1.5379000330696007</v>
      </c>
      <c r="N866" s="304">
        <f t="shared" ca="1" si="394"/>
        <v>-88.115181207917857</v>
      </c>
      <c r="P866" s="310">
        <f t="shared" ca="1" si="395"/>
        <v>23</v>
      </c>
      <c r="Q866" s="304">
        <f t="shared" ca="1" si="396"/>
        <v>0</v>
      </c>
      <c r="R866" s="306">
        <f t="shared" ca="1" si="397"/>
        <v>0</v>
      </c>
      <c r="S866" s="307">
        <f t="shared" ca="1" si="398"/>
        <v>2.0842999999999985</v>
      </c>
      <c r="T866" s="304">
        <f t="shared" ca="1" si="378"/>
        <v>20.446982999999985</v>
      </c>
      <c r="U866" s="311">
        <f t="shared" ca="1" si="379"/>
        <v>0</v>
      </c>
      <c r="V866" s="306">
        <f t="shared" ca="1" si="380"/>
        <v>1.226590789092975</v>
      </c>
      <c r="W866" s="304">
        <f t="shared" ca="1" si="381"/>
        <v>20.359301147304571</v>
      </c>
      <c r="Y866" s="314" t="str">
        <f t="shared" ca="1" si="399"/>
        <v/>
      </c>
      <c r="Z866" s="315" t="str">
        <f t="shared" ca="1" si="400"/>
        <v/>
      </c>
      <c r="AA866" s="316" t="str">
        <f t="shared" ca="1" si="401"/>
        <v/>
      </c>
      <c r="AC866" s="310" t="e">
        <f t="shared" ca="1" si="402"/>
        <v>#N/A</v>
      </c>
      <c r="AD866" s="323" t="e">
        <f t="shared" ca="1" si="403"/>
        <v>#N/A</v>
      </c>
      <c r="AE866" s="324" t="e">
        <f t="shared" ca="1" si="382"/>
        <v>#N/A</v>
      </c>
      <c r="AG866" s="306">
        <f t="shared" ca="1" si="404"/>
        <v>3.6772693844906001E-2</v>
      </c>
      <c r="AH866" s="304">
        <f t="shared" ca="1" si="405"/>
        <v>-9.7679196749827462</v>
      </c>
    </row>
    <row r="867" spans="1:34" x14ac:dyDescent="0.25">
      <c r="A867" s="347">
        <f t="shared" ca="1" si="383"/>
        <v>1E-4</v>
      </c>
      <c r="B867" s="304">
        <f t="shared" ca="1" si="384"/>
        <v>47.126900000001264</v>
      </c>
      <c r="D867" s="306">
        <f t="shared" ca="1" si="385"/>
        <v>-0.32127081568220156</v>
      </c>
      <c r="E867" s="307">
        <f t="shared" ca="1" si="386"/>
        <v>-4.7352556000928914E-2</v>
      </c>
      <c r="F867" s="304">
        <f t="shared" ca="1" si="387"/>
        <v>0.32474174595965982</v>
      </c>
      <c r="G867" s="306">
        <f t="shared" ca="1" si="388"/>
        <v>4.0323990722372729</v>
      </c>
      <c r="H867" s="307">
        <f t="shared" ca="1" si="389"/>
        <v>-122.53589103273336</v>
      </c>
      <c r="I867" s="304">
        <f t="shared" ca="1" si="390"/>
        <v>122.60222197604611</v>
      </c>
      <c r="J867" s="306">
        <f t="shared" ca="1" si="391"/>
        <v>677.64536374242232</v>
      </c>
      <c r="K867" s="307">
        <f t="shared" ca="1" si="392"/>
        <v>-12.989860618983924</v>
      </c>
      <c r="L867" s="304">
        <f t="shared" ca="1" si="377"/>
        <v>677.76985436097743</v>
      </c>
      <c r="M867" s="306">
        <f t="shared" ca="1" si="393"/>
        <v>-1.5379002962413724</v>
      </c>
      <c r="N867" s="304">
        <f t="shared" ca="1" si="394"/>
        <v>-88.115196286549661</v>
      </c>
      <c r="P867" s="310">
        <f t="shared" ca="1" si="395"/>
        <v>23</v>
      </c>
      <c r="Q867" s="304">
        <f t="shared" ca="1" si="396"/>
        <v>0</v>
      </c>
      <c r="R867" s="306">
        <f t="shared" ca="1" si="397"/>
        <v>0</v>
      </c>
      <c r="S867" s="307">
        <f t="shared" ca="1" si="398"/>
        <v>2.0842999999999985</v>
      </c>
      <c r="T867" s="304">
        <f t="shared" ca="1" si="378"/>
        <v>20.446982999999985</v>
      </c>
      <c r="U867" s="311">
        <f t="shared" ca="1" si="379"/>
        <v>0</v>
      </c>
      <c r="V867" s="306">
        <f t="shared" ca="1" si="380"/>
        <v>1.2265922921084536</v>
      </c>
      <c r="W867" s="304">
        <f t="shared" ca="1" si="381"/>
        <v>20.359327315663037</v>
      </c>
      <c r="Y867" s="314" t="str">
        <f t="shared" ca="1" si="399"/>
        <v/>
      </c>
      <c r="Z867" s="315" t="str">
        <f t="shared" ca="1" si="400"/>
        <v/>
      </c>
      <c r="AA867" s="316" t="str">
        <f t="shared" ca="1" si="401"/>
        <v/>
      </c>
      <c r="AC867" s="310" t="e">
        <f t="shared" ca="1" si="402"/>
        <v>#N/A</v>
      </c>
      <c r="AD867" s="323" t="e">
        <f t="shared" ca="1" si="403"/>
        <v>#N/A</v>
      </c>
      <c r="AE867" s="324" t="e">
        <f t="shared" ca="1" si="382"/>
        <v>#N/A</v>
      </c>
      <c r="AG867" s="306">
        <f t="shared" ca="1" si="404"/>
        <v>3.6760223590803776E-2</v>
      </c>
      <c r="AH867" s="304">
        <f t="shared" ca="1" si="405"/>
        <v>-9.7679322301514109</v>
      </c>
    </row>
    <row r="868" spans="1:34" x14ac:dyDescent="0.25">
      <c r="A868" s="347">
        <f t="shared" ca="1" si="383"/>
        <v>1E-4</v>
      </c>
      <c r="B868" s="304">
        <f t="shared" ca="1" si="384"/>
        <v>47.127000000001267</v>
      </c>
      <c r="D868" s="306">
        <f t="shared" ca="1" si="385"/>
        <v>-0.32126865936370164</v>
      </c>
      <c r="E868" s="307">
        <f t="shared" ca="1" si="386"/>
        <v>-4.7339923257874617E-2</v>
      </c>
      <c r="F868" s="304">
        <f t="shared" ca="1" si="387"/>
        <v>0.32473777086044614</v>
      </c>
      <c r="G868" s="306">
        <f t="shared" ca="1" si="388"/>
        <v>4.0323669453713364</v>
      </c>
      <c r="H868" s="307">
        <f t="shared" ca="1" si="389"/>
        <v>-122.53589576672569</v>
      </c>
      <c r="I868" s="304">
        <f t="shared" ca="1" si="390"/>
        <v>122.6022256508257</v>
      </c>
      <c r="J868" s="306">
        <f t="shared" ca="1" si="391"/>
        <v>677.64536374242232</v>
      </c>
      <c r="K868" s="307">
        <f t="shared" ca="1" si="392"/>
        <v>-13.002114208323897</v>
      </c>
      <c r="L868" s="304">
        <f t="shared" ca="1" si="377"/>
        <v>677.7700893190007</v>
      </c>
      <c r="M868" s="306">
        <f t="shared" ca="1" si="393"/>
        <v>-1.5379005594110318</v>
      </c>
      <c r="N868" s="304">
        <f t="shared" ca="1" si="394"/>
        <v>-88.115211365060432</v>
      </c>
      <c r="P868" s="310">
        <f t="shared" ca="1" si="395"/>
        <v>23</v>
      </c>
      <c r="Q868" s="304">
        <f t="shared" ca="1" si="396"/>
        <v>0</v>
      </c>
      <c r="R868" s="306">
        <f t="shared" ca="1" si="397"/>
        <v>0</v>
      </c>
      <c r="S868" s="307">
        <f t="shared" ca="1" si="398"/>
        <v>2.0842999999999985</v>
      </c>
      <c r="T868" s="304">
        <f t="shared" ca="1" si="378"/>
        <v>20.446982999999985</v>
      </c>
      <c r="U868" s="311">
        <f t="shared" ca="1" si="379"/>
        <v>0</v>
      </c>
      <c r="V868" s="306">
        <f t="shared" ca="1" si="380"/>
        <v>1.2265937951258323</v>
      </c>
      <c r="W868" s="304">
        <f t="shared" ca="1" si="381"/>
        <v>20.359353483641918</v>
      </c>
      <c r="Y868" s="314" t="str">
        <f t="shared" ca="1" si="399"/>
        <v/>
      </c>
      <c r="Z868" s="315" t="str">
        <f t="shared" ca="1" si="400"/>
        <v/>
      </c>
      <c r="AA868" s="316" t="str">
        <f t="shared" ca="1" si="401"/>
        <v/>
      </c>
      <c r="AC868" s="310" t="e">
        <f t="shared" ca="1" si="402"/>
        <v>#N/A</v>
      </c>
      <c r="AD868" s="323" t="e">
        <f t="shared" ca="1" si="403"/>
        <v>#N/A</v>
      </c>
      <c r="AE868" s="324" t="e">
        <f t="shared" ca="1" si="382"/>
        <v>#N/A</v>
      </c>
      <c r="AG868" s="306">
        <f t="shared" ca="1" si="404"/>
        <v>3.6747753517452963E-2</v>
      </c>
      <c r="AH868" s="304">
        <f t="shared" ca="1" si="405"/>
        <v>-9.7679447851379617</v>
      </c>
    </row>
    <row r="869" spans="1:34" x14ac:dyDescent="0.25">
      <c r="A869" s="347">
        <f t="shared" ca="1" si="383"/>
        <v>1E-4</v>
      </c>
      <c r="B869" s="304">
        <f t="shared" ca="1" si="384"/>
        <v>47.127100000001271</v>
      </c>
      <c r="D869" s="306">
        <f t="shared" ca="1" si="385"/>
        <v>-0.32126650305320681</v>
      </c>
      <c r="E869" s="307">
        <f t="shared" ca="1" si="386"/>
        <v>-4.7327290697978697E-2</v>
      </c>
      <c r="F869" s="304">
        <f t="shared" ca="1" si="387"/>
        <v>0.3247337962529418</v>
      </c>
      <c r="G869" s="306">
        <f t="shared" ca="1" si="388"/>
        <v>4.0323348187210311</v>
      </c>
      <c r="H869" s="307">
        <f t="shared" ca="1" si="389"/>
        <v>-122.53590049945475</v>
      </c>
      <c r="I869" s="304">
        <f t="shared" ca="1" si="390"/>
        <v>122.60222932435832</v>
      </c>
      <c r="J869" s="306">
        <f t="shared" ca="1" si="391"/>
        <v>677.64536374242232</v>
      </c>
      <c r="K869" s="307">
        <f t="shared" ca="1" si="392"/>
        <v>-13.014367798137206</v>
      </c>
      <c r="L869" s="304">
        <f t="shared" ca="1" si="377"/>
        <v>677.77032449848753</v>
      </c>
      <c r="M869" s="306">
        <f t="shared" ca="1" si="393"/>
        <v>-1.5379008225785784</v>
      </c>
      <c r="N869" s="304">
        <f t="shared" ca="1" si="394"/>
        <v>-88.115226443450169</v>
      </c>
      <c r="P869" s="310">
        <f t="shared" ca="1" si="395"/>
        <v>23</v>
      </c>
      <c r="Q869" s="304">
        <f t="shared" ca="1" si="396"/>
        <v>0</v>
      </c>
      <c r="R869" s="306">
        <f t="shared" ca="1" si="397"/>
        <v>0</v>
      </c>
      <c r="S869" s="307">
        <f t="shared" ca="1" si="398"/>
        <v>2.0842999999999985</v>
      </c>
      <c r="T869" s="304">
        <f t="shared" ca="1" si="378"/>
        <v>20.446982999999985</v>
      </c>
      <c r="U869" s="311">
        <f t="shared" ca="1" si="379"/>
        <v>0</v>
      </c>
      <c r="V869" s="306">
        <f t="shared" ca="1" si="380"/>
        <v>1.226595298145112</v>
      </c>
      <c r="W869" s="304">
        <f t="shared" ca="1" si="381"/>
        <v>20.359379651241241</v>
      </c>
      <c r="Y869" s="314" t="str">
        <f t="shared" ca="1" si="399"/>
        <v/>
      </c>
      <c r="Z869" s="315" t="str">
        <f t="shared" ca="1" si="400"/>
        <v/>
      </c>
      <c r="AA869" s="316" t="str">
        <f t="shared" ca="1" si="401"/>
        <v/>
      </c>
      <c r="AC869" s="310" t="e">
        <f t="shared" ca="1" si="402"/>
        <v>#N/A</v>
      </c>
      <c r="AD869" s="323" t="e">
        <f t="shared" ca="1" si="403"/>
        <v>#N/A</v>
      </c>
      <c r="AE869" s="324" t="e">
        <f t="shared" ca="1" si="382"/>
        <v>#N/A</v>
      </c>
      <c r="AG869" s="306">
        <f t="shared" ca="1" si="404"/>
        <v>3.6735283624858894E-2</v>
      </c>
      <c r="AH869" s="304">
        <f t="shared" ca="1" si="405"/>
        <v>-9.7679573399423951</v>
      </c>
    </row>
    <row r="870" spans="1:34" x14ac:dyDescent="0.25">
      <c r="A870" s="347">
        <f t="shared" ca="1" si="383"/>
        <v>1E-4</v>
      </c>
      <c r="B870" s="304">
        <f t="shared" ca="1" si="384"/>
        <v>47.127200000001274</v>
      </c>
      <c r="D870" s="306">
        <f t="shared" ca="1" si="385"/>
        <v>-0.32126434675072213</v>
      </c>
      <c r="E870" s="307">
        <f t="shared" ca="1" si="386"/>
        <v>-4.7314658321223391E-2</v>
      </c>
      <c r="F870" s="304">
        <f t="shared" ca="1" si="387"/>
        <v>0.3247298221371458</v>
      </c>
      <c r="G870" s="306">
        <f t="shared" ca="1" si="388"/>
        <v>4.0323026922863558</v>
      </c>
      <c r="H870" s="307">
        <f t="shared" ca="1" si="389"/>
        <v>-122.53590523092059</v>
      </c>
      <c r="I870" s="304">
        <f t="shared" ca="1" si="390"/>
        <v>122.60223299664395</v>
      </c>
      <c r="J870" s="306">
        <f t="shared" ca="1" si="391"/>
        <v>677.64536374242232</v>
      </c>
      <c r="K870" s="307">
        <f t="shared" ca="1" si="392"/>
        <v>-13.026621388423726</v>
      </c>
      <c r="L870" s="304">
        <f t="shared" ca="1" si="377"/>
        <v>677.77055989943756</v>
      </c>
      <c r="M870" s="306">
        <f t="shared" ca="1" si="393"/>
        <v>-1.5379010857440127</v>
      </c>
      <c r="N870" s="304">
        <f t="shared" ca="1" si="394"/>
        <v>-88.115241521718872</v>
      </c>
      <c r="P870" s="310">
        <f t="shared" ca="1" si="395"/>
        <v>23</v>
      </c>
      <c r="Q870" s="304">
        <f t="shared" ca="1" si="396"/>
        <v>0</v>
      </c>
      <c r="R870" s="306">
        <f t="shared" ca="1" si="397"/>
        <v>0</v>
      </c>
      <c r="S870" s="307">
        <f t="shared" ca="1" si="398"/>
        <v>2.0842999999999985</v>
      </c>
      <c r="T870" s="304">
        <f t="shared" ca="1" si="378"/>
        <v>20.446982999999985</v>
      </c>
      <c r="U870" s="311">
        <f t="shared" ca="1" si="379"/>
        <v>0</v>
      </c>
      <c r="V870" s="306">
        <f t="shared" ca="1" si="380"/>
        <v>1.2265968011662933</v>
      </c>
      <c r="W870" s="304">
        <f t="shared" ca="1" si="381"/>
        <v>20.359405818460992</v>
      </c>
      <c r="Y870" s="314" t="str">
        <f t="shared" ca="1" si="399"/>
        <v/>
      </c>
      <c r="Z870" s="315" t="str">
        <f t="shared" ca="1" si="400"/>
        <v/>
      </c>
      <c r="AA870" s="316" t="str">
        <f t="shared" ca="1" si="401"/>
        <v/>
      </c>
      <c r="AC870" s="310" t="e">
        <f t="shared" ca="1" si="402"/>
        <v>#N/A</v>
      </c>
      <c r="AD870" s="323" t="e">
        <f t="shared" ca="1" si="403"/>
        <v>#N/A</v>
      </c>
      <c r="AE870" s="324" t="e">
        <f t="shared" ca="1" si="382"/>
        <v>#N/A</v>
      </c>
      <c r="AG870" s="306">
        <f t="shared" ca="1" si="404"/>
        <v>3.672281391301091E-2</v>
      </c>
      <c r="AH870" s="304">
        <f t="shared" ca="1" si="405"/>
        <v>-9.7679698945647253</v>
      </c>
    </row>
    <row r="871" spans="1:34" x14ac:dyDescent="0.25">
      <c r="A871" s="347">
        <f t="shared" ca="1" si="383"/>
        <v>1E-4</v>
      </c>
      <c r="B871" s="304">
        <f t="shared" ca="1" si="384"/>
        <v>47.127300000001277</v>
      </c>
      <c r="D871" s="306">
        <f t="shared" ca="1" si="385"/>
        <v>-0.3212621904562431</v>
      </c>
      <c r="E871" s="307">
        <f t="shared" ca="1" si="386"/>
        <v>-4.7302026127619357E-2</v>
      </c>
      <c r="F871" s="304">
        <f t="shared" ca="1" si="387"/>
        <v>0.3247258485130517</v>
      </c>
      <c r="G871" s="306">
        <f t="shared" ca="1" si="388"/>
        <v>4.0322705660673099</v>
      </c>
      <c r="H871" s="307">
        <f t="shared" ca="1" si="389"/>
        <v>-122.53590996112321</v>
      </c>
      <c r="I871" s="304">
        <f t="shared" ca="1" si="390"/>
        <v>122.60223666768265</v>
      </c>
      <c r="J871" s="306">
        <f t="shared" ca="1" si="391"/>
        <v>677.64536374242232</v>
      </c>
      <c r="K871" s="307">
        <f t="shared" ca="1" si="392"/>
        <v>-13.038874979183328</v>
      </c>
      <c r="L871" s="304">
        <f t="shared" ca="1" si="377"/>
        <v>677.77079552185091</v>
      </c>
      <c r="M871" s="306">
        <f t="shared" ca="1" si="393"/>
        <v>-1.5379013489073345</v>
      </c>
      <c r="N871" s="304">
        <f t="shared" ca="1" si="394"/>
        <v>-88.115256599866527</v>
      </c>
      <c r="P871" s="310">
        <f t="shared" ca="1" si="395"/>
        <v>23</v>
      </c>
      <c r="Q871" s="304">
        <f t="shared" ca="1" si="396"/>
        <v>0</v>
      </c>
      <c r="R871" s="306">
        <f t="shared" ca="1" si="397"/>
        <v>0</v>
      </c>
      <c r="S871" s="307">
        <f t="shared" ca="1" si="398"/>
        <v>2.0842999999999985</v>
      </c>
      <c r="T871" s="304">
        <f t="shared" ca="1" si="378"/>
        <v>20.446982999999985</v>
      </c>
      <c r="U871" s="311">
        <f t="shared" ca="1" si="379"/>
        <v>0</v>
      </c>
      <c r="V871" s="306">
        <f t="shared" ca="1" si="380"/>
        <v>1.2265983041893749</v>
      </c>
      <c r="W871" s="304">
        <f t="shared" ca="1" si="381"/>
        <v>20.359431985301178</v>
      </c>
      <c r="Y871" s="314" t="str">
        <f t="shared" ca="1" si="399"/>
        <v/>
      </c>
      <c r="Z871" s="315" t="str">
        <f t="shared" ca="1" si="400"/>
        <v/>
      </c>
      <c r="AA871" s="316" t="str">
        <f t="shared" ca="1" si="401"/>
        <v/>
      </c>
      <c r="AC871" s="310" t="e">
        <f t="shared" ca="1" si="402"/>
        <v>#N/A</v>
      </c>
      <c r="AD871" s="323" t="e">
        <f t="shared" ca="1" si="403"/>
        <v>#N/A</v>
      </c>
      <c r="AE871" s="324" t="e">
        <f t="shared" ca="1" si="382"/>
        <v>#N/A</v>
      </c>
      <c r="AG871" s="306">
        <f t="shared" ca="1" si="404"/>
        <v>3.671034438190901E-2</v>
      </c>
      <c r="AH871" s="304">
        <f t="shared" ca="1" si="405"/>
        <v>-9.7679824490049452</v>
      </c>
    </row>
    <row r="872" spans="1:34" x14ac:dyDescent="0.25">
      <c r="A872" s="347">
        <f t="shared" ca="1" si="383"/>
        <v>1E-4</v>
      </c>
      <c r="B872" s="304">
        <f t="shared" ca="1" si="384"/>
        <v>47.12740000000128</v>
      </c>
      <c r="D872" s="306">
        <f t="shared" ca="1" si="385"/>
        <v>-0.32126003416977245</v>
      </c>
      <c r="E872" s="307">
        <f t="shared" ca="1" si="386"/>
        <v>-4.7289394117159489E-2</v>
      </c>
      <c r="F872" s="304">
        <f t="shared" ca="1" si="387"/>
        <v>0.32472187538065772</v>
      </c>
      <c r="G872" s="306">
        <f t="shared" ca="1" si="388"/>
        <v>4.0322384400638933</v>
      </c>
      <c r="H872" s="307">
        <f t="shared" ca="1" si="389"/>
        <v>-122.53591469006263</v>
      </c>
      <c r="I872" s="304">
        <f t="shared" ca="1" si="390"/>
        <v>122.6022403374744</v>
      </c>
      <c r="J872" s="306">
        <f t="shared" ca="1" si="391"/>
        <v>677.64536374242232</v>
      </c>
      <c r="K872" s="307">
        <f t="shared" ca="1" si="392"/>
        <v>-13.051128570415887</v>
      </c>
      <c r="L872" s="304">
        <f t="shared" ca="1" si="377"/>
        <v>677.77103136572703</v>
      </c>
      <c r="M872" s="306">
        <f t="shared" ca="1" si="393"/>
        <v>-1.537901612068544</v>
      </c>
      <c r="N872" s="304">
        <f t="shared" ca="1" si="394"/>
        <v>-88.115271677893162</v>
      </c>
      <c r="P872" s="310">
        <f t="shared" ca="1" si="395"/>
        <v>23</v>
      </c>
      <c r="Q872" s="304">
        <f t="shared" ca="1" si="396"/>
        <v>0</v>
      </c>
      <c r="R872" s="306">
        <f t="shared" ca="1" si="397"/>
        <v>0</v>
      </c>
      <c r="S872" s="307">
        <f t="shared" ca="1" si="398"/>
        <v>2.0842999999999985</v>
      </c>
      <c r="T872" s="304">
        <f t="shared" ca="1" si="378"/>
        <v>20.446982999999985</v>
      </c>
      <c r="U872" s="311">
        <f t="shared" ca="1" si="379"/>
        <v>0</v>
      </c>
      <c r="V872" s="306">
        <f t="shared" ca="1" si="380"/>
        <v>1.226599807214358</v>
      </c>
      <c r="W872" s="304">
        <f t="shared" ca="1" si="381"/>
        <v>20.359458151761821</v>
      </c>
      <c r="Y872" s="314" t="str">
        <f t="shared" ca="1" si="399"/>
        <v/>
      </c>
      <c r="Z872" s="315" t="str">
        <f t="shared" ca="1" si="400"/>
        <v/>
      </c>
      <c r="AA872" s="316" t="str">
        <f t="shared" ca="1" si="401"/>
        <v/>
      </c>
      <c r="AC872" s="310" t="e">
        <f t="shared" ca="1" si="402"/>
        <v>#N/A</v>
      </c>
      <c r="AD872" s="323" t="e">
        <f t="shared" ca="1" si="403"/>
        <v>#N/A</v>
      </c>
      <c r="AE872" s="324" t="e">
        <f t="shared" ca="1" si="382"/>
        <v>#N/A</v>
      </c>
      <c r="AG872" s="306">
        <f t="shared" ca="1" si="404"/>
        <v>3.6697875031554972E-2</v>
      </c>
      <c r="AH872" s="304">
        <f t="shared" ca="1" si="405"/>
        <v>-9.7679950032630583</v>
      </c>
    </row>
    <row r="873" spans="1:34" x14ac:dyDescent="0.25">
      <c r="A873" s="347">
        <f t="shared" ca="1" si="383"/>
        <v>1E-4</v>
      </c>
      <c r="B873" s="304">
        <f t="shared" ca="1" si="384"/>
        <v>47.127500000001284</v>
      </c>
      <c r="D873" s="306">
        <f t="shared" ca="1" si="385"/>
        <v>-0.32125787789130839</v>
      </c>
      <c r="E873" s="307">
        <f t="shared" ca="1" si="386"/>
        <v>-4.7276762289834906E-2</v>
      </c>
      <c r="F873" s="304">
        <f t="shared" ca="1" si="387"/>
        <v>0.32471790273995726</v>
      </c>
      <c r="G873" s="306">
        <f t="shared" ca="1" si="388"/>
        <v>4.0322063142761042</v>
      </c>
      <c r="H873" s="307">
        <f t="shared" ca="1" si="389"/>
        <v>-122.53591941773885</v>
      </c>
      <c r="I873" s="304">
        <f t="shared" ca="1" si="390"/>
        <v>122.60224400601922</v>
      </c>
      <c r="J873" s="306">
        <f t="shared" ca="1" si="391"/>
        <v>677.64536374242232</v>
      </c>
      <c r="K873" s="307">
        <f t="shared" ca="1" si="392"/>
        <v>-13.063382162121277</v>
      </c>
      <c r="L873" s="304">
        <f t="shared" ca="1" si="377"/>
        <v>677.77126743106589</v>
      </c>
      <c r="M873" s="306">
        <f t="shared" ca="1" si="393"/>
        <v>-1.537901875227641</v>
      </c>
      <c r="N873" s="304">
        <f t="shared" ca="1" si="394"/>
        <v>-88.115286755798763</v>
      </c>
      <c r="P873" s="310">
        <f t="shared" ca="1" si="395"/>
        <v>23</v>
      </c>
      <c r="Q873" s="304">
        <f t="shared" ca="1" si="396"/>
        <v>0</v>
      </c>
      <c r="R873" s="306">
        <f t="shared" ca="1" si="397"/>
        <v>0</v>
      </c>
      <c r="S873" s="307">
        <f t="shared" ca="1" si="398"/>
        <v>2.0842999999999985</v>
      </c>
      <c r="T873" s="304">
        <f t="shared" ca="1" si="378"/>
        <v>20.446982999999985</v>
      </c>
      <c r="U873" s="311">
        <f t="shared" ca="1" si="379"/>
        <v>0</v>
      </c>
      <c r="V873" s="306">
        <f t="shared" ca="1" si="380"/>
        <v>1.2266013102412416</v>
      </c>
      <c r="W873" s="304">
        <f t="shared" ca="1" si="381"/>
        <v>20.359484317842892</v>
      </c>
      <c r="Y873" s="314" t="str">
        <f t="shared" ca="1" si="399"/>
        <v/>
      </c>
      <c r="Z873" s="315" t="str">
        <f t="shared" ca="1" si="400"/>
        <v/>
      </c>
      <c r="AA873" s="316" t="str">
        <f t="shared" ca="1" si="401"/>
        <v/>
      </c>
      <c r="AC873" s="310" t="e">
        <f t="shared" ca="1" si="402"/>
        <v>#N/A</v>
      </c>
      <c r="AD873" s="323" t="e">
        <f t="shared" ca="1" si="403"/>
        <v>#N/A</v>
      </c>
      <c r="AE873" s="324" t="e">
        <f t="shared" ca="1" si="382"/>
        <v>#N/A</v>
      </c>
      <c r="AG873" s="306">
        <f t="shared" ca="1" si="404"/>
        <v>3.668540586193636E-2</v>
      </c>
      <c r="AH873" s="304">
        <f t="shared" ca="1" si="405"/>
        <v>-9.7680075573390752</v>
      </c>
    </row>
    <row r="874" spans="1:34" x14ac:dyDescent="0.25">
      <c r="A874" s="347">
        <f t="shared" ca="1" si="383"/>
        <v>1E-4</v>
      </c>
      <c r="B874" s="304">
        <f t="shared" ca="1" si="384"/>
        <v>47.127600000001287</v>
      </c>
      <c r="D874" s="306">
        <f t="shared" ca="1" si="385"/>
        <v>-0.32125572162085292</v>
      </c>
      <c r="E874" s="307">
        <f t="shared" ca="1" si="386"/>
        <v>-4.7264130645658042E-2</v>
      </c>
      <c r="F874" s="304">
        <f t="shared" ca="1" si="387"/>
        <v>0.32471393059095072</v>
      </c>
      <c r="G874" s="306">
        <f t="shared" ca="1" si="388"/>
        <v>4.0321741887039417</v>
      </c>
      <c r="H874" s="307">
        <f t="shared" ca="1" si="389"/>
        <v>-122.53592414415192</v>
      </c>
      <c r="I874" s="304">
        <f t="shared" ca="1" si="390"/>
        <v>122.60224767331717</v>
      </c>
      <c r="J874" s="306">
        <f t="shared" ca="1" si="391"/>
        <v>677.64536374242232</v>
      </c>
      <c r="K874" s="307">
        <f t="shared" ca="1" si="392"/>
        <v>-13.075635754299372</v>
      </c>
      <c r="L874" s="304">
        <f t="shared" ca="1" si="377"/>
        <v>677.77150371786729</v>
      </c>
      <c r="M874" s="306">
        <f t="shared" ca="1" si="393"/>
        <v>-1.5379021383846256</v>
      </c>
      <c r="N874" s="304">
        <f t="shared" ca="1" si="394"/>
        <v>-88.115301833583331</v>
      </c>
      <c r="P874" s="310">
        <f t="shared" ca="1" si="395"/>
        <v>23</v>
      </c>
      <c r="Q874" s="304">
        <f t="shared" ca="1" si="396"/>
        <v>0</v>
      </c>
      <c r="R874" s="306">
        <f t="shared" ca="1" si="397"/>
        <v>0</v>
      </c>
      <c r="S874" s="307">
        <f t="shared" ca="1" si="398"/>
        <v>2.0842999999999985</v>
      </c>
      <c r="T874" s="304">
        <f t="shared" ca="1" si="378"/>
        <v>20.446982999999985</v>
      </c>
      <c r="U874" s="311">
        <f t="shared" ca="1" si="379"/>
        <v>0</v>
      </c>
      <c r="V874" s="306">
        <f t="shared" ca="1" si="380"/>
        <v>1.2266028132700268</v>
      </c>
      <c r="W874" s="304">
        <f t="shared" ca="1" si="381"/>
        <v>20.359510483544433</v>
      </c>
      <c r="Y874" s="314" t="str">
        <f t="shared" ca="1" si="399"/>
        <v/>
      </c>
      <c r="Z874" s="315" t="str">
        <f t="shared" ca="1" si="400"/>
        <v/>
      </c>
      <c r="AA874" s="316" t="str">
        <f t="shared" ca="1" si="401"/>
        <v/>
      </c>
      <c r="AC874" s="310" t="e">
        <f t="shared" ca="1" si="402"/>
        <v>#N/A</v>
      </c>
      <c r="AD874" s="323" t="e">
        <f t="shared" ca="1" si="403"/>
        <v>#N/A</v>
      </c>
      <c r="AE874" s="324" t="e">
        <f t="shared" ca="1" si="382"/>
        <v>#N/A</v>
      </c>
      <c r="AG874" s="306">
        <f t="shared" ca="1" si="404"/>
        <v>3.6672936873063833E-2</v>
      </c>
      <c r="AH874" s="304">
        <f t="shared" ca="1" si="405"/>
        <v>-9.7680201112329836</v>
      </c>
    </row>
    <row r="875" spans="1:34" x14ac:dyDescent="0.25">
      <c r="A875" s="347">
        <f t="shared" ca="1" si="383"/>
        <v>1E-4</v>
      </c>
      <c r="B875" s="304">
        <f t="shared" ca="1" si="384"/>
        <v>47.12770000000129</v>
      </c>
      <c r="D875" s="306">
        <f t="shared" ca="1" si="385"/>
        <v>-0.32125356535840482</v>
      </c>
      <c r="E875" s="307">
        <f t="shared" ca="1" si="386"/>
        <v>-4.7251499184609358E-2</v>
      </c>
      <c r="F875" s="304">
        <f t="shared" ca="1" si="387"/>
        <v>0.32470995893363053</v>
      </c>
      <c r="G875" s="306">
        <f t="shared" ca="1" si="388"/>
        <v>4.0321420633474059</v>
      </c>
      <c r="H875" s="307">
        <f t="shared" ca="1" si="389"/>
        <v>-122.53592886930184</v>
      </c>
      <c r="I875" s="304">
        <f t="shared" ca="1" si="390"/>
        <v>122.60225133936822</v>
      </c>
      <c r="J875" s="306">
        <f t="shared" ca="1" si="391"/>
        <v>677.64536374242232</v>
      </c>
      <c r="K875" s="307">
        <f t="shared" ca="1" si="392"/>
        <v>-13.087889346950044</v>
      </c>
      <c r="L875" s="304">
        <f t="shared" ca="1" si="377"/>
        <v>677.77174022613087</v>
      </c>
      <c r="M875" s="306">
        <f t="shared" ca="1" si="393"/>
        <v>-1.5379024015394978</v>
      </c>
      <c r="N875" s="304">
        <f t="shared" ca="1" si="394"/>
        <v>-88.115316911246865</v>
      </c>
      <c r="P875" s="310">
        <f t="shared" ca="1" si="395"/>
        <v>23</v>
      </c>
      <c r="Q875" s="304">
        <f t="shared" ca="1" si="396"/>
        <v>0</v>
      </c>
      <c r="R875" s="306">
        <f t="shared" ca="1" si="397"/>
        <v>0</v>
      </c>
      <c r="S875" s="307">
        <f t="shared" ca="1" si="398"/>
        <v>2.0842999999999985</v>
      </c>
      <c r="T875" s="304">
        <f t="shared" ca="1" si="378"/>
        <v>20.446982999999985</v>
      </c>
      <c r="U875" s="311">
        <f t="shared" ca="1" si="379"/>
        <v>0</v>
      </c>
      <c r="V875" s="306">
        <f t="shared" ca="1" si="380"/>
        <v>1.2266043163007123</v>
      </c>
      <c r="W875" s="304">
        <f t="shared" ca="1" si="381"/>
        <v>20.359536648866417</v>
      </c>
      <c r="Y875" s="314" t="str">
        <f t="shared" ca="1" si="399"/>
        <v/>
      </c>
      <c r="Z875" s="315" t="str">
        <f t="shared" ca="1" si="400"/>
        <v/>
      </c>
      <c r="AA875" s="316" t="str">
        <f t="shared" ca="1" si="401"/>
        <v/>
      </c>
      <c r="AC875" s="310" t="e">
        <f t="shared" ca="1" si="402"/>
        <v>#N/A</v>
      </c>
      <c r="AD875" s="323" t="e">
        <f t="shared" ca="1" si="403"/>
        <v>#N/A</v>
      </c>
      <c r="AE875" s="324" t="e">
        <f t="shared" ca="1" si="382"/>
        <v>#N/A</v>
      </c>
      <c r="AG875" s="306">
        <f t="shared" ca="1" si="404"/>
        <v>3.6660468064924956E-2</v>
      </c>
      <c r="AH875" s="304">
        <f t="shared" ca="1" si="405"/>
        <v>-9.7680326649448013</v>
      </c>
    </row>
    <row r="876" spans="1:34" x14ac:dyDescent="0.25">
      <c r="A876" s="347">
        <f t="shared" ca="1" si="383"/>
        <v>1E-4</v>
      </c>
      <c r="B876" s="304">
        <f t="shared" ca="1" si="384"/>
        <v>47.127800000001294</v>
      </c>
      <c r="D876" s="306">
        <f t="shared" ca="1" si="385"/>
        <v>-0.32125140910396599</v>
      </c>
      <c r="E876" s="307">
        <f t="shared" ca="1" si="386"/>
        <v>-4.723886790670484E-2</v>
      </c>
      <c r="F876" s="304">
        <f t="shared" ca="1" si="387"/>
        <v>0.32470598776799731</v>
      </c>
      <c r="G876" s="306">
        <f t="shared" ca="1" si="388"/>
        <v>4.0321099382064958</v>
      </c>
      <c r="H876" s="307">
        <f t="shared" ca="1" si="389"/>
        <v>-122.53593359318863</v>
      </c>
      <c r="I876" s="304">
        <f t="shared" ca="1" si="390"/>
        <v>122.60225500417241</v>
      </c>
      <c r="J876" s="306">
        <f t="shared" ca="1" si="391"/>
        <v>677.64536374242232</v>
      </c>
      <c r="K876" s="307">
        <f t="shared" ca="1" si="392"/>
        <v>-13.100142940073169</v>
      </c>
      <c r="L876" s="304">
        <f t="shared" ca="1" si="377"/>
        <v>677.77197695585653</v>
      </c>
      <c r="M876" s="306">
        <f t="shared" ca="1" si="393"/>
        <v>-1.5379026646922576</v>
      </c>
      <c r="N876" s="304">
        <f t="shared" ca="1" si="394"/>
        <v>-88.115331988789364</v>
      </c>
      <c r="P876" s="310">
        <f t="shared" ca="1" si="395"/>
        <v>23</v>
      </c>
      <c r="Q876" s="304">
        <f t="shared" ca="1" si="396"/>
        <v>0</v>
      </c>
      <c r="R876" s="306">
        <f t="shared" ca="1" si="397"/>
        <v>0</v>
      </c>
      <c r="S876" s="307">
        <f t="shared" ca="1" si="398"/>
        <v>2.0842999999999985</v>
      </c>
      <c r="T876" s="304">
        <f t="shared" ca="1" si="378"/>
        <v>20.446982999999985</v>
      </c>
      <c r="U876" s="311">
        <f t="shared" ca="1" si="379"/>
        <v>0</v>
      </c>
      <c r="V876" s="306">
        <f t="shared" ca="1" si="380"/>
        <v>1.2266058193332994</v>
      </c>
      <c r="W876" s="304">
        <f t="shared" ca="1" si="381"/>
        <v>20.359562813808868</v>
      </c>
      <c r="Y876" s="314" t="str">
        <f t="shared" ca="1" si="399"/>
        <v/>
      </c>
      <c r="Z876" s="315" t="str">
        <f t="shared" ca="1" si="400"/>
        <v/>
      </c>
      <c r="AA876" s="316" t="str">
        <f t="shared" ca="1" si="401"/>
        <v/>
      </c>
      <c r="AC876" s="310" t="e">
        <f t="shared" ca="1" si="402"/>
        <v>#N/A</v>
      </c>
      <c r="AD876" s="323" t="e">
        <f t="shared" ca="1" si="403"/>
        <v>#N/A</v>
      </c>
      <c r="AE876" s="324" t="e">
        <f t="shared" ca="1" si="382"/>
        <v>#N/A</v>
      </c>
      <c r="AG876" s="306">
        <f t="shared" ca="1" si="404"/>
        <v>3.6647999437525058E-2</v>
      </c>
      <c r="AH876" s="304">
        <f t="shared" ca="1" si="405"/>
        <v>-9.7680452184745157</v>
      </c>
    </row>
    <row r="877" spans="1:34" x14ac:dyDescent="0.25">
      <c r="A877" s="347">
        <f t="shared" ca="1" si="383"/>
        <v>1E-4</v>
      </c>
      <c r="B877" s="304">
        <f t="shared" ca="1" si="384"/>
        <v>47.127900000001297</v>
      </c>
      <c r="D877" s="306">
        <f t="shared" ca="1" si="385"/>
        <v>-0.32124925285753486</v>
      </c>
      <c r="E877" s="307">
        <f t="shared" ca="1" si="386"/>
        <v>-4.7226236811932054E-2</v>
      </c>
      <c r="F877" s="304">
        <f t="shared" ca="1" si="387"/>
        <v>0.32470201709404434</v>
      </c>
      <c r="G877" s="306">
        <f t="shared" ca="1" si="388"/>
        <v>4.0320778132812096</v>
      </c>
      <c r="H877" s="307">
        <f t="shared" ca="1" si="389"/>
        <v>-122.53593831581232</v>
      </c>
      <c r="I877" s="304">
        <f t="shared" ca="1" si="390"/>
        <v>122.60225866772976</v>
      </c>
      <c r="J877" s="306">
        <f t="shared" ca="1" si="391"/>
        <v>677.64536374242232</v>
      </c>
      <c r="K877" s="307">
        <f t="shared" ca="1" si="392"/>
        <v>-13.112396533668619</v>
      </c>
      <c r="L877" s="304">
        <f t="shared" ca="1" si="377"/>
        <v>677.77221390704415</v>
      </c>
      <c r="M877" s="306">
        <f t="shared" ca="1" si="393"/>
        <v>-1.5379029278429053</v>
      </c>
      <c r="N877" s="304">
        <f t="shared" ca="1" si="394"/>
        <v>-88.115347066210859</v>
      </c>
      <c r="P877" s="310">
        <f t="shared" ca="1" si="395"/>
        <v>23</v>
      </c>
      <c r="Q877" s="304">
        <f t="shared" ca="1" si="396"/>
        <v>0</v>
      </c>
      <c r="R877" s="306">
        <f t="shared" ca="1" si="397"/>
        <v>0</v>
      </c>
      <c r="S877" s="307">
        <f t="shared" ca="1" si="398"/>
        <v>2.0842999999999985</v>
      </c>
      <c r="T877" s="304">
        <f t="shared" ca="1" si="378"/>
        <v>20.446982999999985</v>
      </c>
      <c r="U877" s="311">
        <f t="shared" ca="1" si="379"/>
        <v>0</v>
      </c>
      <c r="V877" s="306">
        <f t="shared" ca="1" si="380"/>
        <v>1.2266073223677869</v>
      </c>
      <c r="W877" s="304">
        <f t="shared" ca="1" si="381"/>
        <v>20.359588978371779</v>
      </c>
      <c r="Y877" s="314" t="str">
        <f t="shared" ca="1" si="399"/>
        <v/>
      </c>
      <c r="Z877" s="315" t="str">
        <f t="shared" ca="1" si="400"/>
        <v/>
      </c>
      <c r="AA877" s="316" t="str">
        <f t="shared" ca="1" si="401"/>
        <v/>
      </c>
      <c r="AC877" s="310" t="e">
        <f t="shared" ca="1" si="402"/>
        <v>#N/A</v>
      </c>
      <c r="AD877" s="323" t="e">
        <f t="shared" ca="1" si="403"/>
        <v>#N/A</v>
      </c>
      <c r="AE877" s="324" t="e">
        <f t="shared" ca="1" si="382"/>
        <v>#N/A</v>
      </c>
      <c r="AG877" s="306">
        <f t="shared" ca="1" si="404"/>
        <v>3.6635530990858811E-2</v>
      </c>
      <c r="AH877" s="304">
        <f t="shared" ca="1" si="405"/>
        <v>-9.7680577718221375</v>
      </c>
    </row>
    <row r="878" spans="1:34" x14ac:dyDescent="0.25">
      <c r="A878" s="347">
        <f t="shared" ca="1" si="383"/>
        <v>1E-4</v>
      </c>
      <c r="B878" s="304">
        <f t="shared" ca="1" si="384"/>
        <v>47.1280000000013</v>
      </c>
      <c r="D878" s="306">
        <f t="shared" ca="1" si="385"/>
        <v>-0.32124709661910938</v>
      </c>
      <c r="E878" s="307">
        <f t="shared" ca="1" si="386"/>
        <v>-4.7213605900287448E-2</v>
      </c>
      <c r="F878" s="304">
        <f t="shared" ca="1" si="387"/>
        <v>0.32469804691176546</v>
      </c>
      <c r="G878" s="306">
        <f t="shared" ca="1" si="388"/>
        <v>4.0320456885715474</v>
      </c>
      <c r="H878" s="307">
        <f t="shared" ca="1" si="389"/>
        <v>-122.53594303717291</v>
      </c>
      <c r="I878" s="304">
        <f t="shared" ca="1" si="390"/>
        <v>122.60226233004029</v>
      </c>
      <c r="J878" s="306">
        <f t="shared" ca="1" si="391"/>
        <v>677.64536374242232</v>
      </c>
      <c r="K878" s="307">
        <f t="shared" ca="1" si="392"/>
        <v>-13.124650127736269</v>
      </c>
      <c r="L878" s="304">
        <f t="shared" ca="1" si="377"/>
        <v>677.77245107969338</v>
      </c>
      <c r="M878" s="306">
        <f t="shared" ca="1" si="393"/>
        <v>-1.5379031909914405</v>
      </c>
      <c r="N878" s="304">
        <f t="shared" ca="1" si="394"/>
        <v>-88.115362143511305</v>
      </c>
      <c r="P878" s="310">
        <f t="shared" ca="1" si="395"/>
        <v>23</v>
      </c>
      <c r="Q878" s="304">
        <f t="shared" ca="1" si="396"/>
        <v>0</v>
      </c>
      <c r="R878" s="306">
        <f t="shared" ca="1" si="397"/>
        <v>0</v>
      </c>
      <c r="S878" s="307">
        <f t="shared" ca="1" si="398"/>
        <v>2.0842999999999985</v>
      </c>
      <c r="T878" s="304">
        <f t="shared" ca="1" si="378"/>
        <v>20.446982999999985</v>
      </c>
      <c r="U878" s="311">
        <f t="shared" ca="1" si="379"/>
        <v>0</v>
      </c>
      <c r="V878" s="306">
        <f t="shared" ca="1" si="380"/>
        <v>1.2266088254041749</v>
      </c>
      <c r="W878" s="304">
        <f t="shared" ca="1" si="381"/>
        <v>20.359615142555153</v>
      </c>
      <c r="Y878" s="314" t="str">
        <f t="shared" ca="1" si="399"/>
        <v/>
      </c>
      <c r="Z878" s="315" t="str">
        <f t="shared" ca="1" si="400"/>
        <v/>
      </c>
      <c r="AA878" s="316" t="str">
        <f t="shared" ca="1" si="401"/>
        <v/>
      </c>
      <c r="AC878" s="310" t="e">
        <f t="shared" ca="1" si="402"/>
        <v>#N/A</v>
      </c>
      <c r="AD878" s="323" t="e">
        <f t="shared" ca="1" si="403"/>
        <v>#N/A</v>
      </c>
      <c r="AE878" s="324" t="e">
        <f t="shared" ca="1" si="382"/>
        <v>#N/A</v>
      </c>
      <c r="AG878" s="306">
        <f t="shared" ca="1" si="404"/>
        <v>3.6623062724926214E-2</v>
      </c>
      <c r="AH878" s="304">
        <f t="shared" ca="1" si="405"/>
        <v>-9.7680703249876668</v>
      </c>
    </row>
    <row r="879" spans="1:34" x14ac:dyDescent="0.25">
      <c r="A879" s="347">
        <f t="shared" ca="1" si="383"/>
        <v>1E-4</v>
      </c>
      <c r="B879" s="304">
        <f t="shared" ca="1" si="384"/>
        <v>47.128100000001304</v>
      </c>
      <c r="D879" s="306">
        <f t="shared" ca="1" si="385"/>
        <v>-0.32124494038869428</v>
      </c>
      <c r="E879" s="307">
        <f t="shared" ca="1" si="386"/>
        <v>-4.7200975171779902E-2</v>
      </c>
      <c r="F879" s="304">
        <f t="shared" ca="1" si="387"/>
        <v>0.32469407722116322</v>
      </c>
      <c r="G879" s="306">
        <f t="shared" ca="1" si="388"/>
        <v>4.0320135640775083</v>
      </c>
      <c r="H879" s="307">
        <f t="shared" ca="1" si="389"/>
        <v>-122.53594775727043</v>
      </c>
      <c r="I879" s="304">
        <f t="shared" ca="1" si="390"/>
        <v>122.60226599110399</v>
      </c>
      <c r="J879" s="306">
        <f t="shared" ca="1" si="391"/>
        <v>677.64536374242232</v>
      </c>
      <c r="K879" s="307">
        <f t="shared" ca="1" si="392"/>
        <v>-13.13690372227599</v>
      </c>
      <c r="L879" s="304">
        <f t="shared" ca="1" si="377"/>
        <v>677.77268847380401</v>
      </c>
      <c r="M879" s="306">
        <f t="shared" ca="1" si="393"/>
        <v>-1.5379034541378633</v>
      </c>
      <c r="N879" s="304">
        <f t="shared" ca="1" si="394"/>
        <v>-88.115377220690732</v>
      </c>
      <c r="P879" s="310">
        <f t="shared" ca="1" si="395"/>
        <v>23</v>
      </c>
      <c r="Q879" s="304">
        <f t="shared" ca="1" si="396"/>
        <v>0</v>
      </c>
      <c r="R879" s="306">
        <f t="shared" ca="1" si="397"/>
        <v>0</v>
      </c>
      <c r="S879" s="307">
        <f t="shared" ca="1" si="398"/>
        <v>2.0842999999999985</v>
      </c>
      <c r="T879" s="304">
        <f t="shared" ca="1" si="378"/>
        <v>20.446982999999985</v>
      </c>
      <c r="U879" s="311">
        <f t="shared" ca="1" si="379"/>
        <v>0</v>
      </c>
      <c r="V879" s="306">
        <f t="shared" ca="1" si="380"/>
        <v>1.2266103284424643</v>
      </c>
      <c r="W879" s="304">
        <f t="shared" ca="1" si="381"/>
        <v>20.359641306359002</v>
      </c>
      <c r="Y879" s="314" t="str">
        <f t="shared" ca="1" si="399"/>
        <v/>
      </c>
      <c r="Z879" s="315" t="str">
        <f t="shared" ca="1" si="400"/>
        <v/>
      </c>
      <c r="AA879" s="316" t="str">
        <f t="shared" ca="1" si="401"/>
        <v/>
      </c>
      <c r="AC879" s="310" t="e">
        <f t="shared" ca="1" si="402"/>
        <v>#N/A</v>
      </c>
      <c r="AD879" s="323" t="e">
        <f t="shared" ca="1" si="403"/>
        <v>#N/A</v>
      </c>
      <c r="AE879" s="324" t="e">
        <f t="shared" ca="1" si="382"/>
        <v>#N/A</v>
      </c>
      <c r="AG879" s="306">
        <f t="shared" ca="1" si="404"/>
        <v>3.6610594639725491E-2</v>
      </c>
      <c r="AH879" s="304">
        <f t="shared" ca="1" si="405"/>
        <v>-9.7680828779711018</v>
      </c>
    </row>
    <row r="880" spans="1:34" x14ac:dyDescent="0.25">
      <c r="A880" s="347">
        <f t="shared" ca="1" si="383"/>
        <v>1E-4</v>
      </c>
      <c r="B880" s="304">
        <f t="shared" ca="1" si="384"/>
        <v>47.128200000001307</v>
      </c>
      <c r="D880" s="306">
        <f t="shared" ca="1" si="385"/>
        <v>-0.3212427841662876</v>
      </c>
      <c r="E880" s="307">
        <f t="shared" ca="1" si="386"/>
        <v>-4.7188344626395207E-2</v>
      </c>
      <c r="F880" s="304">
        <f t="shared" ca="1" si="387"/>
        <v>0.32469010802223014</v>
      </c>
      <c r="G880" s="306">
        <f t="shared" ca="1" si="388"/>
        <v>4.0319814397990914</v>
      </c>
      <c r="H880" s="307">
        <f t="shared" ca="1" si="389"/>
        <v>-122.5359524761049</v>
      </c>
      <c r="I880" s="304">
        <f t="shared" ca="1" si="390"/>
        <v>122.6022696509209</v>
      </c>
      <c r="J880" s="306">
        <f t="shared" ca="1" si="391"/>
        <v>677.64536374242232</v>
      </c>
      <c r="K880" s="307">
        <f t="shared" ca="1" si="392"/>
        <v>-13.14915731728766</v>
      </c>
      <c r="L880" s="304">
        <f t="shared" ca="1" si="377"/>
        <v>677.77292608937591</v>
      </c>
      <c r="M880" s="306">
        <f t="shared" ca="1" si="393"/>
        <v>-1.5379037172821739</v>
      </c>
      <c r="N880" s="304">
        <f t="shared" ca="1" si="394"/>
        <v>-88.115392297749125</v>
      </c>
      <c r="P880" s="310">
        <f t="shared" ca="1" si="395"/>
        <v>23</v>
      </c>
      <c r="Q880" s="304">
        <f t="shared" ca="1" si="396"/>
        <v>0</v>
      </c>
      <c r="R880" s="306">
        <f t="shared" ca="1" si="397"/>
        <v>0</v>
      </c>
      <c r="S880" s="307">
        <f t="shared" ca="1" si="398"/>
        <v>2.0842999999999985</v>
      </c>
      <c r="T880" s="304">
        <f t="shared" ca="1" si="378"/>
        <v>20.446982999999985</v>
      </c>
      <c r="U880" s="311">
        <f t="shared" ca="1" si="379"/>
        <v>0</v>
      </c>
      <c r="V880" s="306">
        <f t="shared" ca="1" si="380"/>
        <v>1.2266118314826542</v>
      </c>
      <c r="W880" s="304">
        <f t="shared" ca="1" si="381"/>
        <v>20.359667469783318</v>
      </c>
      <c r="Y880" s="314" t="str">
        <f t="shared" ca="1" si="399"/>
        <v/>
      </c>
      <c r="Z880" s="315" t="str">
        <f t="shared" ca="1" si="400"/>
        <v/>
      </c>
      <c r="AA880" s="316" t="str">
        <f t="shared" ca="1" si="401"/>
        <v/>
      </c>
      <c r="AC880" s="310" t="e">
        <f t="shared" ca="1" si="402"/>
        <v>#N/A</v>
      </c>
      <c r="AD880" s="323" t="e">
        <f t="shared" ca="1" si="403"/>
        <v>#N/A</v>
      </c>
      <c r="AE880" s="324" t="e">
        <f t="shared" ca="1" si="382"/>
        <v>#N/A</v>
      </c>
      <c r="AG880" s="306">
        <f t="shared" ca="1" si="404"/>
        <v>3.6598126735251313E-2</v>
      </c>
      <c r="AH880" s="304">
        <f t="shared" ca="1" si="405"/>
        <v>-9.7680954307724495</v>
      </c>
    </row>
    <row r="881" spans="1:34" x14ac:dyDescent="0.25">
      <c r="A881" s="347">
        <f t="shared" ca="1" si="383"/>
        <v>1E-4</v>
      </c>
      <c r="B881" s="304">
        <f t="shared" ca="1" si="384"/>
        <v>47.12830000000131</v>
      </c>
      <c r="D881" s="306">
        <f t="shared" ca="1" si="385"/>
        <v>-0.32124062795188957</v>
      </c>
      <c r="E881" s="307">
        <f t="shared" ca="1" si="386"/>
        <v>-4.7175714264142243E-2</v>
      </c>
      <c r="F881" s="304">
        <f t="shared" ca="1" si="387"/>
        <v>0.32468613931496415</v>
      </c>
      <c r="G881" s="306">
        <f t="shared" ca="1" si="388"/>
        <v>4.0319493157362958</v>
      </c>
      <c r="H881" s="307">
        <f t="shared" ca="1" si="389"/>
        <v>-122.53595719367632</v>
      </c>
      <c r="I881" s="304">
        <f t="shared" ca="1" si="390"/>
        <v>122.60227330949105</v>
      </c>
      <c r="J881" s="306">
        <f t="shared" ca="1" si="391"/>
        <v>677.64536374242232</v>
      </c>
      <c r="K881" s="307">
        <f t="shared" ca="1" si="392"/>
        <v>-13.161410912771149</v>
      </c>
      <c r="L881" s="304">
        <f t="shared" ca="1" si="377"/>
        <v>677.77316392640887</v>
      </c>
      <c r="M881" s="306">
        <f t="shared" ca="1" si="393"/>
        <v>-1.5379039804243724</v>
      </c>
      <c r="N881" s="304">
        <f t="shared" ca="1" si="394"/>
        <v>-88.115407374686512</v>
      </c>
      <c r="P881" s="310">
        <f t="shared" ca="1" si="395"/>
        <v>23</v>
      </c>
      <c r="Q881" s="304">
        <f t="shared" ca="1" si="396"/>
        <v>0</v>
      </c>
      <c r="R881" s="306">
        <f t="shared" ca="1" si="397"/>
        <v>0</v>
      </c>
      <c r="S881" s="307">
        <f t="shared" ca="1" si="398"/>
        <v>2.0842999999999985</v>
      </c>
      <c r="T881" s="304">
        <f t="shared" ca="1" si="378"/>
        <v>20.446982999999985</v>
      </c>
      <c r="U881" s="311">
        <f t="shared" ca="1" si="379"/>
        <v>0</v>
      </c>
      <c r="V881" s="306">
        <f t="shared" ca="1" si="380"/>
        <v>1.2266133345247454</v>
      </c>
      <c r="W881" s="304">
        <f t="shared" ca="1" si="381"/>
        <v>20.359693632828133</v>
      </c>
      <c r="Y881" s="314" t="str">
        <f t="shared" ca="1" si="399"/>
        <v/>
      </c>
      <c r="Z881" s="315" t="str">
        <f t="shared" ca="1" si="400"/>
        <v/>
      </c>
      <c r="AA881" s="316" t="str">
        <f t="shared" ca="1" si="401"/>
        <v/>
      </c>
      <c r="AC881" s="310" t="e">
        <f t="shared" ca="1" si="402"/>
        <v>#N/A</v>
      </c>
      <c r="AD881" s="323" t="e">
        <f t="shared" ca="1" si="403"/>
        <v>#N/A</v>
      </c>
      <c r="AE881" s="324" t="e">
        <f t="shared" ca="1" si="382"/>
        <v>#N/A</v>
      </c>
      <c r="AG881" s="306">
        <f t="shared" ca="1" si="404"/>
        <v>3.6585659011510785E-2</v>
      </c>
      <c r="AH881" s="304">
        <f t="shared" ca="1" si="405"/>
        <v>-9.7681079833917064</v>
      </c>
    </row>
    <row r="882" spans="1:34" x14ac:dyDescent="0.25">
      <c r="A882" s="347">
        <f t="shared" ca="1" si="383"/>
        <v>1E-4</v>
      </c>
      <c r="B882" s="304">
        <f t="shared" ca="1" si="384"/>
        <v>47.128400000001314</v>
      </c>
      <c r="D882" s="306">
        <f t="shared" ca="1" si="385"/>
        <v>-0.32123847174549874</v>
      </c>
      <c r="E882" s="307">
        <f t="shared" ca="1" si="386"/>
        <v>-4.7163084085003248E-2</v>
      </c>
      <c r="F882" s="304">
        <f t="shared" ca="1" si="387"/>
        <v>0.32468217109935782</v>
      </c>
      <c r="G882" s="306">
        <f t="shared" ca="1" si="388"/>
        <v>4.0319171918891215</v>
      </c>
      <c r="H882" s="307">
        <f t="shared" ca="1" si="389"/>
        <v>-122.53596190998474</v>
      </c>
      <c r="I882" s="304">
        <f t="shared" ca="1" si="390"/>
        <v>122.60227696681446</v>
      </c>
      <c r="J882" s="306">
        <f t="shared" ca="1" si="391"/>
        <v>677.64536374242232</v>
      </c>
      <c r="K882" s="307">
        <f t="shared" ca="1" si="392"/>
        <v>-13.173664508726333</v>
      </c>
      <c r="L882" s="304">
        <f t="shared" ca="1" si="377"/>
        <v>677.77340198490253</v>
      </c>
      <c r="M882" s="306">
        <f t="shared" ca="1" si="393"/>
        <v>-1.5379042435644585</v>
      </c>
      <c r="N882" s="304">
        <f t="shared" ca="1" si="394"/>
        <v>-88.115422451502866</v>
      </c>
      <c r="P882" s="310">
        <f t="shared" ca="1" si="395"/>
        <v>23</v>
      </c>
      <c r="Q882" s="304">
        <f t="shared" ca="1" si="396"/>
        <v>0</v>
      </c>
      <c r="R882" s="306">
        <f t="shared" ca="1" si="397"/>
        <v>0</v>
      </c>
      <c r="S882" s="307">
        <f t="shared" ca="1" si="398"/>
        <v>2.0842999999999985</v>
      </c>
      <c r="T882" s="304">
        <f t="shared" ca="1" si="378"/>
        <v>20.446982999999985</v>
      </c>
      <c r="U882" s="311">
        <f t="shared" ca="1" si="379"/>
        <v>0</v>
      </c>
      <c r="V882" s="306">
        <f t="shared" ca="1" si="380"/>
        <v>1.2266148375687373</v>
      </c>
      <c r="W882" s="304">
        <f t="shared" ca="1" si="381"/>
        <v>20.359719795493429</v>
      </c>
      <c r="Y882" s="314" t="str">
        <f t="shared" ca="1" si="399"/>
        <v/>
      </c>
      <c r="Z882" s="315" t="str">
        <f t="shared" ca="1" si="400"/>
        <v/>
      </c>
      <c r="AA882" s="316" t="str">
        <f t="shared" ca="1" si="401"/>
        <v/>
      </c>
      <c r="AC882" s="310" t="e">
        <f t="shared" ca="1" si="402"/>
        <v>#N/A</v>
      </c>
      <c r="AD882" s="323" t="e">
        <f t="shared" ca="1" si="403"/>
        <v>#N/A</v>
      </c>
      <c r="AE882" s="324" t="e">
        <f t="shared" ca="1" si="382"/>
        <v>#N/A</v>
      </c>
      <c r="AG882" s="306">
        <f t="shared" ca="1" si="404"/>
        <v>3.6573191468482591E-2</v>
      </c>
      <c r="AH882" s="304">
        <f t="shared" ca="1" si="405"/>
        <v>-9.7681205358288867</v>
      </c>
    </row>
    <row r="883" spans="1:34" x14ac:dyDescent="0.25">
      <c r="A883" s="347">
        <f t="shared" ca="1" si="383"/>
        <v>1E-4</v>
      </c>
      <c r="B883" s="304">
        <f t="shared" ca="1" si="384"/>
        <v>47.128500000001317</v>
      </c>
      <c r="D883" s="306">
        <f t="shared" ca="1" si="385"/>
        <v>-0.32123631554711707</v>
      </c>
      <c r="E883" s="307">
        <f t="shared" ca="1" si="386"/>
        <v>-4.7150454088990656E-2</v>
      </c>
      <c r="F883" s="304">
        <f t="shared" ca="1" si="387"/>
        <v>0.32467820337541137</v>
      </c>
      <c r="G883" s="306">
        <f t="shared" ca="1" si="388"/>
        <v>4.0318850682575667</v>
      </c>
      <c r="H883" s="307">
        <f t="shared" ca="1" si="389"/>
        <v>-122.53596662503014</v>
      </c>
      <c r="I883" s="304">
        <f t="shared" ca="1" si="390"/>
        <v>122.6022806228911</v>
      </c>
      <c r="J883" s="306">
        <f t="shared" ca="1" si="391"/>
        <v>677.64536374242232</v>
      </c>
      <c r="K883" s="307">
        <f t="shared" ca="1" si="392"/>
        <v>-13.185918105153084</v>
      </c>
      <c r="L883" s="304">
        <f t="shared" ca="1" si="377"/>
        <v>677.77364026485691</v>
      </c>
      <c r="M883" s="306">
        <f t="shared" ca="1" si="393"/>
        <v>-1.5379045067024324</v>
      </c>
      <c r="N883" s="304">
        <f t="shared" ca="1" si="394"/>
        <v>-88.1154375281982</v>
      </c>
      <c r="P883" s="310">
        <f t="shared" ca="1" si="395"/>
        <v>23</v>
      </c>
      <c r="Q883" s="304">
        <f t="shared" ca="1" si="396"/>
        <v>0</v>
      </c>
      <c r="R883" s="306">
        <f t="shared" ca="1" si="397"/>
        <v>0</v>
      </c>
      <c r="S883" s="307">
        <f t="shared" ca="1" si="398"/>
        <v>2.0842999999999985</v>
      </c>
      <c r="T883" s="304">
        <f t="shared" ca="1" si="378"/>
        <v>20.446982999999985</v>
      </c>
      <c r="U883" s="311">
        <f t="shared" ca="1" si="379"/>
        <v>0</v>
      </c>
      <c r="V883" s="306">
        <f t="shared" ca="1" si="380"/>
        <v>1.2266163406146298</v>
      </c>
      <c r="W883" s="304">
        <f t="shared" ca="1" si="381"/>
        <v>20.3597459577792</v>
      </c>
      <c r="Y883" s="314" t="str">
        <f t="shared" ca="1" si="399"/>
        <v/>
      </c>
      <c r="Z883" s="315" t="str">
        <f t="shared" ca="1" si="400"/>
        <v/>
      </c>
      <c r="AA883" s="316" t="str">
        <f t="shared" ca="1" si="401"/>
        <v/>
      </c>
      <c r="AC883" s="310" t="e">
        <f t="shared" ca="1" si="402"/>
        <v>#N/A</v>
      </c>
      <c r="AD883" s="323" t="e">
        <f t="shared" ca="1" si="403"/>
        <v>#N/A</v>
      </c>
      <c r="AE883" s="324" t="e">
        <f t="shared" ca="1" si="382"/>
        <v>#N/A</v>
      </c>
      <c r="AG883" s="306">
        <f t="shared" ca="1" si="404"/>
        <v>3.6560724106182718E-2</v>
      </c>
      <c r="AH883" s="304">
        <f t="shared" ca="1" si="405"/>
        <v>-9.7681330880839816</v>
      </c>
    </row>
    <row r="884" spans="1:34" x14ac:dyDescent="0.25">
      <c r="A884" s="347">
        <f t="shared" ca="1" si="383"/>
        <v>1E-4</v>
      </c>
      <c r="B884" s="304">
        <f t="shared" ca="1" si="384"/>
        <v>47.12860000000132</v>
      </c>
      <c r="D884" s="306">
        <f t="shared" ca="1" si="385"/>
        <v>-0.32123415935674499</v>
      </c>
      <c r="E884" s="307">
        <f t="shared" ca="1" si="386"/>
        <v>-4.7137824276100915E-2</v>
      </c>
      <c r="F884" s="304">
        <f t="shared" ca="1" si="387"/>
        <v>0.32467423614312119</v>
      </c>
      <c r="G884" s="306">
        <f t="shared" ca="1" si="388"/>
        <v>4.0318529448416314</v>
      </c>
      <c r="H884" s="307">
        <f t="shared" ca="1" si="389"/>
        <v>-122.53597133881257</v>
      </c>
      <c r="I884" s="304">
        <f t="shared" ca="1" si="390"/>
        <v>122.60228427772104</v>
      </c>
      <c r="J884" s="306">
        <f t="shared" ca="1" si="391"/>
        <v>677.64536374242232</v>
      </c>
      <c r="K884" s="307">
        <f t="shared" ca="1" si="392"/>
        <v>-13.198171702051276</v>
      </c>
      <c r="L884" s="304">
        <f t="shared" ca="1" si="377"/>
        <v>677.77387876627165</v>
      </c>
      <c r="M884" s="306">
        <f t="shared" ca="1" si="393"/>
        <v>-1.5379047698382942</v>
      </c>
      <c r="N884" s="304">
        <f t="shared" ca="1" si="394"/>
        <v>-88.115452604772514</v>
      </c>
      <c r="P884" s="310">
        <f t="shared" ca="1" si="395"/>
        <v>23</v>
      </c>
      <c r="Q884" s="304">
        <f t="shared" ca="1" si="396"/>
        <v>0</v>
      </c>
      <c r="R884" s="306">
        <f t="shared" ca="1" si="397"/>
        <v>0</v>
      </c>
      <c r="S884" s="307">
        <f t="shared" ca="1" si="398"/>
        <v>2.0842999999999985</v>
      </c>
      <c r="T884" s="304">
        <f t="shared" ca="1" si="378"/>
        <v>20.446982999999985</v>
      </c>
      <c r="U884" s="311">
        <f t="shared" ca="1" si="379"/>
        <v>0</v>
      </c>
      <c r="V884" s="306">
        <f t="shared" ca="1" si="380"/>
        <v>1.2266178436624235</v>
      </c>
      <c r="W884" s="304">
        <f t="shared" ca="1" si="381"/>
        <v>20.359772119685477</v>
      </c>
      <c r="Y884" s="314" t="str">
        <f t="shared" ca="1" si="399"/>
        <v/>
      </c>
      <c r="Z884" s="315" t="str">
        <f t="shared" ca="1" si="400"/>
        <v/>
      </c>
      <c r="AA884" s="316" t="str">
        <f t="shared" ca="1" si="401"/>
        <v/>
      </c>
      <c r="AC884" s="310" t="e">
        <f t="shared" ca="1" si="402"/>
        <v>#N/A</v>
      </c>
      <c r="AD884" s="323" t="e">
        <f t="shared" ca="1" si="403"/>
        <v>#N/A</v>
      </c>
      <c r="AE884" s="324" t="e">
        <f t="shared" ca="1" si="382"/>
        <v>#N/A</v>
      </c>
      <c r="AG884" s="306">
        <f t="shared" ca="1" si="404"/>
        <v>3.6548256924605838E-2</v>
      </c>
      <c r="AH884" s="304">
        <f t="shared" ca="1" si="405"/>
        <v>-9.768145640156991</v>
      </c>
    </row>
    <row r="885" spans="1:34" x14ac:dyDescent="0.25">
      <c r="A885" s="347">
        <f t="shared" ca="1" si="383"/>
        <v>1E-4</v>
      </c>
      <c r="B885" s="304">
        <f t="shared" ca="1" si="384"/>
        <v>47.128700000001324</v>
      </c>
      <c r="D885" s="306">
        <f t="shared" ca="1" si="385"/>
        <v>-0.32123200317438072</v>
      </c>
      <c r="E885" s="307">
        <f t="shared" ca="1" si="386"/>
        <v>-4.7125194646323365E-2</v>
      </c>
      <c r="F885" s="304">
        <f t="shared" ca="1" si="387"/>
        <v>0.32467026940248039</v>
      </c>
      <c r="G885" s="306">
        <f t="shared" ca="1" si="388"/>
        <v>4.0318208216413138</v>
      </c>
      <c r="H885" s="307">
        <f t="shared" ca="1" si="389"/>
        <v>-122.53597605133204</v>
      </c>
      <c r="I885" s="304">
        <f t="shared" ca="1" si="390"/>
        <v>122.60228793130428</v>
      </c>
      <c r="J885" s="306">
        <f t="shared" ca="1" si="391"/>
        <v>677.64536374242232</v>
      </c>
      <c r="K885" s="307">
        <f t="shared" ca="1" si="392"/>
        <v>-13.210425299420784</v>
      </c>
      <c r="L885" s="304">
        <f t="shared" ca="1" si="377"/>
        <v>677.77411748914653</v>
      </c>
      <c r="M885" s="306">
        <f t="shared" ca="1" si="393"/>
        <v>-1.5379050329720436</v>
      </c>
      <c r="N885" s="304">
        <f t="shared" ca="1" si="394"/>
        <v>-88.115467681225809</v>
      </c>
      <c r="P885" s="310">
        <f t="shared" ca="1" si="395"/>
        <v>23</v>
      </c>
      <c r="Q885" s="304">
        <f t="shared" ca="1" si="396"/>
        <v>0</v>
      </c>
      <c r="R885" s="306">
        <f t="shared" ca="1" si="397"/>
        <v>0</v>
      </c>
      <c r="S885" s="307">
        <f t="shared" ca="1" si="398"/>
        <v>2.0842999999999985</v>
      </c>
      <c r="T885" s="304">
        <f t="shared" ca="1" si="378"/>
        <v>20.446982999999985</v>
      </c>
      <c r="U885" s="311">
        <f t="shared" ca="1" si="379"/>
        <v>0</v>
      </c>
      <c r="V885" s="306">
        <f t="shared" ca="1" si="380"/>
        <v>1.2266193467121178</v>
      </c>
      <c r="W885" s="304">
        <f t="shared" ca="1" si="381"/>
        <v>20.35979828121225</v>
      </c>
      <c r="Y885" s="314" t="str">
        <f t="shared" ca="1" si="399"/>
        <v/>
      </c>
      <c r="Z885" s="315" t="str">
        <f t="shared" ca="1" si="400"/>
        <v/>
      </c>
      <c r="AA885" s="316" t="str">
        <f t="shared" ca="1" si="401"/>
        <v/>
      </c>
      <c r="AC885" s="310" t="e">
        <f t="shared" ca="1" si="402"/>
        <v>#N/A</v>
      </c>
      <c r="AD885" s="323" t="e">
        <f t="shared" ca="1" si="403"/>
        <v>#N/A</v>
      </c>
      <c r="AE885" s="324" t="e">
        <f t="shared" ca="1" si="382"/>
        <v>#N/A</v>
      </c>
      <c r="AG885" s="306">
        <f t="shared" ca="1" si="404"/>
        <v>3.6535789923744844E-2</v>
      </c>
      <c r="AH885" s="304">
        <f t="shared" ca="1" si="405"/>
        <v>-9.7681581920479257</v>
      </c>
    </row>
    <row r="886" spans="1:34" x14ac:dyDescent="0.25">
      <c r="A886" s="347">
        <f t="shared" ca="1" si="383"/>
        <v>1E-4</v>
      </c>
      <c r="B886" s="304">
        <f t="shared" ca="1" si="384"/>
        <v>47.128800000001327</v>
      </c>
      <c r="D886" s="306">
        <f t="shared" ca="1" si="385"/>
        <v>-0.3212298470000266</v>
      </c>
      <c r="E886" s="307">
        <f t="shared" ca="1" si="386"/>
        <v>-4.7112565199665113E-2</v>
      </c>
      <c r="F886" s="304">
        <f t="shared" ca="1" si="387"/>
        <v>0.32466630315348893</v>
      </c>
      <c r="G886" s="306">
        <f t="shared" ca="1" si="388"/>
        <v>4.031788698656614</v>
      </c>
      <c r="H886" s="307">
        <f t="shared" ca="1" si="389"/>
        <v>-122.53598076258857</v>
      </c>
      <c r="I886" s="304">
        <f t="shared" ca="1" si="390"/>
        <v>122.60229158364083</v>
      </c>
      <c r="J886" s="306">
        <f t="shared" ca="1" si="391"/>
        <v>677.64536374242232</v>
      </c>
      <c r="K886" s="307">
        <f t="shared" ca="1" si="392"/>
        <v>-13.222678897261479</v>
      </c>
      <c r="L886" s="304">
        <f t="shared" ca="1" si="377"/>
        <v>677.77435643348144</v>
      </c>
      <c r="M886" s="306">
        <f t="shared" ca="1" si="393"/>
        <v>-1.537905296103681</v>
      </c>
      <c r="N886" s="304">
        <f t="shared" ca="1" si="394"/>
        <v>-88.115482757558084</v>
      </c>
      <c r="P886" s="310">
        <f t="shared" ca="1" si="395"/>
        <v>23</v>
      </c>
      <c r="Q886" s="304">
        <f t="shared" ca="1" si="396"/>
        <v>0</v>
      </c>
      <c r="R886" s="306">
        <f t="shared" ca="1" si="397"/>
        <v>0</v>
      </c>
      <c r="S886" s="307">
        <f t="shared" ca="1" si="398"/>
        <v>2.0842999999999985</v>
      </c>
      <c r="T886" s="304">
        <f t="shared" ca="1" si="378"/>
        <v>20.446982999999985</v>
      </c>
      <c r="U886" s="311">
        <f t="shared" ca="1" si="379"/>
        <v>0</v>
      </c>
      <c r="V886" s="306">
        <f t="shared" ca="1" si="380"/>
        <v>1.226620849763713</v>
      </c>
      <c r="W886" s="304">
        <f t="shared" ca="1" si="381"/>
        <v>20.359824442359525</v>
      </c>
      <c r="Y886" s="314" t="str">
        <f t="shared" ca="1" si="399"/>
        <v/>
      </c>
      <c r="Z886" s="315" t="str">
        <f t="shared" ca="1" si="400"/>
        <v/>
      </c>
      <c r="AA886" s="316" t="str">
        <f t="shared" ca="1" si="401"/>
        <v/>
      </c>
      <c r="AC886" s="310" t="e">
        <f t="shared" ca="1" si="402"/>
        <v>#N/A</v>
      </c>
      <c r="AD886" s="323" t="e">
        <f t="shared" ca="1" si="403"/>
        <v>#N/A</v>
      </c>
      <c r="AE886" s="324" t="e">
        <f t="shared" ca="1" si="382"/>
        <v>#N/A</v>
      </c>
      <c r="AG886" s="306">
        <f t="shared" ca="1" si="404"/>
        <v>3.652332310359796E-2</v>
      </c>
      <c r="AH886" s="304">
        <f t="shared" ca="1" si="405"/>
        <v>-9.7681707437567837</v>
      </c>
    </row>
    <row r="887" spans="1:34" x14ac:dyDescent="0.25">
      <c r="A887" s="347">
        <f t="shared" ca="1" si="383"/>
        <v>1E-4</v>
      </c>
      <c r="B887" s="304">
        <f t="shared" ca="1" si="384"/>
        <v>47.12890000000133</v>
      </c>
      <c r="D887" s="306">
        <f t="shared" ca="1" si="385"/>
        <v>-0.32122769083368097</v>
      </c>
      <c r="E887" s="307">
        <f t="shared" ca="1" si="386"/>
        <v>-4.7099935936117276E-2</v>
      </c>
      <c r="F887" s="304">
        <f t="shared" ca="1" si="387"/>
        <v>0.32466233739614037</v>
      </c>
      <c r="G887" s="306">
        <f t="shared" ca="1" si="388"/>
        <v>4.0317565758875311</v>
      </c>
      <c r="H887" s="307">
        <f t="shared" ca="1" si="389"/>
        <v>-122.53598547258215</v>
      </c>
      <c r="I887" s="304">
        <f t="shared" ca="1" si="390"/>
        <v>122.60229523473073</v>
      </c>
      <c r="J887" s="306">
        <f t="shared" ca="1" si="391"/>
        <v>677.64536374242232</v>
      </c>
      <c r="K887" s="307">
        <f t="shared" ca="1" si="392"/>
        <v>-13.234932495573238</v>
      </c>
      <c r="L887" s="304">
        <f t="shared" ca="1" si="377"/>
        <v>677.77459559927604</v>
      </c>
      <c r="M887" s="306">
        <f t="shared" ca="1" si="393"/>
        <v>-1.5379055592332063</v>
      </c>
      <c r="N887" s="304">
        <f t="shared" ca="1" si="394"/>
        <v>-88.115497833769354</v>
      </c>
      <c r="P887" s="310">
        <f t="shared" ca="1" si="395"/>
        <v>23</v>
      </c>
      <c r="Q887" s="304">
        <f t="shared" ca="1" si="396"/>
        <v>0</v>
      </c>
      <c r="R887" s="306">
        <f t="shared" ca="1" si="397"/>
        <v>0</v>
      </c>
      <c r="S887" s="307">
        <f t="shared" ca="1" si="398"/>
        <v>2.0842999999999985</v>
      </c>
      <c r="T887" s="304">
        <f t="shared" ca="1" si="378"/>
        <v>20.446982999999985</v>
      </c>
      <c r="U887" s="311">
        <f t="shared" ca="1" si="379"/>
        <v>0</v>
      </c>
      <c r="V887" s="306">
        <f t="shared" ca="1" si="380"/>
        <v>1.2266223528172087</v>
      </c>
      <c r="W887" s="304">
        <f t="shared" ca="1" si="381"/>
        <v>20.359850603127303</v>
      </c>
      <c r="Y887" s="314" t="str">
        <f t="shared" ca="1" si="399"/>
        <v/>
      </c>
      <c r="Z887" s="315" t="str">
        <f t="shared" ca="1" si="400"/>
        <v/>
      </c>
      <c r="AA887" s="316" t="str">
        <f t="shared" ca="1" si="401"/>
        <v/>
      </c>
      <c r="AC887" s="310" t="e">
        <f t="shared" ca="1" si="402"/>
        <v>#N/A</v>
      </c>
      <c r="AD887" s="323" t="e">
        <f t="shared" ca="1" si="403"/>
        <v>#N/A</v>
      </c>
      <c r="AE887" s="324" t="e">
        <f t="shared" ca="1" si="382"/>
        <v>#N/A</v>
      </c>
      <c r="AG887" s="306">
        <f t="shared" ca="1" si="404"/>
        <v>3.6510856464166963E-2</v>
      </c>
      <c r="AH887" s="304">
        <f t="shared" ca="1" si="405"/>
        <v>-9.768183295283567</v>
      </c>
    </row>
    <row r="888" spans="1:34" x14ac:dyDescent="0.25">
      <c r="A888" s="347">
        <f t="shared" ca="1" si="383"/>
        <v>1E-4</v>
      </c>
      <c r="B888" s="304">
        <f t="shared" ca="1" si="384"/>
        <v>47.129000000001334</v>
      </c>
      <c r="D888" s="306">
        <f t="shared" ca="1" si="385"/>
        <v>-0.32122553467534387</v>
      </c>
      <c r="E888" s="307">
        <f t="shared" ca="1" si="386"/>
        <v>-4.7087306855681632E-2</v>
      </c>
      <c r="F888" s="304">
        <f t="shared" ca="1" si="387"/>
        <v>0.32465837213043136</v>
      </c>
      <c r="G888" s="306">
        <f t="shared" ca="1" si="388"/>
        <v>4.0317244533340633</v>
      </c>
      <c r="H888" s="307">
        <f t="shared" ca="1" si="389"/>
        <v>-122.53599018131284</v>
      </c>
      <c r="I888" s="304">
        <f t="shared" ca="1" si="390"/>
        <v>122.60229888457397</v>
      </c>
      <c r="J888" s="306">
        <f t="shared" ca="1" si="391"/>
        <v>677.64536374242232</v>
      </c>
      <c r="K888" s="307">
        <f t="shared" ca="1" si="392"/>
        <v>-13.247186094355932</v>
      </c>
      <c r="L888" s="304">
        <f t="shared" ca="1" si="377"/>
        <v>677.77483498653021</v>
      </c>
      <c r="M888" s="306">
        <f t="shared" ca="1" si="393"/>
        <v>-1.5379058223606192</v>
      </c>
      <c r="N888" s="304">
        <f t="shared" ca="1" si="394"/>
        <v>-88.115512909859589</v>
      </c>
      <c r="P888" s="310">
        <f t="shared" ca="1" si="395"/>
        <v>23</v>
      </c>
      <c r="Q888" s="304">
        <f t="shared" ca="1" si="396"/>
        <v>0</v>
      </c>
      <c r="R888" s="306">
        <f t="shared" ca="1" si="397"/>
        <v>0</v>
      </c>
      <c r="S888" s="307">
        <f t="shared" ca="1" si="398"/>
        <v>2.0842999999999985</v>
      </c>
      <c r="T888" s="304">
        <f t="shared" ca="1" si="378"/>
        <v>20.446982999999985</v>
      </c>
      <c r="U888" s="311">
        <f t="shared" ca="1" si="379"/>
        <v>0</v>
      </c>
      <c r="V888" s="306">
        <f t="shared" ca="1" si="380"/>
        <v>1.2266238558726053</v>
      </c>
      <c r="W888" s="304">
        <f t="shared" ca="1" si="381"/>
        <v>20.35987676351559</v>
      </c>
      <c r="Y888" s="314" t="str">
        <f t="shared" ca="1" si="399"/>
        <v/>
      </c>
      <c r="Z888" s="315" t="str">
        <f t="shared" ca="1" si="400"/>
        <v/>
      </c>
      <c r="AA888" s="316" t="str">
        <f t="shared" ca="1" si="401"/>
        <v/>
      </c>
      <c r="AC888" s="310" t="e">
        <f t="shared" ca="1" si="402"/>
        <v>#N/A</v>
      </c>
      <c r="AD888" s="323" t="e">
        <f t="shared" ca="1" si="403"/>
        <v>#N/A</v>
      </c>
      <c r="AE888" s="324" t="e">
        <f t="shared" ca="1" si="382"/>
        <v>#N/A</v>
      </c>
      <c r="AG888" s="306">
        <f t="shared" ca="1" si="404"/>
        <v>3.6498390005450077E-2</v>
      </c>
      <c r="AH888" s="304">
        <f t="shared" ca="1" si="405"/>
        <v>-9.7681958466282772</v>
      </c>
    </row>
    <row r="889" spans="1:34" x14ac:dyDescent="0.25">
      <c r="A889" s="347">
        <f t="shared" ca="1" si="383"/>
        <v>1E-4</v>
      </c>
      <c r="B889" s="304">
        <f t="shared" ca="1" si="384"/>
        <v>47.129100000001337</v>
      </c>
      <c r="D889" s="306">
        <f t="shared" ca="1" si="385"/>
        <v>-0.32122337852501781</v>
      </c>
      <c r="E889" s="307">
        <f t="shared" ca="1" si="386"/>
        <v>-4.7074677958356403E-2</v>
      </c>
      <c r="F889" s="304">
        <f t="shared" ca="1" si="387"/>
        <v>0.32465440735636075</v>
      </c>
      <c r="G889" s="306">
        <f t="shared" ca="1" si="388"/>
        <v>4.0316923309962105</v>
      </c>
      <c r="H889" s="307">
        <f t="shared" ca="1" si="389"/>
        <v>-122.53599488878064</v>
      </c>
      <c r="I889" s="304">
        <f t="shared" ca="1" si="390"/>
        <v>122.60230253317059</v>
      </c>
      <c r="J889" s="306">
        <f t="shared" ca="1" si="391"/>
        <v>677.64536374242232</v>
      </c>
      <c r="K889" s="307">
        <f t="shared" ca="1" si="392"/>
        <v>-13.259439693609437</v>
      </c>
      <c r="L889" s="304">
        <f t="shared" ca="1" si="377"/>
        <v>677.77507459524384</v>
      </c>
      <c r="M889" s="306">
        <f t="shared" ca="1" si="393"/>
        <v>-1.5379060854859203</v>
      </c>
      <c r="N889" s="304">
        <f t="shared" ca="1" si="394"/>
        <v>-88.11552798582882</v>
      </c>
      <c r="P889" s="310">
        <f t="shared" ca="1" si="395"/>
        <v>23</v>
      </c>
      <c r="Q889" s="304">
        <f t="shared" ca="1" si="396"/>
        <v>0</v>
      </c>
      <c r="R889" s="306">
        <f t="shared" ca="1" si="397"/>
        <v>0</v>
      </c>
      <c r="S889" s="307">
        <f t="shared" ca="1" si="398"/>
        <v>2.0842999999999985</v>
      </c>
      <c r="T889" s="304">
        <f t="shared" ca="1" si="378"/>
        <v>20.446982999999985</v>
      </c>
      <c r="U889" s="311">
        <f t="shared" ca="1" si="379"/>
        <v>0</v>
      </c>
      <c r="V889" s="306">
        <f t="shared" ca="1" si="380"/>
        <v>1.226625358929903</v>
      </c>
      <c r="W889" s="304">
        <f t="shared" ca="1" si="381"/>
        <v>20.359902923524398</v>
      </c>
      <c r="Y889" s="314" t="str">
        <f t="shared" ca="1" si="399"/>
        <v/>
      </c>
      <c r="Z889" s="315" t="str">
        <f t="shared" ca="1" si="400"/>
        <v/>
      </c>
      <c r="AA889" s="316" t="str">
        <f t="shared" ca="1" si="401"/>
        <v/>
      </c>
      <c r="AC889" s="310" t="e">
        <f t="shared" ca="1" si="402"/>
        <v>#N/A</v>
      </c>
      <c r="AD889" s="323" t="e">
        <f t="shared" ca="1" si="403"/>
        <v>#N/A</v>
      </c>
      <c r="AE889" s="324" t="e">
        <f t="shared" ca="1" si="382"/>
        <v>#N/A</v>
      </c>
      <c r="AG889" s="306">
        <f t="shared" ca="1" si="404"/>
        <v>3.6485923727441971E-2</v>
      </c>
      <c r="AH889" s="304">
        <f t="shared" ca="1" si="405"/>
        <v>-9.7682083977909162</v>
      </c>
    </row>
    <row r="890" spans="1:34" x14ac:dyDescent="0.25">
      <c r="A890" s="347">
        <f t="shared" ca="1" si="383"/>
        <v>1E-4</v>
      </c>
      <c r="B890" s="304">
        <f t="shared" ca="1" si="384"/>
        <v>47.12920000000134</v>
      </c>
      <c r="D890" s="306">
        <f t="shared" ca="1" si="385"/>
        <v>-0.3212212223826989</v>
      </c>
      <c r="E890" s="307">
        <f t="shared" ca="1" si="386"/>
        <v>-4.7062049244136261E-2</v>
      </c>
      <c r="F890" s="304">
        <f t="shared" ca="1" si="387"/>
        <v>0.32465044307392038</v>
      </c>
      <c r="G890" s="306">
        <f t="shared" ca="1" si="388"/>
        <v>4.0316602088739719</v>
      </c>
      <c r="H890" s="307">
        <f t="shared" ca="1" si="389"/>
        <v>-122.53599959498555</v>
      </c>
      <c r="I890" s="304">
        <f t="shared" ca="1" si="390"/>
        <v>122.60230618052059</v>
      </c>
      <c r="J890" s="306">
        <f t="shared" ca="1" si="391"/>
        <v>677.64536374242232</v>
      </c>
      <c r="K890" s="307">
        <f t="shared" ca="1" si="392"/>
        <v>-13.271693293333625</v>
      </c>
      <c r="L890" s="304">
        <f t="shared" ca="1" si="377"/>
        <v>677.77531442541647</v>
      </c>
      <c r="M890" s="306">
        <f t="shared" ca="1" si="393"/>
        <v>-1.5379063486091094</v>
      </c>
      <c r="N890" s="304">
        <f t="shared" ca="1" si="394"/>
        <v>-88.115543061677045</v>
      </c>
      <c r="P890" s="310">
        <f t="shared" ca="1" si="395"/>
        <v>23</v>
      </c>
      <c r="Q890" s="304">
        <f t="shared" ca="1" si="396"/>
        <v>0</v>
      </c>
      <c r="R890" s="306">
        <f t="shared" ca="1" si="397"/>
        <v>0</v>
      </c>
      <c r="S890" s="307">
        <f t="shared" ca="1" si="398"/>
        <v>2.0842999999999985</v>
      </c>
      <c r="T890" s="304">
        <f t="shared" ca="1" si="378"/>
        <v>20.446982999999985</v>
      </c>
      <c r="U890" s="311">
        <f t="shared" ca="1" si="379"/>
        <v>0</v>
      </c>
      <c r="V890" s="306">
        <f t="shared" ca="1" si="380"/>
        <v>1.2266268619891008</v>
      </c>
      <c r="W890" s="304">
        <f t="shared" ca="1" si="381"/>
        <v>20.359929083153716</v>
      </c>
      <c r="Y890" s="314" t="str">
        <f t="shared" ca="1" si="399"/>
        <v/>
      </c>
      <c r="Z890" s="315" t="str">
        <f t="shared" ca="1" si="400"/>
        <v/>
      </c>
      <c r="AA890" s="316" t="str">
        <f t="shared" ca="1" si="401"/>
        <v/>
      </c>
      <c r="AC890" s="310" t="e">
        <f t="shared" ca="1" si="402"/>
        <v>#N/A</v>
      </c>
      <c r="AD890" s="323" t="e">
        <f t="shared" ca="1" si="403"/>
        <v>#N/A</v>
      </c>
      <c r="AE890" s="324" t="e">
        <f t="shared" ca="1" si="382"/>
        <v>#N/A</v>
      </c>
      <c r="AG890" s="306">
        <f t="shared" ca="1" si="404"/>
        <v>3.6473457630140871E-2</v>
      </c>
      <c r="AH890" s="304">
        <f t="shared" ca="1" si="405"/>
        <v>-9.7682209487714875</v>
      </c>
    </row>
    <row r="891" spans="1:34" x14ac:dyDescent="0.25">
      <c r="A891" s="347">
        <f t="shared" ca="1" si="383"/>
        <v>1E-4</v>
      </c>
      <c r="B891" s="304">
        <f t="shared" ca="1" si="384"/>
        <v>47.129300000001344</v>
      </c>
      <c r="D891" s="306">
        <f t="shared" ca="1" si="385"/>
        <v>-0.32121906624838936</v>
      </c>
      <c r="E891" s="307">
        <f t="shared" ca="1" si="386"/>
        <v>-4.7049420713022982E-2</v>
      </c>
      <c r="F891" s="304">
        <f t="shared" ca="1" si="387"/>
        <v>0.32464647928310908</v>
      </c>
      <c r="G891" s="306">
        <f t="shared" ca="1" si="388"/>
        <v>4.0316280869673466</v>
      </c>
      <c r="H891" s="307">
        <f t="shared" ca="1" si="389"/>
        <v>-122.53600429992763</v>
      </c>
      <c r="I891" s="304">
        <f t="shared" ca="1" si="390"/>
        <v>122.60230982662401</v>
      </c>
      <c r="J891" s="306">
        <f t="shared" ca="1" si="391"/>
        <v>677.64536374242232</v>
      </c>
      <c r="K891" s="307">
        <f t="shared" ca="1" si="392"/>
        <v>-13.28394689352837</v>
      </c>
      <c r="L891" s="304">
        <f t="shared" ca="1" si="377"/>
        <v>677.77555447704799</v>
      </c>
      <c r="M891" s="306">
        <f t="shared" ca="1" si="393"/>
        <v>-1.5379066117301861</v>
      </c>
      <c r="N891" s="304">
        <f t="shared" ca="1" si="394"/>
        <v>-88.11555813740425</v>
      </c>
      <c r="P891" s="310">
        <f t="shared" ca="1" si="395"/>
        <v>23</v>
      </c>
      <c r="Q891" s="304">
        <f t="shared" ca="1" si="396"/>
        <v>0</v>
      </c>
      <c r="R891" s="306">
        <f t="shared" ca="1" si="397"/>
        <v>0</v>
      </c>
      <c r="S891" s="307">
        <f t="shared" ca="1" si="398"/>
        <v>2.0842999999999985</v>
      </c>
      <c r="T891" s="304">
        <f t="shared" ca="1" si="378"/>
        <v>20.446982999999985</v>
      </c>
      <c r="U891" s="311">
        <f t="shared" ca="1" si="379"/>
        <v>0</v>
      </c>
      <c r="V891" s="306">
        <f t="shared" ca="1" si="380"/>
        <v>1.2266283650501997</v>
      </c>
      <c r="W891" s="304">
        <f t="shared" ca="1" si="381"/>
        <v>20.359955242403565</v>
      </c>
      <c r="Y891" s="314" t="str">
        <f t="shared" ca="1" si="399"/>
        <v/>
      </c>
      <c r="Z891" s="315" t="str">
        <f t="shared" ca="1" si="400"/>
        <v/>
      </c>
      <c r="AA891" s="316" t="str">
        <f t="shared" ca="1" si="401"/>
        <v/>
      </c>
      <c r="AC891" s="310" t="e">
        <f t="shared" ca="1" si="402"/>
        <v>#N/A</v>
      </c>
      <c r="AD891" s="323" t="e">
        <f t="shared" ca="1" si="403"/>
        <v>#N/A</v>
      </c>
      <c r="AE891" s="324" t="e">
        <f t="shared" ca="1" si="382"/>
        <v>#N/A</v>
      </c>
      <c r="AG891" s="306">
        <f t="shared" ca="1" si="404"/>
        <v>3.6460991713550328E-2</v>
      </c>
      <c r="AH891" s="304">
        <f t="shared" ca="1" si="405"/>
        <v>-9.7682334995699911</v>
      </c>
    </row>
    <row r="892" spans="1:34" x14ac:dyDescent="0.25">
      <c r="A892" s="347">
        <f t="shared" ca="1" si="383"/>
        <v>1E-4</v>
      </c>
      <c r="B892" s="304">
        <f t="shared" ca="1" si="384"/>
        <v>47.129400000001347</v>
      </c>
      <c r="D892" s="306">
        <f t="shared" ca="1" si="385"/>
        <v>-0.32121691012209191</v>
      </c>
      <c r="E892" s="307">
        <f t="shared" ca="1" si="386"/>
        <v>-4.7036792365013014E-2</v>
      </c>
      <c r="F892" s="304">
        <f t="shared" ca="1" si="387"/>
        <v>0.32464251598392563</v>
      </c>
      <c r="G892" s="306">
        <f t="shared" ca="1" si="388"/>
        <v>4.0315959652763347</v>
      </c>
      <c r="H892" s="307">
        <f t="shared" ca="1" si="389"/>
        <v>-122.53600900360686</v>
      </c>
      <c r="I892" s="304">
        <f t="shared" ca="1" si="390"/>
        <v>122.60231347148085</v>
      </c>
      <c r="J892" s="306">
        <f t="shared" ca="1" si="391"/>
        <v>677.64536374242232</v>
      </c>
      <c r="K892" s="307">
        <f t="shared" ca="1" si="392"/>
        <v>-13.296200494193547</v>
      </c>
      <c r="L892" s="304">
        <f t="shared" ca="1" si="377"/>
        <v>677.77579475013829</v>
      </c>
      <c r="M892" s="306">
        <f t="shared" ca="1" si="393"/>
        <v>-1.5379068748491509</v>
      </c>
      <c r="N892" s="304">
        <f t="shared" ca="1" si="394"/>
        <v>-88.115573213010435</v>
      </c>
      <c r="P892" s="310">
        <f t="shared" ca="1" si="395"/>
        <v>23</v>
      </c>
      <c r="Q892" s="304">
        <f t="shared" ca="1" si="396"/>
        <v>0</v>
      </c>
      <c r="R892" s="306">
        <f t="shared" ca="1" si="397"/>
        <v>0</v>
      </c>
      <c r="S892" s="307">
        <f t="shared" ca="1" si="398"/>
        <v>2.0842999999999985</v>
      </c>
      <c r="T892" s="304">
        <f t="shared" ca="1" si="378"/>
        <v>20.446982999999985</v>
      </c>
      <c r="U892" s="311">
        <f t="shared" ca="1" si="379"/>
        <v>0</v>
      </c>
      <c r="V892" s="306">
        <f t="shared" ca="1" si="380"/>
        <v>1.2266298681131995</v>
      </c>
      <c r="W892" s="304">
        <f t="shared" ca="1" si="381"/>
        <v>20.359981401273949</v>
      </c>
      <c r="Y892" s="314" t="str">
        <f t="shared" ca="1" si="399"/>
        <v/>
      </c>
      <c r="Z892" s="315" t="str">
        <f t="shared" ca="1" si="400"/>
        <v/>
      </c>
      <c r="AA892" s="316" t="str">
        <f t="shared" ca="1" si="401"/>
        <v/>
      </c>
      <c r="AC892" s="310" t="e">
        <f t="shared" ca="1" si="402"/>
        <v>#N/A</v>
      </c>
      <c r="AD892" s="323" t="e">
        <f t="shared" ca="1" si="403"/>
        <v>#N/A</v>
      </c>
      <c r="AE892" s="324" t="e">
        <f t="shared" ca="1" si="382"/>
        <v>#N/A</v>
      </c>
      <c r="AG892" s="306">
        <f t="shared" ca="1" si="404"/>
        <v>3.6448525977659685E-2</v>
      </c>
      <c r="AH892" s="304">
        <f t="shared" ca="1" si="405"/>
        <v>-9.7682460501864323</v>
      </c>
    </row>
    <row r="893" spans="1:34" x14ac:dyDescent="0.25">
      <c r="A893" s="347">
        <f t="shared" ca="1" si="383"/>
        <v>1E-4</v>
      </c>
      <c r="B893" s="304">
        <f t="shared" ca="1" si="384"/>
        <v>47.12950000000135</v>
      </c>
      <c r="D893" s="306">
        <f t="shared" ca="1" si="385"/>
        <v>-0.32121475400380256</v>
      </c>
      <c r="E893" s="307">
        <f t="shared" ca="1" si="386"/>
        <v>-4.702416420009925E-2</v>
      </c>
      <c r="F893" s="304">
        <f t="shared" ca="1" si="387"/>
        <v>0.32463855317636153</v>
      </c>
      <c r="G893" s="306">
        <f t="shared" ca="1" si="388"/>
        <v>4.0315638438009342</v>
      </c>
      <c r="H893" s="307">
        <f t="shared" ca="1" si="389"/>
        <v>-122.53601370602328</v>
      </c>
      <c r="I893" s="304">
        <f t="shared" ca="1" si="390"/>
        <v>122.60231711509113</v>
      </c>
      <c r="J893" s="306">
        <f t="shared" ca="1" si="391"/>
        <v>677.64536374242232</v>
      </c>
      <c r="K893" s="307">
        <f t="shared" ca="1" si="392"/>
        <v>-13.308454095329029</v>
      </c>
      <c r="L893" s="304">
        <f t="shared" ca="1" si="377"/>
        <v>677.77603524468714</v>
      </c>
      <c r="M893" s="306">
        <f t="shared" ca="1" si="393"/>
        <v>-1.5379071379660039</v>
      </c>
      <c r="N893" s="304">
        <f t="shared" ca="1" si="394"/>
        <v>-88.11558828849563</v>
      </c>
      <c r="P893" s="310">
        <f t="shared" ca="1" si="395"/>
        <v>23</v>
      </c>
      <c r="Q893" s="304">
        <f t="shared" ca="1" si="396"/>
        <v>0</v>
      </c>
      <c r="R893" s="306">
        <f t="shared" ca="1" si="397"/>
        <v>0</v>
      </c>
      <c r="S893" s="307">
        <f t="shared" ca="1" si="398"/>
        <v>2.0842999999999985</v>
      </c>
      <c r="T893" s="304">
        <f t="shared" ca="1" si="378"/>
        <v>20.446982999999985</v>
      </c>
      <c r="U893" s="311">
        <f t="shared" ca="1" si="379"/>
        <v>0</v>
      </c>
      <c r="V893" s="306">
        <f t="shared" ca="1" si="380"/>
        <v>1.2266313711780996</v>
      </c>
      <c r="W893" s="304">
        <f t="shared" ca="1" si="381"/>
        <v>20.360007559764842</v>
      </c>
      <c r="Y893" s="314" t="str">
        <f t="shared" ca="1" si="399"/>
        <v/>
      </c>
      <c r="Z893" s="315" t="str">
        <f t="shared" ca="1" si="400"/>
        <v/>
      </c>
      <c r="AA893" s="316" t="str">
        <f t="shared" ca="1" si="401"/>
        <v/>
      </c>
      <c r="AC893" s="310" t="e">
        <f t="shared" ca="1" si="402"/>
        <v>#N/A</v>
      </c>
      <c r="AD893" s="323" t="e">
        <f t="shared" ca="1" si="403"/>
        <v>#N/A</v>
      </c>
      <c r="AE893" s="324" t="e">
        <f t="shared" ca="1" si="382"/>
        <v>#N/A</v>
      </c>
      <c r="AG893" s="306">
        <f t="shared" ca="1" si="404"/>
        <v>3.6436060422468941E-2</v>
      </c>
      <c r="AH893" s="304">
        <f t="shared" ca="1" si="405"/>
        <v>-9.7682586006208147</v>
      </c>
    </row>
    <row r="894" spans="1:34" x14ac:dyDescent="0.25">
      <c r="A894" s="347">
        <f t="shared" ca="1" si="383"/>
        <v>1E-4</v>
      </c>
      <c r="B894" s="304">
        <f t="shared" ca="1" si="384"/>
        <v>47.129600000001354</v>
      </c>
      <c r="D894" s="306">
        <f t="shared" ca="1" si="385"/>
        <v>-0.32121259789352091</v>
      </c>
      <c r="E894" s="307">
        <f t="shared" ca="1" si="386"/>
        <v>-4.7011536218294125E-2</v>
      </c>
      <c r="F894" s="304">
        <f t="shared" ca="1" si="387"/>
        <v>0.32463459086041452</v>
      </c>
      <c r="G894" s="306">
        <f t="shared" ca="1" si="388"/>
        <v>4.0315317225411453</v>
      </c>
      <c r="H894" s="307">
        <f t="shared" ca="1" si="389"/>
        <v>-122.53601840717691</v>
      </c>
      <c r="I894" s="304">
        <f t="shared" ca="1" si="390"/>
        <v>122.60232075745489</v>
      </c>
      <c r="J894" s="306">
        <f t="shared" ca="1" si="391"/>
        <v>677.64536374242232</v>
      </c>
      <c r="K894" s="307">
        <f t="shared" ca="1" si="392"/>
        <v>-13.32070769693469</v>
      </c>
      <c r="L894" s="304">
        <f t="shared" ca="1" si="377"/>
        <v>677.77627596069408</v>
      </c>
      <c r="M894" s="306">
        <f t="shared" ca="1" si="393"/>
        <v>-1.5379074010807445</v>
      </c>
      <c r="N894" s="304">
        <f t="shared" ca="1" si="394"/>
        <v>-88.115603363859805</v>
      </c>
      <c r="P894" s="310">
        <f t="shared" ca="1" si="395"/>
        <v>23</v>
      </c>
      <c r="Q894" s="304">
        <f t="shared" ca="1" si="396"/>
        <v>0</v>
      </c>
      <c r="R894" s="306">
        <f t="shared" ca="1" si="397"/>
        <v>0</v>
      </c>
      <c r="S894" s="307">
        <f t="shared" ca="1" si="398"/>
        <v>2.0842999999999985</v>
      </c>
      <c r="T894" s="304">
        <f t="shared" ca="1" si="378"/>
        <v>20.446982999999985</v>
      </c>
      <c r="U894" s="311">
        <f t="shared" ca="1" si="379"/>
        <v>0</v>
      </c>
      <c r="V894" s="306">
        <f t="shared" ca="1" si="380"/>
        <v>1.2266328742449006</v>
      </c>
      <c r="W894" s="304">
        <f t="shared" ca="1" si="381"/>
        <v>20.360033717876291</v>
      </c>
      <c r="Y894" s="314" t="str">
        <f t="shared" ca="1" si="399"/>
        <v/>
      </c>
      <c r="Z894" s="315" t="str">
        <f t="shared" ca="1" si="400"/>
        <v/>
      </c>
      <c r="AA894" s="316" t="str">
        <f t="shared" ca="1" si="401"/>
        <v/>
      </c>
      <c r="AC894" s="310" t="e">
        <f t="shared" ca="1" si="402"/>
        <v>#N/A</v>
      </c>
      <c r="AD894" s="323" t="e">
        <f t="shared" ca="1" si="403"/>
        <v>#N/A</v>
      </c>
      <c r="AE894" s="324" t="e">
        <f t="shared" ca="1" si="382"/>
        <v>#N/A</v>
      </c>
      <c r="AG894" s="306">
        <f t="shared" ca="1" si="404"/>
        <v>3.6423595047988755E-2</v>
      </c>
      <c r="AH894" s="304">
        <f t="shared" ca="1" si="405"/>
        <v>-9.7682711508731259</v>
      </c>
    </row>
    <row r="895" spans="1:34" x14ac:dyDescent="0.25">
      <c r="A895" s="347">
        <f t="shared" ca="1" si="383"/>
        <v>1E-4</v>
      </c>
      <c r="B895" s="304">
        <f t="shared" ca="1" si="384"/>
        <v>47.129700000001357</v>
      </c>
      <c r="D895" s="306">
        <f t="shared" ca="1" si="385"/>
        <v>-0.32121044179125252</v>
      </c>
      <c r="E895" s="307">
        <f t="shared" ca="1" si="386"/>
        <v>-4.6998908419576324E-2</v>
      </c>
      <c r="F895" s="304">
        <f t="shared" ca="1" si="387"/>
        <v>0.32463062903608364</v>
      </c>
      <c r="G895" s="306">
        <f t="shared" ca="1" si="388"/>
        <v>4.0314996014969662</v>
      </c>
      <c r="H895" s="307">
        <f t="shared" ca="1" si="389"/>
        <v>-122.53602310706775</v>
      </c>
      <c r="I895" s="304">
        <f t="shared" ca="1" si="390"/>
        <v>122.60232439857211</v>
      </c>
      <c r="J895" s="306">
        <f t="shared" ca="1" si="391"/>
        <v>677.64536374242232</v>
      </c>
      <c r="K895" s="307">
        <f t="shared" ca="1" si="392"/>
        <v>-13.332961299010401</v>
      </c>
      <c r="L895" s="304">
        <f t="shared" ca="1" si="377"/>
        <v>677.77651689815923</v>
      </c>
      <c r="M895" s="306">
        <f t="shared" ca="1" si="393"/>
        <v>-1.5379076641933733</v>
      </c>
      <c r="N895" s="304">
        <f t="shared" ca="1" si="394"/>
        <v>-88.115618439102974</v>
      </c>
      <c r="P895" s="310">
        <f t="shared" ca="1" si="395"/>
        <v>23</v>
      </c>
      <c r="Q895" s="304">
        <f t="shared" ca="1" si="396"/>
        <v>0</v>
      </c>
      <c r="R895" s="306">
        <f t="shared" ca="1" si="397"/>
        <v>0</v>
      </c>
      <c r="S895" s="307">
        <f t="shared" ca="1" si="398"/>
        <v>2.0842999999999985</v>
      </c>
      <c r="T895" s="304">
        <f t="shared" ca="1" si="378"/>
        <v>20.446982999999985</v>
      </c>
      <c r="U895" s="311">
        <f t="shared" ca="1" si="379"/>
        <v>0</v>
      </c>
      <c r="V895" s="306">
        <f t="shared" ca="1" si="380"/>
        <v>1.2266343773136024</v>
      </c>
      <c r="W895" s="304">
        <f t="shared" ca="1" si="381"/>
        <v>20.360059875608268</v>
      </c>
      <c r="Y895" s="314" t="str">
        <f t="shared" ca="1" si="399"/>
        <v/>
      </c>
      <c r="Z895" s="315" t="str">
        <f t="shared" ca="1" si="400"/>
        <v/>
      </c>
      <c r="AA895" s="316" t="str">
        <f t="shared" ca="1" si="401"/>
        <v/>
      </c>
      <c r="AC895" s="310" t="e">
        <f t="shared" ca="1" si="402"/>
        <v>#N/A</v>
      </c>
      <c r="AD895" s="323" t="e">
        <f t="shared" ca="1" si="403"/>
        <v>#N/A</v>
      </c>
      <c r="AE895" s="324" t="e">
        <f t="shared" ca="1" si="382"/>
        <v>#N/A</v>
      </c>
      <c r="AG895" s="306">
        <f t="shared" ca="1" si="404"/>
        <v>3.6411129854196034E-2</v>
      </c>
      <c r="AH895" s="304">
        <f t="shared" ca="1" si="405"/>
        <v>-9.7682837009433889</v>
      </c>
    </row>
    <row r="896" spans="1:34" x14ac:dyDescent="0.25">
      <c r="A896" s="347">
        <f t="shared" ca="1" si="383"/>
        <v>1E-4</v>
      </c>
      <c r="B896" s="304">
        <f t="shared" ca="1" si="384"/>
        <v>47.12980000000136</v>
      </c>
      <c r="D896" s="306">
        <f t="shared" ca="1" si="385"/>
        <v>-0.32120828569699267</v>
      </c>
      <c r="E896" s="307">
        <f t="shared" ca="1" si="386"/>
        <v>-4.6986280803960057E-2</v>
      </c>
      <c r="F896" s="304">
        <f t="shared" ca="1" si="387"/>
        <v>0.32462666770336268</v>
      </c>
      <c r="G896" s="306">
        <f t="shared" ca="1" si="388"/>
        <v>4.0314674806683968</v>
      </c>
      <c r="H896" s="307">
        <f t="shared" ca="1" si="389"/>
        <v>-122.53602780569582</v>
      </c>
      <c r="I896" s="304">
        <f t="shared" ca="1" si="390"/>
        <v>122.60232803844283</v>
      </c>
      <c r="J896" s="306">
        <f t="shared" ca="1" si="391"/>
        <v>677.64536374242232</v>
      </c>
      <c r="K896" s="307">
        <f t="shared" ca="1" si="392"/>
        <v>-13.345214901556039</v>
      </c>
      <c r="L896" s="304">
        <f t="shared" ca="1" si="377"/>
        <v>677.77675805708225</v>
      </c>
      <c r="M896" s="306">
        <f t="shared" ca="1" si="393"/>
        <v>-1.5379079273038903</v>
      </c>
      <c r="N896" s="304">
        <f t="shared" ca="1" si="394"/>
        <v>-88.115633514225138</v>
      </c>
      <c r="P896" s="310">
        <f t="shared" ca="1" si="395"/>
        <v>23</v>
      </c>
      <c r="Q896" s="304">
        <f t="shared" ca="1" si="396"/>
        <v>0</v>
      </c>
      <c r="R896" s="306">
        <f t="shared" ca="1" si="397"/>
        <v>0</v>
      </c>
      <c r="S896" s="307">
        <f t="shared" ca="1" si="398"/>
        <v>2.0842999999999985</v>
      </c>
      <c r="T896" s="304">
        <f t="shared" ca="1" si="378"/>
        <v>20.446982999999985</v>
      </c>
      <c r="U896" s="311">
        <f t="shared" ca="1" si="379"/>
        <v>0</v>
      </c>
      <c r="V896" s="306">
        <f t="shared" ca="1" si="380"/>
        <v>1.226635880384205</v>
      </c>
      <c r="W896" s="304">
        <f t="shared" ca="1" si="381"/>
        <v>20.360086032960801</v>
      </c>
      <c r="Y896" s="314" t="str">
        <f t="shared" ca="1" si="399"/>
        <v/>
      </c>
      <c r="Z896" s="315" t="str">
        <f t="shared" ca="1" si="400"/>
        <v/>
      </c>
      <c r="AA896" s="316" t="str">
        <f t="shared" ca="1" si="401"/>
        <v/>
      </c>
      <c r="AC896" s="310" t="e">
        <f t="shared" ca="1" si="402"/>
        <v>#N/A</v>
      </c>
      <c r="AD896" s="323" t="e">
        <f t="shared" ca="1" si="403"/>
        <v>#N/A</v>
      </c>
      <c r="AE896" s="324" t="e">
        <f t="shared" ca="1" si="382"/>
        <v>#N/A</v>
      </c>
      <c r="AG896" s="306">
        <f t="shared" ca="1" si="404"/>
        <v>3.6398664841106765E-2</v>
      </c>
      <c r="AH896" s="304">
        <f t="shared" ca="1" si="405"/>
        <v>-9.7682962508315896</v>
      </c>
    </row>
    <row r="897" spans="1:34" x14ac:dyDescent="0.25">
      <c r="A897" s="347">
        <f t="shared" ca="1" si="383"/>
        <v>1E-4</v>
      </c>
      <c r="B897" s="304">
        <f t="shared" ca="1" si="384"/>
        <v>47.129900000001363</v>
      </c>
      <c r="D897" s="306">
        <f t="shared" ca="1" si="385"/>
        <v>-0.32120612961074219</v>
      </c>
      <c r="E897" s="307">
        <f t="shared" ca="1" si="386"/>
        <v>-4.6973653371431112E-2</v>
      </c>
      <c r="F897" s="304">
        <f t="shared" ca="1" si="387"/>
        <v>0.32462270686224687</v>
      </c>
      <c r="G897" s="306">
        <f t="shared" ca="1" si="388"/>
        <v>4.0314353600554353</v>
      </c>
      <c r="H897" s="307">
        <f t="shared" ca="1" si="389"/>
        <v>-122.53603250306116</v>
      </c>
      <c r="I897" s="304">
        <f t="shared" ca="1" si="390"/>
        <v>122.60233167706708</v>
      </c>
      <c r="J897" s="306">
        <f t="shared" ca="1" si="391"/>
        <v>677.64536374242232</v>
      </c>
      <c r="K897" s="307">
        <f t="shared" ca="1" si="392"/>
        <v>-13.357468504571477</v>
      </c>
      <c r="L897" s="304">
        <f t="shared" ca="1" si="377"/>
        <v>677.77699943746279</v>
      </c>
      <c r="M897" s="306">
        <f t="shared" ca="1" si="393"/>
        <v>-1.5379081904122951</v>
      </c>
      <c r="N897" s="304">
        <f t="shared" ca="1" si="394"/>
        <v>-88.115648589226282</v>
      </c>
      <c r="P897" s="310">
        <f t="shared" ca="1" si="395"/>
        <v>23</v>
      </c>
      <c r="Q897" s="304">
        <f t="shared" ca="1" si="396"/>
        <v>0</v>
      </c>
      <c r="R897" s="306">
        <f t="shared" ca="1" si="397"/>
        <v>0</v>
      </c>
      <c r="S897" s="307">
        <f t="shared" ca="1" si="398"/>
        <v>2.0842999999999985</v>
      </c>
      <c r="T897" s="304">
        <f t="shared" ca="1" si="378"/>
        <v>20.446982999999985</v>
      </c>
      <c r="U897" s="311">
        <f t="shared" ca="1" si="379"/>
        <v>0</v>
      </c>
      <c r="V897" s="306">
        <f t="shared" ca="1" si="380"/>
        <v>1.2266373834567077</v>
      </c>
      <c r="W897" s="304">
        <f t="shared" ca="1" si="381"/>
        <v>20.360112189933872</v>
      </c>
      <c r="Y897" s="314" t="str">
        <f t="shared" ca="1" si="399"/>
        <v/>
      </c>
      <c r="Z897" s="315" t="str">
        <f t="shared" ca="1" si="400"/>
        <v/>
      </c>
      <c r="AA897" s="316" t="str">
        <f t="shared" ca="1" si="401"/>
        <v/>
      </c>
      <c r="AC897" s="310" t="e">
        <f t="shared" ca="1" si="402"/>
        <v>#N/A</v>
      </c>
      <c r="AD897" s="323" t="e">
        <f t="shared" ca="1" si="403"/>
        <v>#N/A</v>
      </c>
      <c r="AE897" s="324" t="e">
        <f t="shared" ca="1" si="382"/>
        <v>#N/A</v>
      </c>
      <c r="AG897" s="306">
        <f t="shared" ca="1" si="404"/>
        <v>3.6386200008704961E-2</v>
      </c>
      <c r="AH897" s="304">
        <f t="shared" ca="1" si="405"/>
        <v>-9.7683088005377421</v>
      </c>
    </row>
    <row r="898" spans="1:34" x14ac:dyDescent="0.25">
      <c r="A898" s="347">
        <f t="shared" ca="1" si="383"/>
        <v>1E-4</v>
      </c>
      <c r="B898" s="304">
        <f t="shared" ca="1" si="384"/>
        <v>47.130000000001367</v>
      </c>
      <c r="D898" s="306">
        <f t="shared" ca="1" si="385"/>
        <v>-0.32120397353250302</v>
      </c>
      <c r="E898" s="307">
        <f t="shared" ca="1" si="386"/>
        <v>-4.6961026121998373E-2</v>
      </c>
      <c r="F898" s="304">
        <f t="shared" ca="1" si="387"/>
        <v>0.32461874651273592</v>
      </c>
      <c r="G898" s="306">
        <f t="shared" ca="1" si="388"/>
        <v>4.0314032396580819</v>
      </c>
      <c r="H898" s="307">
        <f t="shared" ca="1" si="389"/>
        <v>-122.53603719916377</v>
      </c>
      <c r="I898" s="304">
        <f t="shared" ca="1" si="390"/>
        <v>122.60233531444487</v>
      </c>
      <c r="J898" s="306">
        <f t="shared" ca="1" si="391"/>
        <v>677.64536374242232</v>
      </c>
      <c r="K898" s="307">
        <f t="shared" ca="1" si="392"/>
        <v>-13.369722108056589</v>
      </c>
      <c r="L898" s="304">
        <f t="shared" ca="1" si="377"/>
        <v>677.77724103930086</v>
      </c>
      <c r="M898" s="306">
        <f t="shared" ca="1" si="393"/>
        <v>-1.5379084535185881</v>
      </c>
      <c r="N898" s="304">
        <f t="shared" ca="1" si="394"/>
        <v>-88.115663664106435</v>
      </c>
      <c r="P898" s="310">
        <f t="shared" ca="1" si="395"/>
        <v>23</v>
      </c>
      <c r="Q898" s="304">
        <f t="shared" ca="1" si="396"/>
        <v>0</v>
      </c>
      <c r="R898" s="306">
        <f t="shared" ca="1" si="397"/>
        <v>0</v>
      </c>
      <c r="S898" s="307">
        <f t="shared" ca="1" si="398"/>
        <v>2.0842999999999985</v>
      </c>
      <c r="T898" s="304">
        <f t="shared" ca="1" si="378"/>
        <v>20.446982999999985</v>
      </c>
      <c r="U898" s="311">
        <f t="shared" ca="1" si="379"/>
        <v>0</v>
      </c>
      <c r="V898" s="306">
        <f t="shared" ca="1" si="380"/>
        <v>1.2266388865311117</v>
      </c>
      <c r="W898" s="304">
        <f t="shared" ca="1" si="381"/>
        <v>20.36013834652751</v>
      </c>
      <c r="Y898" s="314" t="str">
        <f t="shared" ca="1" si="399"/>
        <v/>
      </c>
      <c r="Z898" s="315" t="str">
        <f t="shared" ca="1" si="400"/>
        <v/>
      </c>
      <c r="AA898" s="316" t="str">
        <f t="shared" ca="1" si="401"/>
        <v/>
      </c>
      <c r="AC898" s="310" t="e">
        <f t="shared" ca="1" si="402"/>
        <v>#N/A</v>
      </c>
      <c r="AD898" s="323" t="e">
        <f t="shared" ca="1" si="403"/>
        <v>#N/A</v>
      </c>
      <c r="AE898" s="324" t="e">
        <f t="shared" ca="1" si="382"/>
        <v>#N/A</v>
      </c>
      <c r="AG898" s="306">
        <f t="shared" ca="1" si="404"/>
        <v>3.637373535700128E-2</v>
      </c>
      <c r="AH898" s="304">
        <f t="shared" ca="1" si="405"/>
        <v>-9.7683213500618375</v>
      </c>
    </row>
    <row r="899" spans="1:34" x14ac:dyDescent="0.25">
      <c r="A899" s="347">
        <f t="shared" ca="1" si="383"/>
        <v>1E-4</v>
      </c>
      <c r="B899" s="304">
        <f t="shared" ca="1" si="384"/>
        <v>47.13010000000137</v>
      </c>
      <c r="D899" s="306">
        <f t="shared" ca="1" si="385"/>
        <v>-0.32120181746227366</v>
      </c>
      <c r="E899" s="307">
        <f t="shared" ca="1" si="386"/>
        <v>-4.6948399055645851E-2</v>
      </c>
      <c r="F899" s="304">
        <f t="shared" ca="1" si="387"/>
        <v>0.32461478665482252</v>
      </c>
      <c r="G899" s="306">
        <f t="shared" ca="1" si="388"/>
        <v>4.0313711194763355</v>
      </c>
      <c r="H899" s="307">
        <f t="shared" ca="1" si="389"/>
        <v>-122.53604189400367</v>
      </c>
      <c r="I899" s="304">
        <f t="shared" ca="1" si="390"/>
        <v>122.6023389505762</v>
      </c>
      <c r="J899" s="306">
        <f t="shared" ca="1" si="391"/>
        <v>677.64536374242232</v>
      </c>
      <c r="K899" s="307">
        <f t="shared" ca="1" si="392"/>
        <v>-13.381975712011247</v>
      </c>
      <c r="L899" s="304">
        <f t="shared" ca="1" si="377"/>
        <v>677.777482862596</v>
      </c>
      <c r="M899" s="306">
        <f t="shared" ca="1" si="393"/>
        <v>-1.5379087166227692</v>
      </c>
      <c r="N899" s="304">
        <f t="shared" ca="1" si="394"/>
        <v>-88.115678738865583</v>
      </c>
      <c r="P899" s="310">
        <f t="shared" ca="1" si="395"/>
        <v>23</v>
      </c>
      <c r="Q899" s="304">
        <f t="shared" ca="1" si="396"/>
        <v>0</v>
      </c>
      <c r="R899" s="306">
        <f t="shared" ca="1" si="397"/>
        <v>0</v>
      </c>
      <c r="S899" s="307">
        <f t="shared" ca="1" si="398"/>
        <v>2.0842999999999985</v>
      </c>
      <c r="T899" s="304">
        <f t="shared" ca="1" si="378"/>
        <v>20.446982999999985</v>
      </c>
      <c r="U899" s="311">
        <f t="shared" ca="1" si="379"/>
        <v>0</v>
      </c>
      <c r="V899" s="306">
        <f t="shared" ca="1" si="380"/>
        <v>1.2266403896074156</v>
      </c>
      <c r="W899" s="304">
        <f t="shared" ca="1" si="381"/>
        <v>20.360164502741686</v>
      </c>
      <c r="Y899" s="314" t="str">
        <f t="shared" ca="1" si="399"/>
        <v/>
      </c>
      <c r="Z899" s="315" t="str">
        <f t="shared" ca="1" si="400"/>
        <v/>
      </c>
      <c r="AA899" s="316" t="str">
        <f t="shared" ca="1" si="401"/>
        <v/>
      </c>
      <c r="AC899" s="310" t="e">
        <f t="shared" ca="1" si="402"/>
        <v>#N/A</v>
      </c>
      <c r="AD899" s="323" t="e">
        <f t="shared" ca="1" si="403"/>
        <v>#N/A</v>
      </c>
      <c r="AE899" s="324" t="e">
        <f t="shared" ca="1" si="382"/>
        <v>#N/A</v>
      </c>
      <c r="AG899" s="306">
        <f t="shared" ca="1" si="404"/>
        <v>3.6361270885981511E-2</v>
      </c>
      <c r="AH899" s="304">
        <f t="shared" ca="1" si="405"/>
        <v>-9.7683338994038884</v>
      </c>
    </row>
    <row r="900" spans="1:34" x14ac:dyDescent="0.25">
      <c r="A900" s="347">
        <f t="shared" ca="1" si="383"/>
        <v>1E-4</v>
      </c>
      <c r="B900" s="304">
        <f t="shared" ca="1" si="384"/>
        <v>47.130200000001373</v>
      </c>
      <c r="D900" s="306">
        <f t="shared" ca="1" si="385"/>
        <v>-0.32119966140005407</v>
      </c>
      <c r="E900" s="307">
        <f t="shared" ca="1" si="386"/>
        <v>-4.693577217239131E-2</v>
      </c>
      <c r="F900" s="304">
        <f t="shared" ca="1" si="387"/>
        <v>0.3246108272885056</v>
      </c>
      <c r="G900" s="306">
        <f t="shared" ca="1" si="388"/>
        <v>4.0313389995101954</v>
      </c>
      <c r="H900" s="307">
        <f t="shared" ca="1" si="389"/>
        <v>-122.53604658758088</v>
      </c>
      <c r="I900" s="304">
        <f t="shared" ca="1" si="390"/>
        <v>122.60234258546109</v>
      </c>
      <c r="J900" s="306">
        <f t="shared" ca="1" si="391"/>
        <v>677.64536374242232</v>
      </c>
      <c r="K900" s="307">
        <f t="shared" ca="1" si="392"/>
        <v>-13.394229316435327</v>
      </c>
      <c r="L900" s="304">
        <f t="shared" ref="L900:L963" ca="1" si="406">SQRT(pos_x^2+pos_z^2)</f>
        <v>677.77772490734833</v>
      </c>
      <c r="M900" s="306">
        <f t="shared" ca="1" si="393"/>
        <v>-1.5379089797248384</v>
      </c>
      <c r="N900" s="304">
        <f t="shared" ca="1" si="394"/>
        <v>-88.115693813503739</v>
      </c>
      <c r="P900" s="310">
        <f t="shared" ca="1" si="395"/>
        <v>23</v>
      </c>
      <c r="Q900" s="304">
        <f t="shared" ca="1" si="396"/>
        <v>0</v>
      </c>
      <c r="R900" s="306">
        <f t="shared" ca="1" si="397"/>
        <v>0</v>
      </c>
      <c r="S900" s="307">
        <f t="shared" ca="1" si="398"/>
        <v>2.0842999999999985</v>
      </c>
      <c r="T900" s="304">
        <f t="shared" ref="T900:T963" ca="1" si="407">m*g</f>
        <v>20.446982999999985</v>
      </c>
      <c r="U900" s="311">
        <f t="shared" ref="U900:U963" ca="1" si="408">IF(pos_xz&lt;L_rampe,Poids*COS(Beta),0)</f>
        <v>0</v>
      </c>
      <c r="V900" s="306">
        <f t="shared" ref="V900:V963" ca="1" si="409">Rho_moyen*(20000-Alt_rampe-pos_z)/(20000+Alt_rampe+pos_z)</f>
        <v>1.2266418926856206</v>
      </c>
      <c r="W900" s="304">
        <f t="shared" ref="W900:W963" ca="1" si="410">1/2*Rho*Sref*Cx*vit_xz^2</f>
        <v>20.360190658576432</v>
      </c>
      <c r="Y900" s="314" t="str">
        <f t="shared" ca="1" si="399"/>
        <v/>
      </c>
      <c r="Z900" s="315" t="str">
        <f t="shared" ca="1" si="400"/>
        <v/>
      </c>
      <c r="AA900" s="316" t="str">
        <f t="shared" ca="1" si="401"/>
        <v/>
      </c>
      <c r="AC900" s="310" t="e">
        <f t="shared" ca="1" si="402"/>
        <v>#N/A</v>
      </c>
      <c r="AD900" s="323" t="e">
        <f t="shared" ca="1" si="403"/>
        <v>#N/A</v>
      </c>
      <c r="AE900" s="324" t="e">
        <f t="shared" ref="AE900:AE963" ca="1" si="411">IF(t&lt;T_para, pos_z, NA())</f>
        <v>#N/A</v>
      </c>
      <c r="AG900" s="306">
        <f t="shared" ca="1" si="404"/>
        <v>3.634880659565809E-2</v>
      </c>
      <c r="AH900" s="304">
        <f t="shared" ca="1" si="405"/>
        <v>-9.7683464485638822</v>
      </c>
    </row>
    <row r="901" spans="1:34" x14ac:dyDescent="0.25">
      <c r="A901" s="347">
        <f t="shared" ref="A901:A964" ca="1" si="412">IF(B900+0.01&lt;=T_ini+ROUNDUP(Temps_fin_propu,0), 0.01, IF(K900&gt;0, 0.1, 0.0001))</f>
        <v>1E-4</v>
      </c>
      <c r="B901" s="304">
        <f t="shared" ref="B901:B964" ca="1" si="413">B900+pas</f>
        <v>47.130300000001377</v>
      </c>
      <c r="D901" s="306">
        <f t="shared" ref="D901:D964" ca="1" si="414">IF(AND(L900&lt;L_rampe,Poussee&lt;Poids*SIN(M900)),0,(-W900+Poussee)/m*COS(M900)-U900/m*SIN(M900))</f>
        <v>-0.32119750534584479</v>
      </c>
      <c r="E901" s="307">
        <f t="shared" ref="E901:E964" ca="1" si="415">IF(AND(L900&lt;L_rampe,Poussee&lt;Poids*SIN(M900)),0,(-W900+Poussee)/m*SIN(M900)+U900/m*COS(M900)-Poids/m)</f>
        <v>-4.6923145472216987E-2</v>
      </c>
      <c r="F901" s="304">
        <f t="shared" ref="F901:F964" ca="1" si="416">SQRT(acc_x^2+acc_z^2)</f>
        <v>0.32460686841377961</v>
      </c>
      <c r="G901" s="306">
        <f t="shared" ref="G901:G964" ca="1" si="417">G900+acc_x*pas</f>
        <v>4.0313068797596605</v>
      </c>
      <c r="H901" s="307">
        <f t="shared" ref="H901:H964" ca="1" si="418">H900+acc_z*pas</f>
        <v>-122.53605127989543</v>
      </c>
      <c r="I901" s="304">
        <f t="shared" ref="I901:I964" ca="1" si="419">SQRT(vit_x^2+vit_z^2)</f>
        <v>122.60234621909957</v>
      </c>
      <c r="J901" s="306">
        <f t="shared" ref="J901:J964" ca="1" si="420">J900+0.5*(vit_x+G900)*pas*(K900&gt;=0)</f>
        <v>677.64536374242232</v>
      </c>
      <c r="K901" s="307">
        <f t="shared" ref="K901:K964" ca="1" si="421">K900+0.5*(vit_z+H900)*pas</f>
        <v>-13.406482921328701</v>
      </c>
      <c r="L901" s="304">
        <f t="shared" ca="1" si="406"/>
        <v>677.77796717355727</v>
      </c>
      <c r="M901" s="306">
        <f t="shared" ref="M901:M964" ca="1" si="422">IF(AND(L900&gt;L_rampe,G901&gt;0),ATAN2(G901,H901),$M$4)</f>
        <v>-1.5379092428247958</v>
      </c>
      <c r="N901" s="304">
        <f t="shared" ref="N901:N964" ca="1" si="423">DEGREES(Beta)</f>
        <v>-88.115708888020876</v>
      </c>
      <c r="P901" s="310">
        <f t="shared" ref="P901:P964" ca="1" si="424">MATCH(t-pas/2-T_ini,CdP_t)</f>
        <v>23</v>
      </c>
      <c r="Q901" s="304">
        <f t="shared" ref="Q901:Q964" ca="1" si="425">(INDEX(CdP,2,i_P+1)-INDEX(CdP,2,i_P+0))/(INDEX(CdP,1,i_P+1)-INDEX(CdP,1,i_P+0))*(t-pas/2-T_ini-INDEX(CdP,1,i_P+0))+INDEX(CdP,2,i_P+0)</f>
        <v>0</v>
      </c>
      <c r="R901" s="306">
        <f t="shared" ref="R901:R964" ca="1" si="426">Poussee/(g*ISP)</f>
        <v>0</v>
      </c>
      <c r="S901" s="307">
        <f t="shared" ref="S901:S964" ca="1" si="427">S900-Débit*pas</f>
        <v>2.0842999999999985</v>
      </c>
      <c r="T901" s="304">
        <f t="shared" ca="1" si="407"/>
        <v>20.446982999999985</v>
      </c>
      <c r="U901" s="311">
        <f t="shared" ca="1" si="408"/>
        <v>0</v>
      </c>
      <c r="V901" s="306">
        <f t="shared" ca="1" si="409"/>
        <v>1.2266433957657261</v>
      </c>
      <c r="W901" s="304">
        <f t="shared" ca="1" si="410"/>
        <v>20.360216814031737</v>
      </c>
      <c r="Y901" s="314" t="str">
        <f t="shared" ref="Y901:Y964" ca="1" si="428">IF(AND(pos_z&lt;=0,K900&gt;0),"Impact balistique","") &amp; IF(AND(H902&lt;0,vit_z&gt;=0),"Apogée","") &amp; IF(AND(Poussee=0,Q900&gt;0),"Fin de propulsion","") &amp; IF(AND(L902&gt;L_rampe,pos_xz&lt;=L_rampe),"Sortie de rampe","")</f>
        <v/>
      </c>
      <c r="Z901" s="315" t="str">
        <f t="shared" ref="Z901:Z964" ca="1" si="429">IF(ABS(t-T_para)&lt;pas/2,"Para","")</f>
        <v/>
      </c>
      <c r="AA901" s="316" t="str">
        <f t="shared" ref="AA901:AA964" ca="1" si="430">IF(ABS(t-T_satellite)&lt;pas/2,"Satellite","")</f>
        <v/>
      </c>
      <c r="AC901" s="310" t="e">
        <f t="shared" ref="AC901:AC964" ca="1" si="431">IF(ABS(t-ROUND(t,0))&lt;0.001,t,NA())</f>
        <v>#N/A</v>
      </c>
      <c r="AD901" s="323" t="e">
        <f t="shared" ref="AD901:AD964" ca="1" si="432">IF(ABS(t-ROUND(t,0))&lt;0.001,pos_x,NA())</f>
        <v>#N/A</v>
      </c>
      <c r="AE901" s="324" t="e">
        <f t="shared" ca="1" si="411"/>
        <v>#N/A</v>
      </c>
      <c r="AG901" s="306">
        <f t="shared" ref="AG901:AG964" ca="1" si="433">IF(AND(L900&lt;L_rampe,Poussee&lt;Poids*SIN(M900)),0,(-W900+Poussee)/m-Poids*SIN(M900)/m)</f>
        <v>3.6336342486015027E-2</v>
      </c>
      <c r="AH901" s="304">
        <f t="shared" ref="AH901:AH964" ca="1" si="434">IF(AND(L900&lt;L_rampe,Poussee&lt;Poids*SIN(M900)), g*SIN(M900), (-W900+Poussee)/m)</f>
        <v>-9.768358997541835</v>
      </c>
    </row>
    <row r="902" spans="1:34" x14ac:dyDescent="0.25">
      <c r="A902" s="347">
        <f t="shared" ca="1" si="412"/>
        <v>1E-4</v>
      </c>
      <c r="B902" s="304">
        <f t="shared" ca="1" si="413"/>
        <v>47.13040000000138</v>
      </c>
      <c r="D902" s="306">
        <f t="shared" ca="1" si="414"/>
        <v>-0.32119534929964588</v>
      </c>
      <c r="E902" s="307">
        <f t="shared" ca="1" si="415"/>
        <v>-4.6910518955128211E-2</v>
      </c>
      <c r="F902" s="304">
        <f t="shared" ca="1" si="416"/>
        <v>0.32460291003064184</v>
      </c>
      <c r="G902" s="306">
        <f t="shared" ca="1" si="417"/>
        <v>4.031274760224731</v>
      </c>
      <c r="H902" s="307">
        <f t="shared" ca="1" si="418"/>
        <v>-122.53605597094733</v>
      </c>
      <c r="I902" s="304">
        <f t="shared" ca="1" si="419"/>
        <v>122.60234985149168</v>
      </c>
      <c r="J902" s="306">
        <f t="shared" ca="1" si="420"/>
        <v>677.64536374242232</v>
      </c>
      <c r="K902" s="307">
        <f t="shared" ca="1" si="421"/>
        <v>-13.418736526691243</v>
      </c>
      <c r="L902" s="304">
        <f t="shared" ca="1" si="406"/>
        <v>677.77820966122283</v>
      </c>
      <c r="M902" s="306">
        <f t="shared" ca="1" si="422"/>
        <v>-1.5379095059226413</v>
      </c>
      <c r="N902" s="304">
        <f t="shared" ca="1" si="423"/>
        <v>-88.115723962417036</v>
      </c>
      <c r="P902" s="310">
        <f t="shared" ca="1" si="424"/>
        <v>23</v>
      </c>
      <c r="Q902" s="304">
        <f t="shared" ca="1" si="425"/>
        <v>0</v>
      </c>
      <c r="R902" s="306">
        <f t="shared" ca="1" si="426"/>
        <v>0</v>
      </c>
      <c r="S902" s="307">
        <f t="shared" ca="1" si="427"/>
        <v>2.0842999999999985</v>
      </c>
      <c r="T902" s="304">
        <f t="shared" ca="1" si="407"/>
        <v>20.446982999999985</v>
      </c>
      <c r="U902" s="311">
        <f t="shared" ca="1" si="408"/>
        <v>0</v>
      </c>
      <c r="V902" s="306">
        <f t="shared" ca="1" si="409"/>
        <v>1.2266448988477323</v>
      </c>
      <c r="W902" s="304">
        <f t="shared" ca="1" si="410"/>
        <v>20.360242969107627</v>
      </c>
      <c r="Y902" s="314" t="str">
        <f t="shared" ca="1" si="428"/>
        <v/>
      </c>
      <c r="Z902" s="315" t="str">
        <f t="shared" ca="1" si="429"/>
        <v/>
      </c>
      <c r="AA902" s="316" t="str">
        <f t="shared" ca="1" si="430"/>
        <v/>
      </c>
      <c r="AC902" s="310" t="e">
        <f t="shared" ca="1" si="431"/>
        <v>#N/A</v>
      </c>
      <c r="AD902" s="323" t="e">
        <f t="shared" ca="1" si="432"/>
        <v>#N/A</v>
      </c>
      <c r="AE902" s="324" t="e">
        <f t="shared" ca="1" si="411"/>
        <v>#N/A</v>
      </c>
      <c r="AG902" s="306">
        <f t="shared" ca="1" si="433"/>
        <v>3.6323878557062983E-2</v>
      </c>
      <c r="AH902" s="304">
        <f t="shared" ca="1" si="434"/>
        <v>-9.7683715463377396</v>
      </c>
    </row>
    <row r="903" spans="1:34" x14ac:dyDescent="0.25">
      <c r="A903" s="347">
        <f t="shared" ca="1" si="412"/>
        <v>1E-4</v>
      </c>
      <c r="B903" s="304">
        <f t="shared" ca="1" si="413"/>
        <v>47.130500000001383</v>
      </c>
      <c r="D903" s="306">
        <f t="shared" ca="1" si="414"/>
        <v>-0.32119319326145812</v>
      </c>
      <c r="E903" s="307">
        <f t="shared" ca="1" si="415"/>
        <v>-4.6897892621112547E-2</v>
      </c>
      <c r="F903" s="304">
        <f t="shared" ca="1" si="416"/>
        <v>0.32459895213908779</v>
      </c>
      <c r="G903" s="306">
        <f t="shared" ca="1" si="417"/>
        <v>4.031242640905405</v>
      </c>
      <c r="H903" s="307">
        <f t="shared" ca="1" si="418"/>
        <v>-122.5360606607366</v>
      </c>
      <c r="I903" s="304">
        <f t="shared" ca="1" si="419"/>
        <v>122.60235348263741</v>
      </c>
      <c r="J903" s="306">
        <f t="shared" ca="1" si="420"/>
        <v>677.64536374242232</v>
      </c>
      <c r="K903" s="307">
        <f t="shared" ca="1" si="421"/>
        <v>-13.430990132522826</v>
      </c>
      <c r="L903" s="304">
        <f t="shared" ca="1" si="406"/>
        <v>677.77845237034478</v>
      </c>
      <c r="M903" s="306">
        <f t="shared" ca="1" si="422"/>
        <v>-1.537909769018375</v>
      </c>
      <c r="N903" s="304">
        <f t="shared" ca="1" si="423"/>
        <v>-88.115739036692176</v>
      </c>
      <c r="P903" s="310">
        <f t="shared" ca="1" si="424"/>
        <v>23</v>
      </c>
      <c r="Q903" s="304">
        <f t="shared" ca="1" si="425"/>
        <v>0</v>
      </c>
      <c r="R903" s="306">
        <f t="shared" ca="1" si="426"/>
        <v>0</v>
      </c>
      <c r="S903" s="307">
        <f t="shared" ca="1" si="427"/>
        <v>2.0842999999999985</v>
      </c>
      <c r="T903" s="304">
        <f t="shared" ca="1" si="407"/>
        <v>20.446982999999985</v>
      </c>
      <c r="U903" s="311">
        <f t="shared" ca="1" si="408"/>
        <v>0</v>
      </c>
      <c r="V903" s="306">
        <f t="shared" ca="1" si="409"/>
        <v>1.2266464019316388</v>
      </c>
      <c r="W903" s="304">
        <f t="shared" ca="1" si="410"/>
        <v>20.36026912380408</v>
      </c>
      <c r="Y903" s="314" t="str">
        <f t="shared" ca="1" si="428"/>
        <v/>
      </c>
      <c r="Z903" s="315" t="str">
        <f t="shared" ca="1" si="429"/>
        <v/>
      </c>
      <c r="AA903" s="316" t="str">
        <f t="shared" ca="1" si="430"/>
        <v/>
      </c>
      <c r="AC903" s="310" t="e">
        <f t="shared" ca="1" si="431"/>
        <v>#N/A</v>
      </c>
      <c r="AD903" s="323" t="e">
        <f t="shared" ca="1" si="432"/>
        <v>#N/A</v>
      </c>
      <c r="AE903" s="324" t="e">
        <f t="shared" ca="1" si="411"/>
        <v>#N/A</v>
      </c>
      <c r="AG903" s="306">
        <f t="shared" ca="1" si="433"/>
        <v>3.6311414808782416E-2</v>
      </c>
      <c r="AH903" s="304">
        <f t="shared" ca="1" si="434"/>
        <v>-9.7683840949516103</v>
      </c>
    </row>
    <row r="904" spans="1:34" x14ac:dyDescent="0.25">
      <c r="A904" s="347">
        <f t="shared" ca="1" si="412"/>
        <v>1E-4</v>
      </c>
      <c r="B904" s="304">
        <f t="shared" ca="1" si="413"/>
        <v>47.130600000001387</v>
      </c>
      <c r="D904" s="306">
        <f t="shared" ca="1" si="414"/>
        <v>-0.3211910372312814</v>
      </c>
      <c r="E904" s="307">
        <f t="shared" ca="1" si="415"/>
        <v>-4.6885266470178877E-2</v>
      </c>
      <c r="F904" s="304">
        <f t="shared" ca="1" si="416"/>
        <v>0.32459499473911496</v>
      </c>
      <c r="G904" s="306">
        <f t="shared" ca="1" si="417"/>
        <v>4.0312105218016816</v>
      </c>
      <c r="H904" s="307">
        <f t="shared" ca="1" si="418"/>
        <v>-122.53606534926324</v>
      </c>
      <c r="I904" s="304">
        <f t="shared" ca="1" si="419"/>
        <v>122.60235711253677</v>
      </c>
      <c r="J904" s="306">
        <f t="shared" ca="1" si="420"/>
        <v>677.64536374242232</v>
      </c>
      <c r="K904" s="307">
        <f t="shared" ca="1" si="421"/>
        <v>-13.443243738823327</v>
      </c>
      <c r="L904" s="304">
        <f t="shared" ca="1" si="406"/>
        <v>677.77869530092289</v>
      </c>
      <c r="M904" s="306">
        <f t="shared" ca="1" si="422"/>
        <v>-1.5379100321119967</v>
      </c>
      <c r="N904" s="304">
        <f t="shared" ca="1" si="423"/>
        <v>-88.115754110846325</v>
      </c>
      <c r="P904" s="310">
        <f t="shared" ca="1" si="424"/>
        <v>23</v>
      </c>
      <c r="Q904" s="304">
        <f t="shared" ca="1" si="425"/>
        <v>0</v>
      </c>
      <c r="R904" s="306">
        <f t="shared" ca="1" si="426"/>
        <v>0</v>
      </c>
      <c r="S904" s="307">
        <f t="shared" ca="1" si="427"/>
        <v>2.0842999999999985</v>
      </c>
      <c r="T904" s="304">
        <f t="shared" ca="1" si="407"/>
        <v>20.446982999999985</v>
      </c>
      <c r="U904" s="311">
        <f t="shared" ca="1" si="408"/>
        <v>0</v>
      </c>
      <c r="V904" s="306">
        <f t="shared" ca="1" si="409"/>
        <v>1.2266479050174464</v>
      </c>
      <c r="W904" s="304">
        <f t="shared" ca="1" si="410"/>
        <v>20.360295278121118</v>
      </c>
      <c r="Y904" s="314" t="str">
        <f t="shared" ca="1" si="428"/>
        <v/>
      </c>
      <c r="Z904" s="315" t="str">
        <f t="shared" ca="1" si="429"/>
        <v/>
      </c>
      <c r="AA904" s="316" t="str">
        <f t="shared" ca="1" si="430"/>
        <v/>
      </c>
      <c r="AC904" s="310" t="e">
        <f t="shared" ca="1" si="431"/>
        <v>#N/A</v>
      </c>
      <c r="AD904" s="323" t="e">
        <f t="shared" ca="1" si="432"/>
        <v>#N/A</v>
      </c>
      <c r="AE904" s="324" t="e">
        <f t="shared" ca="1" si="411"/>
        <v>#N/A</v>
      </c>
      <c r="AG904" s="306">
        <f t="shared" ca="1" si="433"/>
        <v>3.6298951241187538E-2</v>
      </c>
      <c r="AH904" s="304">
        <f t="shared" ca="1" si="434"/>
        <v>-9.7683966433834364</v>
      </c>
    </row>
    <row r="905" spans="1:34" x14ac:dyDescent="0.25">
      <c r="A905" s="347">
        <f t="shared" ca="1" si="412"/>
        <v>1E-4</v>
      </c>
      <c r="B905" s="304">
        <f t="shared" ca="1" si="413"/>
        <v>47.13070000000139</v>
      </c>
      <c r="D905" s="306">
        <f t="shared" ca="1" si="414"/>
        <v>-0.32118888120911598</v>
      </c>
      <c r="E905" s="307">
        <f t="shared" ca="1" si="415"/>
        <v>-4.6872640502320095E-2</v>
      </c>
      <c r="F905" s="304">
        <f t="shared" ca="1" si="416"/>
        <v>0.32459103783071913</v>
      </c>
      <c r="G905" s="306">
        <f t="shared" ca="1" si="417"/>
        <v>4.0311784029135609</v>
      </c>
      <c r="H905" s="307">
        <f t="shared" ca="1" si="418"/>
        <v>-122.53607003652729</v>
      </c>
      <c r="I905" s="304">
        <f t="shared" ca="1" si="419"/>
        <v>122.6023607411898</v>
      </c>
      <c r="J905" s="306">
        <f t="shared" ca="1" si="420"/>
        <v>677.64536374242232</v>
      </c>
      <c r="K905" s="307">
        <f t="shared" ca="1" si="421"/>
        <v>-13.455497345592617</v>
      </c>
      <c r="L905" s="304">
        <f t="shared" ca="1" si="406"/>
        <v>677.77893845295682</v>
      </c>
      <c r="M905" s="306">
        <f t="shared" ca="1" si="422"/>
        <v>-1.5379102952035069</v>
      </c>
      <c r="N905" s="304">
        <f t="shared" ca="1" si="423"/>
        <v>-88.115769184879483</v>
      </c>
      <c r="P905" s="310">
        <f t="shared" ca="1" si="424"/>
        <v>23</v>
      </c>
      <c r="Q905" s="304">
        <f t="shared" ca="1" si="425"/>
        <v>0</v>
      </c>
      <c r="R905" s="306">
        <f t="shared" ca="1" si="426"/>
        <v>0</v>
      </c>
      <c r="S905" s="307">
        <f t="shared" ca="1" si="427"/>
        <v>2.0842999999999985</v>
      </c>
      <c r="T905" s="304">
        <f t="shared" ca="1" si="407"/>
        <v>20.446982999999985</v>
      </c>
      <c r="U905" s="311">
        <f t="shared" ca="1" si="408"/>
        <v>0</v>
      </c>
      <c r="V905" s="306">
        <f t="shared" ca="1" si="409"/>
        <v>1.2266494081051542</v>
      </c>
      <c r="W905" s="304">
        <f t="shared" ca="1" si="410"/>
        <v>20.36032143205874</v>
      </c>
      <c r="Y905" s="314" t="str">
        <f t="shared" ca="1" si="428"/>
        <v/>
      </c>
      <c r="Z905" s="315" t="str">
        <f t="shared" ca="1" si="429"/>
        <v/>
      </c>
      <c r="AA905" s="316" t="str">
        <f t="shared" ca="1" si="430"/>
        <v/>
      </c>
      <c r="AC905" s="310" t="e">
        <f t="shared" ca="1" si="431"/>
        <v>#N/A</v>
      </c>
      <c r="AD905" s="323" t="e">
        <f t="shared" ca="1" si="432"/>
        <v>#N/A</v>
      </c>
      <c r="AE905" s="324" t="e">
        <f t="shared" ca="1" si="411"/>
        <v>#N/A</v>
      </c>
      <c r="AG905" s="306">
        <f t="shared" ca="1" si="433"/>
        <v>3.6286487854269467E-2</v>
      </c>
      <c r="AH905" s="304">
        <f t="shared" ca="1" si="434"/>
        <v>-9.7684091916332267</v>
      </c>
    </row>
    <row r="906" spans="1:34" x14ac:dyDescent="0.25">
      <c r="A906" s="347">
        <f t="shared" ca="1" si="412"/>
        <v>1E-4</v>
      </c>
      <c r="B906" s="304">
        <f t="shared" ca="1" si="413"/>
        <v>47.130800000001393</v>
      </c>
      <c r="D906" s="306">
        <f t="shared" ca="1" si="414"/>
        <v>-0.32118672519496028</v>
      </c>
      <c r="E906" s="307">
        <f t="shared" ca="1" si="415"/>
        <v>-4.6860014717536203E-2</v>
      </c>
      <c r="F906" s="304">
        <f t="shared" ca="1" si="416"/>
        <v>0.3245870814138952</v>
      </c>
      <c r="G906" s="306">
        <f t="shared" ca="1" si="417"/>
        <v>4.031146284241041</v>
      </c>
      <c r="H906" s="307">
        <f t="shared" ca="1" si="418"/>
        <v>-122.53607472252877</v>
      </c>
      <c r="I906" s="304">
        <f t="shared" ca="1" si="419"/>
        <v>122.60236436859651</v>
      </c>
      <c r="J906" s="306">
        <f t="shared" ca="1" si="420"/>
        <v>677.64536374242232</v>
      </c>
      <c r="K906" s="307">
        <f t="shared" ca="1" si="421"/>
        <v>-13.467750952830571</v>
      </c>
      <c r="L906" s="304">
        <f t="shared" ca="1" si="406"/>
        <v>677.77918182644657</v>
      </c>
      <c r="M906" s="306">
        <f t="shared" ca="1" si="422"/>
        <v>-1.5379105582929051</v>
      </c>
      <c r="N906" s="304">
        <f t="shared" ca="1" si="423"/>
        <v>-88.115784258791635</v>
      </c>
      <c r="P906" s="310">
        <f t="shared" ca="1" si="424"/>
        <v>23</v>
      </c>
      <c r="Q906" s="304">
        <f t="shared" ca="1" si="425"/>
        <v>0</v>
      </c>
      <c r="R906" s="306">
        <f t="shared" ca="1" si="426"/>
        <v>0</v>
      </c>
      <c r="S906" s="307">
        <f t="shared" ca="1" si="427"/>
        <v>2.0842999999999985</v>
      </c>
      <c r="T906" s="304">
        <f t="shared" ca="1" si="407"/>
        <v>20.446982999999985</v>
      </c>
      <c r="U906" s="311">
        <f t="shared" ca="1" si="408"/>
        <v>0</v>
      </c>
      <c r="V906" s="306">
        <f t="shared" ca="1" si="409"/>
        <v>1.2266509111947625</v>
      </c>
      <c r="W906" s="304">
        <f t="shared" ca="1" si="410"/>
        <v>20.360347585616939</v>
      </c>
      <c r="Y906" s="314" t="str">
        <f t="shared" ca="1" si="428"/>
        <v/>
      </c>
      <c r="Z906" s="315" t="str">
        <f t="shared" ca="1" si="429"/>
        <v/>
      </c>
      <c r="AA906" s="316" t="str">
        <f t="shared" ca="1" si="430"/>
        <v/>
      </c>
      <c r="AC906" s="310" t="e">
        <f t="shared" ca="1" si="431"/>
        <v>#N/A</v>
      </c>
      <c r="AD906" s="323" t="e">
        <f t="shared" ca="1" si="432"/>
        <v>#N/A</v>
      </c>
      <c r="AE906" s="324" t="e">
        <f t="shared" ca="1" si="411"/>
        <v>#N/A</v>
      </c>
      <c r="AG906" s="306">
        <f t="shared" ca="1" si="433"/>
        <v>3.627402464802465E-2</v>
      </c>
      <c r="AH906" s="304">
        <f t="shared" ca="1" si="434"/>
        <v>-9.7684217397009814</v>
      </c>
    </row>
    <row r="907" spans="1:34" x14ac:dyDescent="0.25">
      <c r="A907" s="347">
        <f t="shared" ca="1" si="412"/>
        <v>1E-4</v>
      </c>
      <c r="B907" s="304">
        <f t="shared" ca="1" si="413"/>
        <v>47.130900000001397</v>
      </c>
      <c r="D907" s="306">
        <f t="shared" ca="1" si="414"/>
        <v>-0.32118456918881622</v>
      </c>
      <c r="E907" s="307">
        <f t="shared" ca="1" si="415"/>
        <v>-4.6847389115828975E-2</v>
      </c>
      <c r="F907" s="304">
        <f t="shared" ca="1" si="416"/>
        <v>0.32458312548864177</v>
      </c>
      <c r="G907" s="306">
        <f t="shared" ca="1" si="417"/>
        <v>4.0311141657841221</v>
      </c>
      <c r="H907" s="307">
        <f t="shared" ca="1" si="418"/>
        <v>-122.53607940726768</v>
      </c>
      <c r="I907" s="304">
        <f t="shared" ca="1" si="419"/>
        <v>122.60236799475692</v>
      </c>
      <c r="J907" s="306">
        <f t="shared" ca="1" si="420"/>
        <v>677.64536374242232</v>
      </c>
      <c r="K907" s="307">
        <f t="shared" ca="1" si="421"/>
        <v>-13.48000456053706</v>
      </c>
      <c r="L907" s="304">
        <f t="shared" ca="1" si="406"/>
        <v>677.77942542139169</v>
      </c>
      <c r="M907" s="306">
        <f t="shared" ca="1" si="422"/>
        <v>-1.5379108213801918</v>
      </c>
      <c r="N907" s="304">
        <f t="shared" ca="1" si="423"/>
        <v>-88.115799332582796</v>
      </c>
      <c r="P907" s="310">
        <f t="shared" ca="1" si="424"/>
        <v>23</v>
      </c>
      <c r="Q907" s="304">
        <f t="shared" ca="1" si="425"/>
        <v>0</v>
      </c>
      <c r="R907" s="306">
        <f t="shared" ca="1" si="426"/>
        <v>0</v>
      </c>
      <c r="S907" s="307">
        <f t="shared" ca="1" si="427"/>
        <v>2.0842999999999985</v>
      </c>
      <c r="T907" s="304">
        <f t="shared" ca="1" si="407"/>
        <v>20.446982999999985</v>
      </c>
      <c r="U907" s="311">
        <f t="shared" ca="1" si="408"/>
        <v>0</v>
      </c>
      <c r="V907" s="306">
        <f t="shared" ca="1" si="409"/>
        <v>1.2266524142862716</v>
      </c>
      <c r="W907" s="304">
        <f t="shared" ca="1" si="410"/>
        <v>20.360373738795737</v>
      </c>
      <c r="Y907" s="314" t="str">
        <f t="shared" ca="1" si="428"/>
        <v/>
      </c>
      <c r="Z907" s="315" t="str">
        <f t="shared" ca="1" si="429"/>
        <v/>
      </c>
      <c r="AA907" s="316" t="str">
        <f t="shared" ca="1" si="430"/>
        <v/>
      </c>
      <c r="AC907" s="310" t="e">
        <f t="shared" ca="1" si="431"/>
        <v>#N/A</v>
      </c>
      <c r="AD907" s="323" t="e">
        <f t="shared" ca="1" si="432"/>
        <v>#N/A</v>
      </c>
      <c r="AE907" s="324" t="e">
        <f t="shared" ca="1" si="411"/>
        <v>#N/A</v>
      </c>
      <c r="AG907" s="306">
        <f t="shared" ca="1" si="433"/>
        <v>3.6261561622463745E-2</v>
      </c>
      <c r="AH907" s="304">
        <f t="shared" ca="1" si="434"/>
        <v>-9.7684342875866967</v>
      </c>
    </row>
    <row r="908" spans="1:34" x14ac:dyDescent="0.25">
      <c r="A908" s="347">
        <f t="shared" ca="1" si="412"/>
        <v>1E-4</v>
      </c>
      <c r="B908" s="304">
        <f t="shared" ca="1" si="413"/>
        <v>47.1310000000014</v>
      </c>
      <c r="D908" s="306">
        <f t="shared" ca="1" si="414"/>
        <v>-0.32118241319068253</v>
      </c>
      <c r="E908" s="307">
        <f t="shared" ca="1" si="415"/>
        <v>-4.6834763697187753E-2</v>
      </c>
      <c r="F908" s="304">
        <f t="shared" ca="1" si="416"/>
        <v>0.3245791700549524</v>
      </c>
      <c r="G908" s="306">
        <f t="shared" ca="1" si="417"/>
        <v>4.0310820475428031</v>
      </c>
      <c r="H908" s="307">
        <f t="shared" ca="1" si="418"/>
        <v>-122.53608409074405</v>
      </c>
      <c r="I908" s="304">
        <f t="shared" ca="1" si="419"/>
        <v>122.60237161967105</v>
      </c>
      <c r="J908" s="306">
        <f t="shared" ca="1" si="420"/>
        <v>677.64536374242232</v>
      </c>
      <c r="K908" s="307">
        <f t="shared" ca="1" si="421"/>
        <v>-13.49225816871196</v>
      </c>
      <c r="L908" s="304">
        <f t="shared" ca="1" si="406"/>
        <v>677.77966923779218</v>
      </c>
      <c r="M908" s="306">
        <f t="shared" ca="1" si="422"/>
        <v>-1.5379110844653665</v>
      </c>
      <c r="N908" s="304">
        <f t="shared" ca="1" si="423"/>
        <v>-88.115814406252966</v>
      </c>
      <c r="P908" s="310">
        <f t="shared" ca="1" si="424"/>
        <v>23</v>
      </c>
      <c r="Q908" s="304">
        <f t="shared" ca="1" si="425"/>
        <v>0</v>
      </c>
      <c r="R908" s="306">
        <f t="shared" ca="1" si="426"/>
        <v>0</v>
      </c>
      <c r="S908" s="307">
        <f t="shared" ca="1" si="427"/>
        <v>2.0842999999999985</v>
      </c>
      <c r="T908" s="304">
        <f t="shared" ca="1" si="407"/>
        <v>20.446982999999985</v>
      </c>
      <c r="U908" s="311">
        <f t="shared" ca="1" si="408"/>
        <v>0</v>
      </c>
      <c r="V908" s="306">
        <f t="shared" ca="1" si="409"/>
        <v>1.2266539173796813</v>
      </c>
      <c r="W908" s="304">
        <f t="shared" ca="1" si="410"/>
        <v>20.36039989159514</v>
      </c>
      <c r="Y908" s="314" t="str">
        <f t="shared" ca="1" si="428"/>
        <v/>
      </c>
      <c r="Z908" s="315" t="str">
        <f t="shared" ca="1" si="429"/>
        <v/>
      </c>
      <c r="AA908" s="316" t="str">
        <f t="shared" ca="1" si="430"/>
        <v/>
      </c>
      <c r="AC908" s="310" t="e">
        <f t="shared" ca="1" si="431"/>
        <v>#N/A</v>
      </c>
      <c r="AD908" s="323" t="e">
        <f t="shared" ca="1" si="432"/>
        <v>#N/A</v>
      </c>
      <c r="AE908" s="324" t="e">
        <f t="shared" ca="1" si="411"/>
        <v>#N/A</v>
      </c>
      <c r="AG908" s="306">
        <f t="shared" ca="1" si="433"/>
        <v>3.6249098777567212E-2</v>
      </c>
      <c r="AH908" s="304">
        <f t="shared" ca="1" si="434"/>
        <v>-9.7684468352903853</v>
      </c>
    </row>
    <row r="909" spans="1:34" x14ac:dyDescent="0.25">
      <c r="A909" s="347">
        <f t="shared" ca="1" si="412"/>
        <v>1E-4</v>
      </c>
      <c r="B909" s="304">
        <f t="shared" ca="1" si="413"/>
        <v>47.131100000001403</v>
      </c>
      <c r="D909" s="306">
        <f t="shared" ca="1" si="414"/>
        <v>-0.32118025720056154</v>
      </c>
      <c r="E909" s="307">
        <f t="shared" ca="1" si="415"/>
        <v>-4.6822138461610763E-2</v>
      </c>
      <c r="F909" s="304">
        <f t="shared" ca="1" si="416"/>
        <v>0.32457521511282578</v>
      </c>
      <c r="G909" s="306">
        <f t="shared" ca="1" si="417"/>
        <v>4.0310499295170832</v>
      </c>
      <c r="H909" s="307">
        <f t="shared" ca="1" si="418"/>
        <v>-122.5360887729579</v>
      </c>
      <c r="I909" s="304">
        <f t="shared" ca="1" si="419"/>
        <v>122.6023752433389</v>
      </c>
      <c r="J909" s="306">
        <f t="shared" ca="1" si="420"/>
        <v>677.64536374242232</v>
      </c>
      <c r="K909" s="307">
        <f t="shared" ca="1" si="421"/>
        <v>-13.504511777355145</v>
      </c>
      <c r="L909" s="304">
        <f t="shared" ca="1" si="406"/>
        <v>677.77991327564769</v>
      </c>
      <c r="M909" s="306">
        <f t="shared" ca="1" si="422"/>
        <v>-1.5379113475484296</v>
      </c>
      <c r="N909" s="304">
        <f t="shared" ca="1" si="423"/>
        <v>-88.115829479802144</v>
      </c>
      <c r="P909" s="310">
        <f t="shared" ca="1" si="424"/>
        <v>23</v>
      </c>
      <c r="Q909" s="304">
        <f t="shared" ca="1" si="425"/>
        <v>0</v>
      </c>
      <c r="R909" s="306">
        <f t="shared" ca="1" si="426"/>
        <v>0</v>
      </c>
      <c r="S909" s="307">
        <f t="shared" ca="1" si="427"/>
        <v>2.0842999999999985</v>
      </c>
      <c r="T909" s="304">
        <f t="shared" ca="1" si="407"/>
        <v>20.446982999999985</v>
      </c>
      <c r="U909" s="311">
        <f t="shared" ca="1" si="408"/>
        <v>0</v>
      </c>
      <c r="V909" s="306">
        <f t="shared" ca="1" si="409"/>
        <v>1.2266554204749911</v>
      </c>
      <c r="W909" s="304">
        <f t="shared" ca="1" si="410"/>
        <v>20.360426044015124</v>
      </c>
      <c r="Y909" s="314" t="str">
        <f t="shared" ca="1" si="428"/>
        <v/>
      </c>
      <c r="Z909" s="315" t="str">
        <f t="shared" ca="1" si="429"/>
        <v/>
      </c>
      <c r="AA909" s="316" t="str">
        <f t="shared" ca="1" si="430"/>
        <v/>
      </c>
      <c r="AC909" s="310" t="e">
        <f t="shared" ca="1" si="431"/>
        <v>#N/A</v>
      </c>
      <c r="AD909" s="323" t="e">
        <f t="shared" ca="1" si="432"/>
        <v>#N/A</v>
      </c>
      <c r="AE909" s="324" t="e">
        <f t="shared" ca="1" si="411"/>
        <v>#N/A</v>
      </c>
      <c r="AG909" s="306">
        <f t="shared" ca="1" si="433"/>
        <v>3.6236636113335052E-2</v>
      </c>
      <c r="AH909" s="304">
        <f t="shared" ca="1" si="434"/>
        <v>-9.7684593828120487</v>
      </c>
    </row>
    <row r="910" spans="1:34" x14ac:dyDescent="0.25">
      <c r="A910" s="347">
        <f t="shared" ca="1" si="412"/>
        <v>1E-4</v>
      </c>
      <c r="B910" s="304">
        <f t="shared" ca="1" si="413"/>
        <v>47.131200000001407</v>
      </c>
      <c r="D910" s="306">
        <f t="shared" ca="1" si="414"/>
        <v>-0.32117810121845097</v>
      </c>
      <c r="E910" s="307">
        <f t="shared" ca="1" si="415"/>
        <v>-4.6809513409106884E-2</v>
      </c>
      <c r="F910" s="304">
        <f t="shared" ca="1" si="416"/>
        <v>0.32457126066225717</v>
      </c>
      <c r="G910" s="306">
        <f t="shared" ca="1" si="417"/>
        <v>4.0310178117069615</v>
      </c>
      <c r="H910" s="307">
        <f t="shared" ca="1" si="418"/>
        <v>-122.53609345390923</v>
      </c>
      <c r="I910" s="304">
        <f t="shared" ca="1" si="419"/>
        <v>122.6023788657605</v>
      </c>
      <c r="J910" s="306">
        <f t="shared" ca="1" si="420"/>
        <v>677.64536374242232</v>
      </c>
      <c r="K910" s="307">
        <f t="shared" ca="1" si="421"/>
        <v>-13.516765386466489</v>
      </c>
      <c r="L910" s="304">
        <f t="shared" ca="1" si="406"/>
        <v>677.78015753495811</v>
      </c>
      <c r="M910" s="306">
        <f t="shared" ca="1" si="422"/>
        <v>-1.5379116106293811</v>
      </c>
      <c r="N910" s="304">
        <f t="shared" ca="1" si="423"/>
        <v>-88.115844553230332</v>
      </c>
      <c r="P910" s="310">
        <f t="shared" ca="1" si="424"/>
        <v>23</v>
      </c>
      <c r="Q910" s="304">
        <f t="shared" ca="1" si="425"/>
        <v>0</v>
      </c>
      <c r="R910" s="306">
        <f t="shared" ca="1" si="426"/>
        <v>0</v>
      </c>
      <c r="S910" s="307">
        <f t="shared" ca="1" si="427"/>
        <v>2.0842999999999985</v>
      </c>
      <c r="T910" s="304">
        <f t="shared" ca="1" si="407"/>
        <v>20.446982999999985</v>
      </c>
      <c r="U910" s="311">
        <f t="shared" ca="1" si="408"/>
        <v>0</v>
      </c>
      <c r="V910" s="306">
        <f t="shared" ca="1" si="409"/>
        <v>1.2266569235722018</v>
      </c>
      <c r="W910" s="304">
        <f t="shared" ca="1" si="410"/>
        <v>20.360452196055721</v>
      </c>
      <c r="Y910" s="314" t="str">
        <f t="shared" ca="1" si="428"/>
        <v/>
      </c>
      <c r="Z910" s="315" t="str">
        <f t="shared" ca="1" si="429"/>
        <v/>
      </c>
      <c r="AA910" s="316" t="str">
        <f t="shared" ca="1" si="430"/>
        <v/>
      </c>
      <c r="AC910" s="310" t="e">
        <f t="shared" ca="1" si="431"/>
        <v>#N/A</v>
      </c>
      <c r="AD910" s="323" t="e">
        <f t="shared" ca="1" si="432"/>
        <v>#N/A</v>
      </c>
      <c r="AE910" s="324" t="e">
        <f t="shared" ca="1" si="411"/>
        <v>#N/A</v>
      </c>
      <c r="AG910" s="306">
        <f t="shared" ca="1" si="433"/>
        <v>3.6224173629779699E-2</v>
      </c>
      <c r="AH910" s="304">
        <f t="shared" ca="1" si="434"/>
        <v>-9.7684719301516765</v>
      </c>
    </row>
    <row r="911" spans="1:34" x14ac:dyDescent="0.25">
      <c r="A911" s="347">
        <f t="shared" ca="1" si="412"/>
        <v>1E-4</v>
      </c>
      <c r="B911" s="304">
        <f t="shared" ca="1" si="413"/>
        <v>47.13130000000141</v>
      </c>
      <c r="D911" s="306">
        <f t="shared" ca="1" si="414"/>
        <v>-0.32117594524435156</v>
      </c>
      <c r="E911" s="307">
        <f t="shared" ca="1" si="415"/>
        <v>-4.6796888539663684E-2</v>
      </c>
      <c r="F911" s="304">
        <f t="shared" ca="1" si="416"/>
        <v>0.32456730670324208</v>
      </c>
      <c r="G911" s="306">
        <f t="shared" ca="1" si="417"/>
        <v>4.0309856941124371</v>
      </c>
      <c r="H911" s="307">
        <f t="shared" ca="1" si="418"/>
        <v>-122.53609813359809</v>
      </c>
      <c r="I911" s="304">
        <f t="shared" ca="1" si="419"/>
        <v>122.60238248693588</v>
      </c>
      <c r="J911" s="306">
        <f t="shared" ca="1" si="420"/>
        <v>677.64536374242232</v>
      </c>
      <c r="K911" s="307">
        <f t="shared" ca="1" si="421"/>
        <v>-13.529018996045863</v>
      </c>
      <c r="L911" s="304">
        <f t="shared" ca="1" si="406"/>
        <v>677.7804020157231</v>
      </c>
      <c r="M911" s="306">
        <f t="shared" ca="1" si="422"/>
        <v>-1.5379118737082209</v>
      </c>
      <c r="N911" s="304">
        <f t="shared" ca="1" si="423"/>
        <v>-88.115859626537528</v>
      </c>
      <c r="P911" s="310">
        <f t="shared" ca="1" si="424"/>
        <v>23</v>
      </c>
      <c r="Q911" s="304">
        <f t="shared" ca="1" si="425"/>
        <v>0</v>
      </c>
      <c r="R911" s="306">
        <f t="shared" ca="1" si="426"/>
        <v>0</v>
      </c>
      <c r="S911" s="307">
        <f t="shared" ca="1" si="427"/>
        <v>2.0842999999999985</v>
      </c>
      <c r="T911" s="304">
        <f t="shared" ca="1" si="407"/>
        <v>20.446982999999985</v>
      </c>
      <c r="U911" s="311">
        <f t="shared" ca="1" si="408"/>
        <v>0</v>
      </c>
      <c r="V911" s="306">
        <f t="shared" ca="1" si="409"/>
        <v>1.2266584266713128</v>
      </c>
      <c r="W911" s="304">
        <f t="shared" ca="1" si="410"/>
        <v>20.360478347716921</v>
      </c>
      <c r="Y911" s="314" t="str">
        <f t="shared" ca="1" si="428"/>
        <v/>
      </c>
      <c r="Z911" s="315" t="str">
        <f t="shared" ca="1" si="429"/>
        <v/>
      </c>
      <c r="AA911" s="316" t="str">
        <f t="shared" ca="1" si="430"/>
        <v/>
      </c>
      <c r="AC911" s="310" t="e">
        <f t="shared" ca="1" si="431"/>
        <v>#N/A</v>
      </c>
      <c r="AD911" s="323" t="e">
        <f t="shared" ca="1" si="432"/>
        <v>#N/A</v>
      </c>
      <c r="AE911" s="324" t="e">
        <f t="shared" ca="1" si="411"/>
        <v>#N/A</v>
      </c>
      <c r="AG911" s="306">
        <f t="shared" ca="1" si="433"/>
        <v>3.6211711326886942E-2</v>
      </c>
      <c r="AH911" s="304">
        <f t="shared" ca="1" si="434"/>
        <v>-9.7684844773092827</v>
      </c>
    </row>
    <row r="912" spans="1:34" x14ac:dyDescent="0.25">
      <c r="A912" s="347">
        <f t="shared" ca="1" si="412"/>
        <v>1E-4</v>
      </c>
      <c r="B912" s="304">
        <f t="shared" ca="1" si="413"/>
        <v>47.131400000001413</v>
      </c>
      <c r="D912" s="306">
        <f t="shared" ca="1" si="414"/>
        <v>-0.32117378927826323</v>
      </c>
      <c r="E912" s="307">
        <f t="shared" ca="1" si="415"/>
        <v>-4.678426385328649E-2</v>
      </c>
      <c r="F912" s="304">
        <f t="shared" ca="1" si="416"/>
        <v>0.32456335323577762</v>
      </c>
      <c r="G912" s="306">
        <f t="shared" ca="1" si="417"/>
        <v>4.0309535767335092</v>
      </c>
      <c r="H912" s="307">
        <f t="shared" ca="1" si="418"/>
        <v>-122.53610281202447</v>
      </c>
      <c r="I912" s="304">
        <f t="shared" ca="1" si="419"/>
        <v>122.60238610686503</v>
      </c>
      <c r="J912" s="306">
        <f t="shared" ca="1" si="420"/>
        <v>677.64536374242232</v>
      </c>
      <c r="K912" s="307">
        <f t="shared" ca="1" si="421"/>
        <v>-13.541272606093145</v>
      </c>
      <c r="L912" s="304">
        <f t="shared" ca="1" si="406"/>
        <v>677.78064671794255</v>
      </c>
      <c r="M912" s="306">
        <f t="shared" ca="1" si="422"/>
        <v>-1.5379121367849491</v>
      </c>
      <c r="N912" s="304">
        <f t="shared" ca="1" si="423"/>
        <v>-88.115874699723747</v>
      </c>
      <c r="P912" s="310">
        <f t="shared" ca="1" si="424"/>
        <v>23</v>
      </c>
      <c r="Q912" s="304">
        <f t="shared" ca="1" si="425"/>
        <v>0</v>
      </c>
      <c r="R912" s="306">
        <f t="shared" ca="1" si="426"/>
        <v>0</v>
      </c>
      <c r="S912" s="307">
        <f t="shared" ca="1" si="427"/>
        <v>2.0842999999999985</v>
      </c>
      <c r="T912" s="304">
        <f t="shared" ca="1" si="407"/>
        <v>20.446982999999985</v>
      </c>
      <c r="U912" s="311">
        <f t="shared" ca="1" si="408"/>
        <v>0</v>
      </c>
      <c r="V912" s="306">
        <f t="shared" ca="1" si="409"/>
        <v>1.2266599297723242</v>
      </c>
      <c r="W912" s="304">
        <f t="shared" ca="1" si="410"/>
        <v>20.360504498998733</v>
      </c>
      <c r="Y912" s="314" t="str">
        <f t="shared" ca="1" si="428"/>
        <v/>
      </c>
      <c r="Z912" s="315" t="str">
        <f t="shared" ca="1" si="429"/>
        <v/>
      </c>
      <c r="AA912" s="316" t="str">
        <f t="shared" ca="1" si="430"/>
        <v/>
      </c>
      <c r="AC912" s="310" t="e">
        <f t="shared" ca="1" si="431"/>
        <v>#N/A</v>
      </c>
      <c r="AD912" s="323" t="e">
        <f t="shared" ca="1" si="432"/>
        <v>#N/A</v>
      </c>
      <c r="AE912" s="324" t="e">
        <f t="shared" ca="1" si="411"/>
        <v>#N/A</v>
      </c>
      <c r="AG912" s="306">
        <f t="shared" ca="1" si="433"/>
        <v>3.6199249204662109E-2</v>
      </c>
      <c r="AH912" s="304">
        <f t="shared" ca="1" si="434"/>
        <v>-9.7684970242848603</v>
      </c>
    </row>
    <row r="913" spans="1:34" x14ac:dyDescent="0.25">
      <c r="A913" s="347">
        <f t="shared" ca="1" si="412"/>
        <v>1E-4</v>
      </c>
      <c r="B913" s="304">
        <f t="shared" ca="1" si="413"/>
        <v>47.131500000001417</v>
      </c>
      <c r="D913" s="306">
        <f t="shared" ca="1" si="414"/>
        <v>-0.32117163332018656</v>
      </c>
      <c r="E913" s="307">
        <f t="shared" ca="1" si="415"/>
        <v>-4.6771639349968197E-2</v>
      </c>
      <c r="F913" s="304">
        <f t="shared" ca="1" si="416"/>
        <v>0.32455940025985974</v>
      </c>
      <c r="G913" s="306">
        <f t="shared" ca="1" si="417"/>
        <v>4.0309214595701768</v>
      </c>
      <c r="H913" s="307">
        <f t="shared" ca="1" si="418"/>
        <v>-122.5361074891884</v>
      </c>
      <c r="I913" s="304">
        <f t="shared" ca="1" si="419"/>
        <v>122.60238972554799</v>
      </c>
      <c r="J913" s="306">
        <f t="shared" ca="1" si="420"/>
        <v>677.64536374242232</v>
      </c>
      <c r="K913" s="307">
        <f t="shared" ca="1" si="421"/>
        <v>-13.553526216608205</v>
      </c>
      <c r="L913" s="304">
        <f t="shared" ca="1" si="406"/>
        <v>677.78089164161611</v>
      </c>
      <c r="M913" s="306">
        <f t="shared" ca="1" si="422"/>
        <v>-1.5379123998595656</v>
      </c>
      <c r="N913" s="304">
        <f t="shared" ca="1" si="423"/>
        <v>-88.115889772788975</v>
      </c>
      <c r="P913" s="310">
        <f t="shared" ca="1" si="424"/>
        <v>23</v>
      </c>
      <c r="Q913" s="304">
        <f t="shared" ca="1" si="425"/>
        <v>0</v>
      </c>
      <c r="R913" s="306">
        <f t="shared" ca="1" si="426"/>
        <v>0</v>
      </c>
      <c r="S913" s="307">
        <f t="shared" ca="1" si="427"/>
        <v>2.0842999999999985</v>
      </c>
      <c r="T913" s="304">
        <f t="shared" ca="1" si="407"/>
        <v>20.446982999999985</v>
      </c>
      <c r="U913" s="311">
        <f t="shared" ca="1" si="408"/>
        <v>0</v>
      </c>
      <c r="V913" s="306">
        <f t="shared" ca="1" si="409"/>
        <v>1.2266614328752361</v>
      </c>
      <c r="W913" s="304">
        <f t="shared" ca="1" si="410"/>
        <v>20.360530649901161</v>
      </c>
      <c r="Y913" s="314" t="str">
        <f t="shared" ca="1" si="428"/>
        <v/>
      </c>
      <c r="Z913" s="315" t="str">
        <f t="shared" ca="1" si="429"/>
        <v/>
      </c>
      <c r="AA913" s="316" t="str">
        <f t="shared" ca="1" si="430"/>
        <v/>
      </c>
      <c r="AC913" s="310" t="e">
        <f t="shared" ca="1" si="431"/>
        <v>#N/A</v>
      </c>
      <c r="AD913" s="323" t="e">
        <f t="shared" ca="1" si="432"/>
        <v>#N/A</v>
      </c>
      <c r="AE913" s="324" t="e">
        <f t="shared" ca="1" si="411"/>
        <v>#N/A</v>
      </c>
      <c r="AG913" s="306">
        <f t="shared" ca="1" si="433"/>
        <v>3.6186787263098097E-2</v>
      </c>
      <c r="AH913" s="304">
        <f t="shared" ca="1" si="434"/>
        <v>-9.7685095710784182</v>
      </c>
    </row>
    <row r="914" spans="1:34" x14ac:dyDescent="0.25">
      <c r="A914" s="347">
        <f t="shared" ca="1" si="412"/>
        <v>1E-4</v>
      </c>
      <c r="B914" s="304">
        <f t="shared" ca="1" si="413"/>
        <v>47.13160000000142</v>
      </c>
      <c r="D914" s="306">
        <f t="shared" ca="1" si="414"/>
        <v>-0.32116947737012164</v>
      </c>
      <c r="E914" s="307">
        <f t="shared" ca="1" si="415"/>
        <v>-4.6759015029708806E-2</v>
      </c>
      <c r="F914" s="304">
        <f t="shared" ca="1" si="416"/>
        <v>0.32455544777548506</v>
      </c>
      <c r="G914" s="306">
        <f t="shared" ca="1" si="417"/>
        <v>4.0308893426224399</v>
      </c>
      <c r="H914" s="307">
        <f t="shared" ca="1" si="418"/>
        <v>-122.5361121650899</v>
      </c>
      <c r="I914" s="304">
        <f t="shared" ca="1" si="419"/>
        <v>122.6023933429848</v>
      </c>
      <c r="J914" s="306">
        <f t="shared" ca="1" si="420"/>
        <v>677.64536374242232</v>
      </c>
      <c r="K914" s="307">
        <f t="shared" ca="1" si="421"/>
        <v>-13.565779827590919</v>
      </c>
      <c r="L914" s="304">
        <f t="shared" ca="1" si="406"/>
        <v>677.78113678674367</v>
      </c>
      <c r="M914" s="306">
        <f t="shared" ca="1" si="422"/>
        <v>-1.5379126629320703</v>
      </c>
      <c r="N914" s="304">
        <f t="shared" ca="1" si="423"/>
        <v>-88.115904845733198</v>
      </c>
      <c r="P914" s="310">
        <f t="shared" ca="1" si="424"/>
        <v>23</v>
      </c>
      <c r="Q914" s="304">
        <f t="shared" ca="1" si="425"/>
        <v>0</v>
      </c>
      <c r="R914" s="306">
        <f t="shared" ca="1" si="426"/>
        <v>0</v>
      </c>
      <c r="S914" s="307">
        <f t="shared" ca="1" si="427"/>
        <v>2.0842999999999985</v>
      </c>
      <c r="T914" s="304">
        <f t="shared" ca="1" si="407"/>
        <v>20.446982999999985</v>
      </c>
      <c r="U914" s="311">
        <f t="shared" ca="1" si="408"/>
        <v>0</v>
      </c>
      <c r="V914" s="306">
        <f t="shared" ca="1" si="409"/>
        <v>1.2266629359800483</v>
      </c>
      <c r="W914" s="304">
        <f t="shared" ca="1" si="410"/>
        <v>20.360556800424217</v>
      </c>
      <c r="Y914" s="314" t="str">
        <f t="shared" ca="1" si="428"/>
        <v/>
      </c>
      <c r="Z914" s="315" t="str">
        <f t="shared" ca="1" si="429"/>
        <v/>
      </c>
      <c r="AA914" s="316" t="str">
        <f t="shared" ca="1" si="430"/>
        <v/>
      </c>
      <c r="AC914" s="310" t="e">
        <f t="shared" ca="1" si="431"/>
        <v>#N/A</v>
      </c>
      <c r="AD914" s="323" t="e">
        <f t="shared" ca="1" si="432"/>
        <v>#N/A</v>
      </c>
      <c r="AE914" s="324" t="e">
        <f t="shared" ca="1" si="411"/>
        <v>#N/A</v>
      </c>
      <c r="AG914" s="306">
        <f t="shared" ca="1" si="433"/>
        <v>3.6174325502193128E-2</v>
      </c>
      <c r="AH914" s="304">
        <f t="shared" ca="1" si="434"/>
        <v>-9.7685221176899564</v>
      </c>
    </row>
    <row r="915" spans="1:34" x14ac:dyDescent="0.25">
      <c r="A915" s="347">
        <f t="shared" ca="1" si="412"/>
        <v>1E-4</v>
      </c>
      <c r="B915" s="304">
        <f t="shared" ca="1" si="413"/>
        <v>47.131700000001423</v>
      </c>
      <c r="D915" s="306">
        <f t="shared" ca="1" si="414"/>
        <v>-0.3211673214280712</v>
      </c>
      <c r="E915" s="307">
        <f t="shared" ca="1" si="415"/>
        <v>-4.6746390892501211E-2</v>
      </c>
      <c r="F915" s="304">
        <f t="shared" ca="1" si="416"/>
        <v>0.32455149578265163</v>
      </c>
      <c r="G915" s="306">
        <f t="shared" ca="1" si="417"/>
        <v>4.0308572258902968</v>
      </c>
      <c r="H915" s="307">
        <f t="shared" ca="1" si="418"/>
        <v>-122.53611683972899</v>
      </c>
      <c r="I915" s="304">
        <f t="shared" ca="1" si="419"/>
        <v>122.60239695917542</v>
      </c>
      <c r="J915" s="306">
        <f t="shared" ca="1" si="420"/>
        <v>677.64536374242232</v>
      </c>
      <c r="K915" s="307">
        <f t="shared" ca="1" si="421"/>
        <v>-13.57803343904116</v>
      </c>
      <c r="L915" s="304">
        <f t="shared" ca="1" si="406"/>
        <v>677.78138215332501</v>
      </c>
      <c r="M915" s="306">
        <f t="shared" ca="1" si="422"/>
        <v>-1.5379129260024638</v>
      </c>
      <c r="N915" s="304">
        <f t="shared" ca="1" si="423"/>
        <v>-88.115919918556457</v>
      </c>
      <c r="P915" s="310">
        <f t="shared" ca="1" si="424"/>
        <v>23</v>
      </c>
      <c r="Q915" s="304">
        <f t="shared" ca="1" si="425"/>
        <v>0</v>
      </c>
      <c r="R915" s="306">
        <f t="shared" ca="1" si="426"/>
        <v>0</v>
      </c>
      <c r="S915" s="307">
        <f t="shared" ca="1" si="427"/>
        <v>2.0842999999999985</v>
      </c>
      <c r="T915" s="304">
        <f t="shared" ca="1" si="407"/>
        <v>20.446982999999985</v>
      </c>
      <c r="U915" s="311">
        <f t="shared" ca="1" si="408"/>
        <v>0</v>
      </c>
      <c r="V915" s="306">
        <f t="shared" ca="1" si="409"/>
        <v>1.2266644390867614</v>
      </c>
      <c r="W915" s="304">
        <f t="shared" ca="1" si="410"/>
        <v>20.360582950567895</v>
      </c>
      <c r="Y915" s="314" t="str">
        <f t="shared" ca="1" si="428"/>
        <v/>
      </c>
      <c r="Z915" s="315" t="str">
        <f t="shared" ca="1" si="429"/>
        <v/>
      </c>
      <c r="AA915" s="316" t="str">
        <f t="shared" ca="1" si="430"/>
        <v/>
      </c>
      <c r="AC915" s="310" t="e">
        <f t="shared" ca="1" si="431"/>
        <v>#N/A</v>
      </c>
      <c r="AD915" s="323" t="e">
        <f t="shared" ca="1" si="432"/>
        <v>#N/A</v>
      </c>
      <c r="AE915" s="324" t="e">
        <f t="shared" ca="1" si="411"/>
        <v>#N/A</v>
      </c>
      <c r="AG915" s="306">
        <f t="shared" ca="1" si="433"/>
        <v>3.6161863921945425E-2</v>
      </c>
      <c r="AH915" s="304">
        <f t="shared" ca="1" si="434"/>
        <v>-9.7685346641194801</v>
      </c>
    </row>
    <row r="916" spans="1:34" x14ac:dyDescent="0.25">
      <c r="A916" s="347">
        <f t="shared" ca="1" si="412"/>
        <v>1E-4</v>
      </c>
      <c r="B916" s="304">
        <f t="shared" ca="1" si="413"/>
        <v>47.131800000001427</v>
      </c>
      <c r="D916" s="306">
        <f t="shared" ca="1" si="414"/>
        <v>-0.32116516549402879</v>
      </c>
      <c r="E916" s="307">
        <f t="shared" ca="1" si="415"/>
        <v>-4.673376693835074E-2</v>
      </c>
      <c r="F916" s="304">
        <f t="shared" ca="1" si="416"/>
        <v>0.32454754428135024</v>
      </c>
      <c r="G916" s="306">
        <f t="shared" ca="1" si="417"/>
        <v>4.0308251093737475</v>
      </c>
      <c r="H916" s="307">
        <f t="shared" ca="1" si="418"/>
        <v>-122.53612151310568</v>
      </c>
      <c r="I916" s="304">
        <f t="shared" ca="1" si="419"/>
        <v>122.60240057411991</v>
      </c>
      <c r="J916" s="306">
        <f t="shared" ca="1" si="420"/>
        <v>677.64536374242232</v>
      </c>
      <c r="K916" s="307">
        <f t="shared" ca="1" si="421"/>
        <v>-13.590287050958802</v>
      </c>
      <c r="L916" s="304">
        <f t="shared" ca="1" si="406"/>
        <v>677.7816277413599</v>
      </c>
      <c r="M916" s="306">
        <f t="shared" ca="1" si="422"/>
        <v>-1.5379131890707454</v>
      </c>
      <c r="N916" s="304">
        <f t="shared" ca="1" si="423"/>
        <v>-88.115934991258712</v>
      </c>
      <c r="P916" s="310">
        <f t="shared" ca="1" si="424"/>
        <v>23</v>
      </c>
      <c r="Q916" s="304">
        <f t="shared" ca="1" si="425"/>
        <v>0</v>
      </c>
      <c r="R916" s="306">
        <f t="shared" ca="1" si="426"/>
        <v>0</v>
      </c>
      <c r="S916" s="307">
        <f t="shared" ca="1" si="427"/>
        <v>2.0842999999999985</v>
      </c>
      <c r="T916" s="304">
        <f t="shared" ca="1" si="407"/>
        <v>20.446982999999985</v>
      </c>
      <c r="U916" s="311">
        <f t="shared" ca="1" si="408"/>
        <v>0</v>
      </c>
      <c r="V916" s="306">
        <f t="shared" ca="1" si="409"/>
        <v>1.2266659421953749</v>
      </c>
      <c r="W916" s="304">
        <f t="shared" ca="1" si="410"/>
        <v>20.360609100332208</v>
      </c>
      <c r="Y916" s="314" t="str">
        <f t="shared" ca="1" si="428"/>
        <v/>
      </c>
      <c r="Z916" s="315" t="str">
        <f t="shared" ca="1" si="429"/>
        <v/>
      </c>
      <c r="AA916" s="316" t="str">
        <f t="shared" ca="1" si="430"/>
        <v/>
      </c>
      <c r="AC916" s="310" t="e">
        <f t="shared" ca="1" si="431"/>
        <v>#N/A</v>
      </c>
      <c r="AD916" s="323" t="e">
        <f t="shared" ca="1" si="432"/>
        <v>#N/A</v>
      </c>
      <c r="AE916" s="324" t="e">
        <f t="shared" ca="1" si="411"/>
        <v>#N/A</v>
      </c>
      <c r="AG916" s="306">
        <f t="shared" ca="1" si="433"/>
        <v>3.6149402522353213E-2</v>
      </c>
      <c r="AH916" s="304">
        <f t="shared" ca="1" si="434"/>
        <v>-9.7685472103669859</v>
      </c>
    </row>
    <row r="917" spans="1:34" x14ac:dyDescent="0.25">
      <c r="A917" s="347">
        <f t="shared" ca="1" si="412"/>
        <v>1E-4</v>
      </c>
      <c r="B917" s="304">
        <f t="shared" ca="1" si="413"/>
        <v>47.13190000000143</v>
      </c>
      <c r="D917" s="306">
        <f t="shared" ca="1" si="414"/>
        <v>-0.32116300956800137</v>
      </c>
      <c r="E917" s="307">
        <f t="shared" ca="1" si="415"/>
        <v>-4.6721143167246737E-2</v>
      </c>
      <c r="F917" s="304">
        <f t="shared" ca="1" si="416"/>
        <v>0.32454359327158272</v>
      </c>
      <c r="G917" s="306">
        <f t="shared" ca="1" si="417"/>
        <v>4.030792993072791</v>
      </c>
      <c r="H917" s="307">
        <f t="shared" ca="1" si="418"/>
        <v>-122.53612618522</v>
      </c>
      <c r="I917" s="304">
        <f t="shared" ca="1" si="419"/>
        <v>122.60240418781828</v>
      </c>
      <c r="J917" s="306">
        <f t="shared" ca="1" si="420"/>
        <v>677.64536374242232</v>
      </c>
      <c r="K917" s="307">
        <f t="shared" ca="1" si="421"/>
        <v>-13.602540663343717</v>
      </c>
      <c r="L917" s="304">
        <f t="shared" ca="1" si="406"/>
        <v>677.78187355084799</v>
      </c>
      <c r="M917" s="306">
        <f t="shared" ca="1" si="422"/>
        <v>-1.5379134521369155</v>
      </c>
      <c r="N917" s="304">
        <f t="shared" ca="1" si="423"/>
        <v>-88.115950063840003</v>
      </c>
      <c r="P917" s="310">
        <f t="shared" ca="1" si="424"/>
        <v>23</v>
      </c>
      <c r="Q917" s="304">
        <f t="shared" ca="1" si="425"/>
        <v>0</v>
      </c>
      <c r="R917" s="306">
        <f t="shared" ca="1" si="426"/>
        <v>0</v>
      </c>
      <c r="S917" s="307">
        <f t="shared" ca="1" si="427"/>
        <v>2.0842999999999985</v>
      </c>
      <c r="T917" s="304">
        <f t="shared" ca="1" si="407"/>
        <v>20.446982999999985</v>
      </c>
      <c r="U917" s="311">
        <f t="shared" ca="1" si="408"/>
        <v>0</v>
      </c>
      <c r="V917" s="306">
        <f t="shared" ca="1" si="409"/>
        <v>1.2266674453058888</v>
      </c>
      <c r="W917" s="304">
        <f t="shared" ca="1" si="410"/>
        <v>20.360635249717152</v>
      </c>
      <c r="Y917" s="314" t="str">
        <f t="shared" ca="1" si="428"/>
        <v/>
      </c>
      <c r="Z917" s="315" t="str">
        <f t="shared" ca="1" si="429"/>
        <v/>
      </c>
      <c r="AA917" s="316" t="str">
        <f t="shared" ca="1" si="430"/>
        <v/>
      </c>
      <c r="AC917" s="310" t="e">
        <f t="shared" ca="1" si="431"/>
        <v>#N/A</v>
      </c>
      <c r="AD917" s="323" t="e">
        <f t="shared" ca="1" si="432"/>
        <v>#N/A</v>
      </c>
      <c r="AE917" s="324" t="e">
        <f t="shared" ca="1" si="411"/>
        <v>#N/A</v>
      </c>
      <c r="AG917" s="306">
        <f t="shared" ca="1" si="433"/>
        <v>3.6136941303412939E-2</v>
      </c>
      <c r="AH917" s="304">
        <f t="shared" ca="1" si="434"/>
        <v>-9.7685597564324826</v>
      </c>
    </row>
    <row r="918" spans="1:34" x14ac:dyDescent="0.25">
      <c r="A918" s="347">
        <f t="shared" ca="1" si="412"/>
        <v>1E-4</v>
      </c>
      <c r="B918" s="304">
        <f t="shared" ca="1" si="413"/>
        <v>47.132000000001433</v>
      </c>
      <c r="D918" s="306">
        <f t="shared" ca="1" si="414"/>
        <v>-0.3211608536499847</v>
      </c>
      <c r="E918" s="307">
        <f t="shared" ca="1" si="415"/>
        <v>-4.6708519579196306E-2</v>
      </c>
      <c r="F918" s="304">
        <f t="shared" ca="1" si="416"/>
        <v>0.32453964275334235</v>
      </c>
      <c r="G918" s="306">
        <f t="shared" ca="1" si="417"/>
        <v>4.0307608769874257</v>
      </c>
      <c r="H918" s="307">
        <f t="shared" ca="1" si="418"/>
        <v>-122.53613085607196</v>
      </c>
      <c r="I918" s="304">
        <f t="shared" ca="1" si="419"/>
        <v>122.60240780027057</v>
      </c>
      <c r="J918" s="306">
        <f t="shared" ca="1" si="420"/>
        <v>677.64536374242232</v>
      </c>
      <c r="K918" s="307">
        <f t="shared" ca="1" si="421"/>
        <v>-13.614794276195783</v>
      </c>
      <c r="L918" s="304">
        <f t="shared" ca="1" si="406"/>
        <v>677.78211958178929</v>
      </c>
      <c r="M918" s="306">
        <f t="shared" ca="1" si="422"/>
        <v>-1.5379137152009743</v>
      </c>
      <c r="N918" s="304">
        <f t="shared" ca="1" si="423"/>
        <v>-88.115965136300304</v>
      </c>
      <c r="P918" s="310">
        <f t="shared" ca="1" si="424"/>
        <v>23</v>
      </c>
      <c r="Q918" s="304">
        <f t="shared" ca="1" si="425"/>
        <v>0</v>
      </c>
      <c r="R918" s="306">
        <f t="shared" ca="1" si="426"/>
        <v>0</v>
      </c>
      <c r="S918" s="307">
        <f t="shared" ca="1" si="427"/>
        <v>2.0842999999999985</v>
      </c>
      <c r="T918" s="304">
        <f t="shared" ca="1" si="407"/>
        <v>20.446982999999985</v>
      </c>
      <c r="U918" s="311">
        <f t="shared" ca="1" si="408"/>
        <v>0</v>
      </c>
      <c r="V918" s="306">
        <f t="shared" ca="1" si="409"/>
        <v>1.2266689484183027</v>
      </c>
      <c r="W918" s="304">
        <f t="shared" ca="1" si="410"/>
        <v>20.36066139872273</v>
      </c>
      <c r="Y918" s="314" t="str">
        <f t="shared" ca="1" si="428"/>
        <v/>
      </c>
      <c r="Z918" s="315" t="str">
        <f t="shared" ca="1" si="429"/>
        <v/>
      </c>
      <c r="AA918" s="316" t="str">
        <f t="shared" ca="1" si="430"/>
        <v/>
      </c>
      <c r="AC918" s="310" t="e">
        <f t="shared" ca="1" si="431"/>
        <v>#N/A</v>
      </c>
      <c r="AD918" s="323" t="e">
        <f t="shared" ca="1" si="432"/>
        <v>#N/A</v>
      </c>
      <c r="AE918" s="324" t="e">
        <f t="shared" ca="1" si="411"/>
        <v>#N/A</v>
      </c>
      <c r="AG918" s="306">
        <f t="shared" ca="1" si="433"/>
        <v>3.6124480265124603E-2</v>
      </c>
      <c r="AH918" s="304">
        <f t="shared" ca="1" si="434"/>
        <v>-9.768572302315965</v>
      </c>
    </row>
    <row r="919" spans="1:34" x14ac:dyDescent="0.25">
      <c r="A919" s="347">
        <f t="shared" ca="1" si="412"/>
        <v>1E-4</v>
      </c>
      <c r="B919" s="304">
        <f t="shared" ca="1" si="413"/>
        <v>47.132100000001437</v>
      </c>
      <c r="D919" s="306">
        <f t="shared" ca="1" si="414"/>
        <v>-0.32115869773997929</v>
      </c>
      <c r="E919" s="307">
        <f t="shared" ca="1" si="415"/>
        <v>-4.6695896174194118E-2</v>
      </c>
      <c r="F919" s="304">
        <f t="shared" ca="1" si="416"/>
        <v>0.32453569272662519</v>
      </c>
      <c r="G919" s="306">
        <f t="shared" ca="1" si="417"/>
        <v>4.0307287611176514</v>
      </c>
      <c r="H919" s="307">
        <f t="shared" ca="1" si="418"/>
        <v>-122.53613552566158</v>
      </c>
      <c r="I919" s="304">
        <f t="shared" ca="1" si="419"/>
        <v>122.60241141147675</v>
      </c>
      <c r="J919" s="306">
        <f t="shared" ca="1" si="420"/>
        <v>677.64536374242232</v>
      </c>
      <c r="K919" s="307">
        <f t="shared" ca="1" si="421"/>
        <v>-13.62704788951487</v>
      </c>
      <c r="L919" s="304">
        <f t="shared" ca="1" si="406"/>
        <v>677.78236583418345</v>
      </c>
      <c r="M919" s="306">
        <f t="shared" ca="1" si="422"/>
        <v>-1.5379139782629214</v>
      </c>
      <c r="N919" s="304">
        <f t="shared" ca="1" si="423"/>
        <v>-88.115980208639627</v>
      </c>
      <c r="P919" s="310">
        <f t="shared" ca="1" si="424"/>
        <v>23</v>
      </c>
      <c r="Q919" s="304">
        <f t="shared" ca="1" si="425"/>
        <v>0</v>
      </c>
      <c r="R919" s="306">
        <f t="shared" ca="1" si="426"/>
        <v>0</v>
      </c>
      <c r="S919" s="307">
        <f t="shared" ca="1" si="427"/>
        <v>2.0842999999999985</v>
      </c>
      <c r="T919" s="304">
        <f t="shared" ca="1" si="407"/>
        <v>20.446982999999985</v>
      </c>
      <c r="U919" s="311">
        <f t="shared" ca="1" si="408"/>
        <v>0</v>
      </c>
      <c r="V919" s="306">
        <f t="shared" ca="1" si="409"/>
        <v>1.2266704515326174</v>
      </c>
      <c r="W919" s="304">
        <f t="shared" ca="1" si="410"/>
        <v>20.360687547348956</v>
      </c>
      <c r="Y919" s="314" t="str">
        <f t="shared" ca="1" si="428"/>
        <v/>
      </c>
      <c r="Z919" s="315" t="str">
        <f t="shared" ca="1" si="429"/>
        <v/>
      </c>
      <c r="AA919" s="316" t="str">
        <f t="shared" ca="1" si="430"/>
        <v/>
      </c>
      <c r="AC919" s="310" t="e">
        <f t="shared" ca="1" si="431"/>
        <v>#N/A</v>
      </c>
      <c r="AD919" s="323" t="e">
        <f t="shared" ca="1" si="432"/>
        <v>#N/A</v>
      </c>
      <c r="AE919" s="324" t="e">
        <f t="shared" ca="1" si="411"/>
        <v>#N/A</v>
      </c>
      <c r="AG919" s="306">
        <f t="shared" ca="1" si="433"/>
        <v>3.6112019407486429E-2</v>
      </c>
      <c r="AH919" s="304">
        <f t="shared" ca="1" si="434"/>
        <v>-9.7685848480174382</v>
      </c>
    </row>
    <row r="920" spans="1:34" x14ac:dyDescent="0.25">
      <c r="A920" s="347">
        <f t="shared" ca="1" si="412"/>
        <v>1E-4</v>
      </c>
      <c r="B920" s="304">
        <f t="shared" ca="1" si="413"/>
        <v>47.13220000000144</v>
      </c>
      <c r="D920" s="306">
        <f t="shared" ca="1" si="414"/>
        <v>-0.32115654183798731</v>
      </c>
      <c r="E920" s="307">
        <f t="shared" ca="1" si="415"/>
        <v>-4.6683272952236621E-2</v>
      </c>
      <c r="F920" s="304">
        <f t="shared" ca="1" si="416"/>
        <v>0.32453174319142947</v>
      </c>
      <c r="G920" s="306">
        <f t="shared" ca="1" si="417"/>
        <v>4.0306966454634674</v>
      </c>
      <c r="H920" s="307">
        <f t="shared" ca="1" si="418"/>
        <v>-122.53614019398887</v>
      </c>
      <c r="I920" s="304">
        <f t="shared" ca="1" si="419"/>
        <v>122.60241502143685</v>
      </c>
      <c r="J920" s="306">
        <f t="shared" ca="1" si="420"/>
        <v>677.64536374242232</v>
      </c>
      <c r="K920" s="307">
        <f t="shared" ca="1" si="421"/>
        <v>-13.639301503300853</v>
      </c>
      <c r="L920" s="304">
        <f t="shared" ca="1" si="406"/>
        <v>677.78261230803037</v>
      </c>
      <c r="M920" s="306">
        <f t="shared" ca="1" si="422"/>
        <v>-1.5379142413227571</v>
      </c>
      <c r="N920" s="304">
        <f t="shared" ca="1" si="423"/>
        <v>-88.115995280857973</v>
      </c>
      <c r="P920" s="310">
        <f t="shared" ca="1" si="424"/>
        <v>23</v>
      </c>
      <c r="Q920" s="304">
        <f t="shared" ca="1" si="425"/>
        <v>0</v>
      </c>
      <c r="R920" s="306">
        <f t="shared" ca="1" si="426"/>
        <v>0</v>
      </c>
      <c r="S920" s="307">
        <f t="shared" ca="1" si="427"/>
        <v>2.0842999999999985</v>
      </c>
      <c r="T920" s="304">
        <f t="shared" ca="1" si="407"/>
        <v>20.446982999999985</v>
      </c>
      <c r="U920" s="311">
        <f t="shared" ca="1" si="408"/>
        <v>0</v>
      </c>
      <c r="V920" s="306">
        <f t="shared" ca="1" si="409"/>
        <v>1.2266719546488321</v>
      </c>
      <c r="W920" s="304">
        <f t="shared" ca="1" si="410"/>
        <v>20.360713695595816</v>
      </c>
      <c r="Y920" s="314" t="str">
        <f t="shared" ca="1" si="428"/>
        <v/>
      </c>
      <c r="Z920" s="315" t="str">
        <f t="shared" ca="1" si="429"/>
        <v/>
      </c>
      <c r="AA920" s="316" t="str">
        <f t="shared" ca="1" si="430"/>
        <v/>
      </c>
      <c r="AC920" s="310" t="e">
        <f t="shared" ca="1" si="431"/>
        <v>#N/A</v>
      </c>
      <c r="AD920" s="323" t="e">
        <f t="shared" ca="1" si="432"/>
        <v>#N/A</v>
      </c>
      <c r="AE920" s="324" t="e">
        <f t="shared" ca="1" si="411"/>
        <v>#N/A</v>
      </c>
      <c r="AG920" s="306">
        <f t="shared" ca="1" si="433"/>
        <v>3.6099558730496639E-2</v>
      </c>
      <c r="AH920" s="304">
        <f t="shared" ca="1" si="434"/>
        <v>-9.7685973935369041</v>
      </c>
    </row>
    <row r="921" spans="1:34" x14ac:dyDescent="0.25">
      <c r="A921" s="347">
        <f t="shared" ca="1" si="412"/>
        <v>1E-4</v>
      </c>
      <c r="B921" s="304">
        <f t="shared" ca="1" si="413"/>
        <v>47.132300000001443</v>
      </c>
      <c r="D921" s="306">
        <f t="shared" ca="1" si="414"/>
        <v>-0.32115438594400708</v>
      </c>
      <c r="E921" s="307">
        <f t="shared" ca="1" si="415"/>
        <v>-4.667064991332559E-2</v>
      </c>
      <c r="F921" s="304">
        <f t="shared" ca="1" si="416"/>
        <v>0.32452779414775007</v>
      </c>
      <c r="G921" s="306">
        <f t="shared" ca="1" si="417"/>
        <v>4.0306645300248727</v>
      </c>
      <c r="H921" s="307">
        <f t="shared" ca="1" si="418"/>
        <v>-122.53614486105386</v>
      </c>
      <c r="I921" s="304">
        <f t="shared" ca="1" si="419"/>
        <v>122.60241863015091</v>
      </c>
      <c r="J921" s="306">
        <f t="shared" ca="1" si="420"/>
        <v>677.64536374242232</v>
      </c>
      <c r="K921" s="307">
        <f t="shared" ca="1" si="421"/>
        <v>-13.651555117553606</v>
      </c>
      <c r="L921" s="304">
        <f t="shared" ca="1" si="406"/>
        <v>677.78285900332969</v>
      </c>
      <c r="M921" s="306">
        <f t="shared" ca="1" si="422"/>
        <v>-1.5379145043804812</v>
      </c>
      <c r="N921" s="304">
        <f t="shared" ca="1" si="423"/>
        <v>-88.116010352955328</v>
      </c>
      <c r="P921" s="310">
        <f t="shared" ca="1" si="424"/>
        <v>23</v>
      </c>
      <c r="Q921" s="304">
        <f t="shared" ca="1" si="425"/>
        <v>0</v>
      </c>
      <c r="R921" s="306">
        <f t="shared" ca="1" si="426"/>
        <v>0</v>
      </c>
      <c r="S921" s="307">
        <f t="shared" ca="1" si="427"/>
        <v>2.0842999999999985</v>
      </c>
      <c r="T921" s="304">
        <f t="shared" ca="1" si="407"/>
        <v>20.446982999999985</v>
      </c>
      <c r="U921" s="311">
        <f t="shared" ca="1" si="408"/>
        <v>0</v>
      </c>
      <c r="V921" s="306">
        <f t="shared" ca="1" si="409"/>
        <v>1.2266734577669476</v>
      </c>
      <c r="W921" s="304">
        <f t="shared" ca="1" si="410"/>
        <v>20.360739843463335</v>
      </c>
      <c r="Y921" s="314" t="str">
        <f t="shared" ca="1" si="428"/>
        <v/>
      </c>
      <c r="Z921" s="315" t="str">
        <f t="shared" ca="1" si="429"/>
        <v/>
      </c>
      <c r="AA921" s="316" t="str">
        <f t="shared" ca="1" si="430"/>
        <v/>
      </c>
      <c r="AC921" s="310" t="e">
        <f t="shared" ca="1" si="431"/>
        <v>#N/A</v>
      </c>
      <c r="AD921" s="323" t="e">
        <f t="shared" ca="1" si="432"/>
        <v>#N/A</v>
      </c>
      <c r="AE921" s="324" t="e">
        <f t="shared" ca="1" si="411"/>
        <v>#N/A</v>
      </c>
      <c r="AG921" s="306">
        <f t="shared" ca="1" si="433"/>
        <v>3.6087098234157011E-2</v>
      </c>
      <c r="AH921" s="304">
        <f t="shared" ca="1" si="434"/>
        <v>-9.768609938874361</v>
      </c>
    </row>
    <row r="922" spans="1:34" x14ac:dyDescent="0.25">
      <c r="A922" s="347">
        <f t="shared" ca="1" si="412"/>
        <v>1E-4</v>
      </c>
      <c r="B922" s="304">
        <f t="shared" ca="1" si="413"/>
        <v>47.132400000001446</v>
      </c>
      <c r="D922" s="306">
        <f t="shared" ca="1" si="414"/>
        <v>-0.32115223005804105</v>
      </c>
      <c r="E922" s="307">
        <f t="shared" ca="1" si="415"/>
        <v>-4.6658027057455698E-2</v>
      </c>
      <c r="F922" s="304">
        <f t="shared" ca="1" si="416"/>
        <v>0.32452384559558517</v>
      </c>
      <c r="G922" s="306">
        <f t="shared" ca="1" si="417"/>
        <v>4.0306324148018673</v>
      </c>
      <c r="H922" s="307">
        <f t="shared" ca="1" si="418"/>
        <v>-122.53614952685656</v>
      </c>
      <c r="I922" s="304">
        <f t="shared" ca="1" si="419"/>
        <v>122.60242223761894</v>
      </c>
      <c r="J922" s="306">
        <f t="shared" ca="1" si="420"/>
        <v>677.64536374242232</v>
      </c>
      <c r="K922" s="307">
        <f t="shared" ca="1" si="421"/>
        <v>-13.663808732273001</v>
      </c>
      <c r="L922" s="304">
        <f t="shared" ca="1" si="406"/>
        <v>677.7831059200812</v>
      </c>
      <c r="M922" s="306">
        <f t="shared" ca="1" si="422"/>
        <v>-1.537914767436094</v>
      </c>
      <c r="N922" s="304">
        <f t="shared" ca="1" si="423"/>
        <v>-88.116025424931721</v>
      </c>
      <c r="P922" s="310">
        <f t="shared" ca="1" si="424"/>
        <v>23</v>
      </c>
      <c r="Q922" s="304">
        <f t="shared" ca="1" si="425"/>
        <v>0</v>
      </c>
      <c r="R922" s="306">
        <f t="shared" ca="1" si="426"/>
        <v>0</v>
      </c>
      <c r="S922" s="307">
        <f t="shared" ca="1" si="427"/>
        <v>2.0842999999999985</v>
      </c>
      <c r="T922" s="304">
        <f t="shared" ca="1" si="407"/>
        <v>20.446982999999985</v>
      </c>
      <c r="U922" s="311">
        <f t="shared" ca="1" si="408"/>
        <v>0</v>
      </c>
      <c r="V922" s="306">
        <f t="shared" ca="1" si="409"/>
        <v>1.2266749608869632</v>
      </c>
      <c r="W922" s="304">
        <f t="shared" ca="1" si="410"/>
        <v>20.360765990951506</v>
      </c>
      <c r="Y922" s="314" t="str">
        <f t="shared" ca="1" si="428"/>
        <v/>
      </c>
      <c r="Z922" s="315" t="str">
        <f t="shared" ca="1" si="429"/>
        <v/>
      </c>
      <c r="AA922" s="316" t="str">
        <f t="shared" ca="1" si="430"/>
        <v/>
      </c>
      <c r="AC922" s="310" t="e">
        <f t="shared" ca="1" si="431"/>
        <v>#N/A</v>
      </c>
      <c r="AD922" s="323" t="e">
        <f t="shared" ca="1" si="432"/>
        <v>#N/A</v>
      </c>
      <c r="AE922" s="324" t="e">
        <f t="shared" ca="1" si="411"/>
        <v>#N/A</v>
      </c>
      <c r="AG922" s="306">
        <f t="shared" ca="1" si="433"/>
        <v>3.6074637918458663E-2</v>
      </c>
      <c r="AH922" s="304">
        <f t="shared" ca="1" si="434"/>
        <v>-9.7686224840298177</v>
      </c>
    </row>
    <row r="923" spans="1:34" x14ac:dyDescent="0.25">
      <c r="A923" s="347">
        <f t="shared" ca="1" si="412"/>
        <v>1E-4</v>
      </c>
      <c r="B923" s="304">
        <f t="shared" ca="1" si="413"/>
        <v>47.13250000000145</v>
      </c>
      <c r="D923" s="306">
        <f t="shared" ca="1" si="414"/>
        <v>-0.32115007418008512</v>
      </c>
      <c r="E923" s="307">
        <f t="shared" ca="1" si="415"/>
        <v>-4.664540438462339E-2</v>
      </c>
      <c r="F923" s="304">
        <f t="shared" ca="1" si="416"/>
        <v>0.32451989753492655</v>
      </c>
      <c r="G923" s="306">
        <f t="shared" ca="1" si="417"/>
        <v>4.0306002997944494</v>
      </c>
      <c r="H923" s="307">
        <f t="shared" ca="1" si="418"/>
        <v>-122.536154191397</v>
      </c>
      <c r="I923" s="304">
        <f t="shared" ca="1" si="419"/>
        <v>122.60242584384098</v>
      </c>
      <c r="J923" s="306">
        <f t="shared" ca="1" si="420"/>
        <v>677.64536374242232</v>
      </c>
      <c r="K923" s="307">
        <f t="shared" ca="1" si="421"/>
        <v>-13.676062347458913</v>
      </c>
      <c r="L923" s="304">
        <f t="shared" ca="1" si="406"/>
        <v>677.78335305828477</v>
      </c>
      <c r="M923" s="306">
        <f t="shared" ca="1" si="422"/>
        <v>-1.5379150304895952</v>
      </c>
      <c r="N923" s="304">
        <f t="shared" ca="1" si="423"/>
        <v>-88.116040496787122</v>
      </c>
      <c r="P923" s="310">
        <f t="shared" ca="1" si="424"/>
        <v>23</v>
      </c>
      <c r="Q923" s="304">
        <f t="shared" ca="1" si="425"/>
        <v>0</v>
      </c>
      <c r="R923" s="306">
        <f t="shared" ca="1" si="426"/>
        <v>0</v>
      </c>
      <c r="S923" s="307">
        <f t="shared" ca="1" si="427"/>
        <v>2.0842999999999985</v>
      </c>
      <c r="T923" s="304">
        <f t="shared" ca="1" si="407"/>
        <v>20.446982999999985</v>
      </c>
      <c r="U923" s="311">
        <f t="shared" ca="1" si="408"/>
        <v>0</v>
      </c>
      <c r="V923" s="306">
        <f t="shared" ca="1" si="409"/>
        <v>1.2266764640088792</v>
      </c>
      <c r="W923" s="304">
        <f t="shared" ca="1" si="410"/>
        <v>20.360792138060347</v>
      </c>
      <c r="Y923" s="314" t="str">
        <f t="shared" ca="1" si="428"/>
        <v/>
      </c>
      <c r="Z923" s="315" t="str">
        <f t="shared" ca="1" si="429"/>
        <v/>
      </c>
      <c r="AA923" s="316" t="str">
        <f t="shared" ca="1" si="430"/>
        <v/>
      </c>
      <c r="AC923" s="310" t="e">
        <f t="shared" ca="1" si="431"/>
        <v>#N/A</v>
      </c>
      <c r="AD923" s="323" t="e">
        <f t="shared" ca="1" si="432"/>
        <v>#N/A</v>
      </c>
      <c r="AE923" s="324" t="e">
        <f t="shared" ca="1" si="411"/>
        <v>#N/A</v>
      </c>
      <c r="AG923" s="306">
        <f t="shared" ca="1" si="433"/>
        <v>3.6062177783401594E-2</v>
      </c>
      <c r="AH923" s="304">
        <f t="shared" ca="1" si="434"/>
        <v>-9.7686350290032724</v>
      </c>
    </row>
    <row r="924" spans="1:34" x14ac:dyDescent="0.25">
      <c r="A924" s="347">
        <f t="shared" ca="1" si="412"/>
        <v>1E-4</v>
      </c>
      <c r="B924" s="304">
        <f t="shared" ca="1" si="413"/>
        <v>47.132600000001453</v>
      </c>
      <c r="D924" s="306">
        <f t="shared" ca="1" si="414"/>
        <v>-0.32114791831014416</v>
      </c>
      <c r="E924" s="307">
        <f t="shared" ca="1" si="415"/>
        <v>-4.6632781894826891E-2</v>
      </c>
      <c r="F924" s="304">
        <f t="shared" ca="1" si="416"/>
        <v>0.32451594996577521</v>
      </c>
      <c r="G924" s="306">
        <f t="shared" ca="1" si="417"/>
        <v>4.0305681850026183</v>
      </c>
      <c r="H924" s="307">
        <f t="shared" ca="1" si="418"/>
        <v>-122.53615885467519</v>
      </c>
      <c r="I924" s="304">
        <f t="shared" ca="1" si="419"/>
        <v>122.60242944881701</v>
      </c>
      <c r="J924" s="306">
        <f t="shared" ca="1" si="420"/>
        <v>677.64536374242232</v>
      </c>
      <c r="K924" s="307">
        <f t="shared" ca="1" si="421"/>
        <v>-13.688315963111217</v>
      </c>
      <c r="L924" s="304">
        <f t="shared" ca="1" si="406"/>
        <v>677.78360041793997</v>
      </c>
      <c r="M924" s="306">
        <f t="shared" ca="1" si="422"/>
        <v>-1.537915293540985</v>
      </c>
      <c r="N924" s="304">
        <f t="shared" ca="1" si="423"/>
        <v>-88.11605556852156</v>
      </c>
      <c r="P924" s="310">
        <f t="shared" ca="1" si="424"/>
        <v>23</v>
      </c>
      <c r="Q924" s="304">
        <f t="shared" ca="1" si="425"/>
        <v>0</v>
      </c>
      <c r="R924" s="306">
        <f t="shared" ca="1" si="426"/>
        <v>0</v>
      </c>
      <c r="S924" s="307">
        <f t="shared" ca="1" si="427"/>
        <v>2.0842999999999985</v>
      </c>
      <c r="T924" s="304">
        <f t="shared" ca="1" si="407"/>
        <v>20.446982999999985</v>
      </c>
      <c r="U924" s="311">
        <f t="shared" ca="1" si="408"/>
        <v>0</v>
      </c>
      <c r="V924" s="306">
        <f t="shared" ca="1" si="409"/>
        <v>1.2266779671326955</v>
      </c>
      <c r="W924" s="304">
        <f t="shared" ca="1" si="410"/>
        <v>20.360818284789843</v>
      </c>
      <c r="Y924" s="314" t="str">
        <f t="shared" ca="1" si="428"/>
        <v/>
      </c>
      <c r="Z924" s="315" t="str">
        <f t="shared" ca="1" si="429"/>
        <v/>
      </c>
      <c r="AA924" s="316" t="str">
        <f t="shared" ca="1" si="430"/>
        <v/>
      </c>
      <c r="AC924" s="310" t="e">
        <f t="shared" ca="1" si="431"/>
        <v>#N/A</v>
      </c>
      <c r="AD924" s="323" t="e">
        <f t="shared" ca="1" si="432"/>
        <v>#N/A</v>
      </c>
      <c r="AE924" s="324" t="e">
        <f t="shared" ca="1" si="411"/>
        <v>#N/A</v>
      </c>
      <c r="AG924" s="306">
        <f t="shared" ca="1" si="433"/>
        <v>3.60497178289787E-2</v>
      </c>
      <c r="AH924" s="304">
        <f t="shared" ca="1" si="434"/>
        <v>-9.7686475737947323</v>
      </c>
    </row>
    <row r="925" spans="1:34" x14ac:dyDescent="0.25">
      <c r="A925" s="347">
        <f t="shared" ca="1" si="412"/>
        <v>1E-4</v>
      </c>
      <c r="B925" s="304">
        <f t="shared" ca="1" si="413"/>
        <v>47.132700000001456</v>
      </c>
      <c r="D925" s="306">
        <f t="shared" ca="1" si="414"/>
        <v>-0.32114576244821591</v>
      </c>
      <c r="E925" s="307">
        <f t="shared" ca="1" si="415"/>
        <v>-4.6620159588066201E-2</v>
      </c>
      <c r="F925" s="304">
        <f t="shared" ca="1" si="416"/>
        <v>0.32451200288812537</v>
      </c>
      <c r="G925" s="306">
        <f t="shared" ca="1" si="417"/>
        <v>4.0305360704263737</v>
      </c>
      <c r="H925" s="307">
        <f t="shared" ca="1" si="418"/>
        <v>-122.53616351669115</v>
      </c>
      <c r="I925" s="304">
        <f t="shared" ca="1" si="419"/>
        <v>122.60243305254704</v>
      </c>
      <c r="J925" s="306">
        <f t="shared" ca="1" si="420"/>
        <v>677.64536374242232</v>
      </c>
      <c r="K925" s="307">
        <f t="shared" ca="1" si="421"/>
        <v>-13.700569579229786</v>
      </c>
      <c r="L925" s="304">
        <f t="shared" ca="1" si="406"/>
        <v>677.78384799904688</v>
      </c>
      <c r="M925" s="306">
        <f t="shared" ca="1" si="422"/>
        <v>-1.5379155565902636</v>
      </c>
      <c r="N925" s="304">
        <f t="shared" ca="1" si="423"/>
        <v>-88.116070640135021</v>
      </c>
      <c r="P925" s="310">
        <f t="shared" ca="1" si="424"/>
        <v>23</v>
      </c>
      <c r="Q925" s="304">
        <f t="shared" ca="1" si="425"/>
        <v>0</v>
      </c>
      <c r="R925" s="306">
        <f t="shared" ca="1" si="426"/>
        <v>0</v>
      </c>
      <c r="S925" s="307">
        <f t="shared" ca="1" si="427"/>
        <v>2.0842999999999985</v>
      </c>
      <c r="T925" s="304">
        <f t="shared" ca="1" si="407"/>
        <v>20.446982999999985</v>
      </c>
      <c r="U925" s="311">
        <f t="shared" ca="1" si="408"/>
        <v>0</v>
      </c>
      <c r="V925" s="306">
        <f t="shared" ca="1" si="409"/>
        <v>1.2266794702584121</v>
      </c>
      <c r="W925" s="304">
        <f t="shared" ca="1" si="410"/>
        <v>20.360844431140002</v>
      </c>
      <c r="Y925" s="314" t="str">
        <f t="shared" ca="1" si="428"/>
        <v/>
      </c>
      <c r="Z925" s="315" t="str">
        <f t="shared" ca="1" si="429"/>
        <v/>
      </c>
      <c r="AA925" s="316" t="str">
        <f t="shared" ca="1" si="430"/>
        <v/>
      </c>
      <c r="AC925" s="310" t="e">
        <f t="shared" ca="1" si="431"/>
        <v>#N/A</v>
      </c>
      <c r="AD925" s="323" t="e">
        <f t="shared" ca="1" si="432"/>
        <v>#N/A</v>
      </c>
      <c r="AE925" s="324" t="e">
        <f t="shared" ca="1" si="411"/>
        <v>#N/A</v>
      </c>
      <c r="AG925" s="306">
        <f t="shared" ca="1" si="433"/>
        <v>3.6037258055198862E-2</v>
      </c>
      <c r="AH925" s="304">
        <f t="shared" ca="1" si="434"/>
        <v>-9.7686601184041919</v>
      </c>
    </row>
    <row r="926" spans="1:34" x14ac:dyDescent="0.25">
      <c r="A926" s="347">
        <f t="shared" ca="1" si="412"/>
        <v>1E-4</v>
      </c>
      <c r="B926" s="304">
        <f t="shared" ca="1" si="413"/>
        <v>47.13280000000146</v>
      </c>
      <c r="D926" s="306">
        <f t="shared" ca="1" si="414"/>
        <v>-0.32114360659429864</v>
      </c>
      <c r="E926" s="307">
        <f t="shared" ca="1" si="415"/>
        <v>-4.660753746434132E-2</v>
      </c>
      <c r="F926" s="304">
        <f t="shared" ca="1" si="416"/>
        <v>0.32450805630197171</v>
      </c>
      <c r="G926" s="306">
        <f t="shared" ca="1" si="417"/>
        <v>4.0305039560657141</v>
      </c>
      <c r="H926" s="307">
        <f t="shared" ca="1" si="418"/>
        <v>-122.53616817744489</v>
      </c>
      <c r="I926" s="304">
        <f t="shared" ca="1" si="419"/>
        <v>122.60243665503113</v>
      </c>
      <c r="J926" s="306">
        <f t="shared" ca="1" si="420"/>
        <v>677.64536374242232</v>
      </c>
      <c r="K926" s="307">
        <f t="shared" ca="1" si="421"/>
        <v>-13.712823195814492</v>
      </c>
      <c r="L926" s="304">
        <f t="shared" ca="1" si="406"/>
        <v>677.78409580160519</v>
      </c>
      <c r="M926" s="306">
        <f t="shared" ca="1" si="422"/>
        <v>-1.5379158196374307</v>
      </c>
      <c r="N926" s="304">
        <f t="shared" ca="1" si="423"/>
        <v>-88.11608571162752</v>
      </c>
      <c r="P926" s="310">
        <f t="shared" ca="1" si="424"/>
        <v>23</v>
      </c>
      <c r="Q926" s="304">
        <f t="shared" ca="1" si="425"/>
        <v>0</v>
      </c>
      <c r="R926" s="306">
        <f t="shared" ca="1" si="426"/>
        <v>0</v>
      </c>
      <c r="S926" s="307">
        <f t="shared" ca="1" si="427"/>
        <v>2.0842999999999985</v>
      </c>
      <c r="T926" s="304">
        <f t="shared" ca="1" si="407"/>
        <v>20.446982999999985</v>
      </c>
      <c r="U926" s="311">
        <f t="shared" ca="1" si="408"/>
        <v>0</v>
      </c>
      <c r="V926" s="306">
        <f t="shared" ca="1" si="409"/>
        <v>1.2266809733860295</v>
      </c>
      <c r="W926" s="304">
        <f t="shared" ca="1" si="410"/>
        <v>20.360870577110848</v>
      </c>
      <c r="Y926" s="314" t="str">
        <f t="shared" ca="1" si="428"/>
        <v/>
      </c>
      <c r="Z926" s="315" t="str">
        <f t="shared" ca="1" si="429"/>
        <v/>
      </c>
      <c r="AA926" s="316" t="str">
        <f t="shared" ca="1" si="430"/>
        <v/>
      </c>
      <c r="AC926" s="310" t="e">
        <f t="shared" ca="1" si="431"/>
        <v>#N/A</v>
      </c>
      <c r="AD926" s="323" t="e">
        <f t="shared" ca="1" si="432"/>
        <v>#N/A</v>
      </c>
      <c r="AE926" s="324" t="e">
        <f t="shared" ca="1" si="411"/>
        <v>#N/A</v>
      </c>
      <c r="AG926" s="306">
        <f t="shared" ca="1" si="433"/>
        <v>3.6024798462056751E-2</v>
      </c>
      <c r="AH926" s="304">
        <f t="shared" ca="1" si="434"/>
        <v>-9.7686726628316549</v>
      </c>
    </row>
    <row r="927" spans="1:34" x14ac:dyDescent="0.25">
      <c r="A927" s="347">
        <f t="shared" ca="1" si="412"/>
        <v>1E-4</v>
      </c>
      <c r="B927" s="304">
        <f t="shared" ca="1" si="413"/>
        <v>47.132900000001463</v>
      </c>
      <c r="D927" s="306">
        <f t="shared" ca="1" si="414"/>
        <v>-0.32114145074839501</v>
      </c>
      <c r="E927" s="307">
        <f t="shared" ca="1" si="415"/>
        <v>-4.6594915523643365E-2</v>
      </c>
      <c r="F927" s="304">
        <f t="shared" ca="1" si="416"/>
        <v>0.32450411020731196</v>
      </c>
      <c r="G927" s="306">
        <f t="shared" ca="1" si="417"/>
        <v>4.0304718419206393</v>
      </c>
      <c r="H927" s="307">
        <f t="shared" ca="1" si="418"/>
        <v>-122.53617283693644</v>
      </c>
      <c r="I927" s="304">
        <f t="shared" ca="1" si="419"/>
        <v>122.60244025626928</v>
      </c>
      <c r="J927" s="306">
        <f t="shared" ca="1" si="420"/>
        <v>677.64536374242232</v>
      </c>
      <c r="K927" s="307">
        <f t="shared" ca="1" si="421"/>
        <v>-13.725076812865211</v>
      </c>
      <c r="L927" s="304">
        <f t="shared" ca="1" si="406"/>
        <v>677.78434382561454</v>
      </c>
      <c r="M927" s="306">
        <f t="shared" ca="1" si="422"/>
        <v>-1.5379160826824865</v>
      </c>
      <c r="N927" s="304">
        <f t="shared" ca="1" si="423"/>
        <v>-88.116100782999027</v>
      </c>
      <c r="P927" s="310">
        <f t="shared" ca="1" si="424"/>
        <v>23</v>
      </c>
      <c r="Q927" s="304">
        <f t="shared" ca="1" si="425"/>
        <v>0</v>
      </c>
      <c r="R927" s="306">
        <f t="shared" ca="1" si="426"/>
        <v>0</v>
      </c>
      <c r="S927" s="307">
        <f t="shared" ca="1" si="427"/>
        <v>2.0842999999999985</v>
      </c>
      <c r="T927" s="304">
        <f t="shared" ca="1" si="407"/>
        <v>20.446982999999985</v>
      </c>
      <c r="U927" s="311">
        <f t="shared" ca="1" si="408"/>
        <v>0</v>
      </c>
      <c r="V927" s="306">
        <f t="shared" ca="1" si="409"/>
        <v>1.2266824765155466</v>
      </c>
      <c r="W927" s="304">
        <f t="shared" ca="1" si="410"/>
        <v>20.360896722702357</v>
      </c>
      <c r="Y927" s="314" t="str">
        <f t="shared" ca="1" si="428"/>
        <v/>
      </c>
      <c r="Z927" s="315" t="str">
        <f t="shared" ca="1" si="429"/>
        <v/>
      </c>
      <c r="AA927" s="316" t="str">
        <f t="shared" ca="1" si="430"/>
        <v/>
      </c>
      <c r="AC927" s="310" t="e">
        <f t="shared" ca="1" si="431"/>
        <v>#N/A</v>
      </c>
      <c r="AD927" s="323" t="e">
        <f t="shared" ca="1" si="432"/>
        <v>#N/A</v>
      </c>
      <c r="AE927" s="324" t="e">
        <f t="shared" ca="1" si="411"/>
        <v>#N/A</v>
      </c>
      <c r="AG927" s="306">
        <f t="shared" ca="1" si="433"/>
        <v>3.6012339049541708E-2</v>
      </c>
      <c r="AH927" s="304">
        <f t="shared" ca="1" si="434"/>
        <v>-9.7686852070771302</v>
      </c>
    </row>
    <row r="928" spans="1:34" x14ac:dyDescent="0.25">
      <c r="A928" s="347">
        <f t="shared" ca="1" si="412"/>
        <v>1E-4</v>
      </c>
      <c r="B928" s="304">
        <f t="shared" ca="1" si="413"/>
        <v>47.133000000001466</v>
      </c>
      <c r="D928" s="306">
        <f t="shared" ca="1" si="414"/>
        <v>-0.32113929491050497</v>
      </c>
      <c r="E928" s="307">
        <f t="shared" ca="1" si="415"/>
        <v>-4.658229376598122E-2</v>
      </c>
      <c r="F928" s="304">
        <f t="shared" ca="1" si="416"/>
        <v>0.32450016460414383</v>
      </c>
      <c r="G928" s="306">
        <f t="shared" ca="1" si="417"/>
        <v>4.0304397279911486</v>
      </c>
      <c r="H928" s="307">
        <f t="shared" ca="1" si="418"/>
        <v>-122.53617749516582</v>
      </c>
      <c r="I928" s="304">
        <f t="shared" ca="1" si="419"/>
        <v>122.60244385626149</v>
      </c>
      <c r="J928" s="306">
        <f t="shared" ca="1" si="420"/>
        <v>677.64536374242232</v>
      </c>
      <c r="K928" s="307">
        <f t="shared" ca="1" si="421"/>
        <v>-13.737330430381816</v>
      </c>
      <c r="L928" s="304">
        <f t="shared" ca="1" si="406"/>
        <v>677.78459207107483</v>
      </c>
      <c r="M928" s="306">
        <f t="shared" ca="1" si="422"/>
        <v>-1.5379163457254308</v>
      </c>
      <c r="N928" s="304">
        <f t="shared" ca="1" si="423"/>
        <v>-88.116115854249571</v>
      </c>
      <c r="P928" s="310">
        <f t="shared" ca="1" si="424"/>
        <v>23</v>
      </c>
      <c r="Q928" s="304">
        <f t="shared" ca="1" si="425"/>
        <v>0</v>
      </c>
      <c r="R928" s="306">
        <f t="shared" ca="1" si="426"/>
        <v>0</v>
      </c>
      <c r="S928" s="307">
        <f t="shared" ca="1" si="427"/>
        <v>2.0842999999999985</v>
      </c>
      <c r="T928" s="304">
        <f t="shared" ca="1" si="407"/>
        <v>20.446982999999985</v>
      </c>
      <c r="U928" s="311">
        <f t="shared" ca="1" si="408"/>
        <v>0</v>
      </c>
      <c r="V928" s="306">
        <f t="shared" ca="1" si="409"/>
        <v>1.226683979646964</v>
      </c>
      <c r="W928" s="304">
        <f t="shared" ca="1" si="410"/>
        <v>20.360922867914542</v>
      </c>
      <c r="Y928" s="314" t="str">
        <f t="shared" ca="1" si="428"/>
        <v/>
      </c>
      <c r="Z928" s="315" t="str">
        <f t="shared" ca="1" si="429"/>
        <v/>
      </c>
      <c r="AA928" s="316" t="str">
        <f t="shared" ca="1" si="430"/>
        <v/>
      </c>
      <c r="AC928" s="310" t="e">
        <f t="shared" ca="1" si="431"/>
        <v>#N/A</v>
      </c>
      <c r="AD928" s="323" t="e">
        <f t="shared" ca="1" si="432"/>
        <v>#N/A</v>
      </c>
      <c r="AE928" s="324" t="e">
        <f t="shared" ca="1" si="411"/>
        <v>#N/A</v>
      </c>
      <c r="AG928" s="306">
        <f t="shared" ca="1" si="433"/>
        <v>3.5999879817664393E-2</v>
      </c>
      <c r="AH928" s="304">
        <f t="shared" ca="1" si="434"/>
        <v>-9.7686977511406088</v>
      </c>
    </row>
    <row r="929" spans="1:34" x14ac:dyDescent="0.25">
      <c r="A929" s="347">
        <f t="shared" ca="1" si="412"/>
        <v>1E-4</v>
      </c>
      <c r="B929" s="304">
        <f t="shared" ca="1" si="413"/>
        <v>47.13310000000147</v>
      </c>
      <c r="D929" s="306">
        <f t="shared" ca="1" si="414"/>
        <v>-0.32113713908062896</v>
      </c>
      <c r="E929" s="307">
        <f t="shared" ca="1" si="415"/>
        <v>-4.6569672191346001E-2</v>
      </c>
      <c r="F929" s="304">
        <f t="shared" ca="1" si="416"/>
        <v>0.32449621949246288</v>
      </c>
      <c r="G929" s="306">
        <f t="shared" ca="1" si="417"/>
        <v>4.0304076142772409</v>
      </c>
      <c r="H929" s="307">
        <f t="shared" ca="1" si="418"/>
        <v>-122.53618215213304</v>
      </c>
      <c r="I929" s="304">
        <f t="shared" ca="1" si="419"/>
        <v>122.60244745500781</v>
      </c>
      <c r="J929" s="306">
        <f t="shared" ca="1" si="420"/>
        <v>677.64536374242232</v>
      </c>
      <c r="K929" s="307">
        <f t="shared" ca="1" si="421"/>
        <v>-13.749584048364181</v>
      </c>
      <c r="L929" s="304">
        <f t="shared" ca="1" si="406"/>
        <v>677.78484053798581</v>
      </c>
      <c r="M929" s="306">
        <f t="shared" ca="1" si="422"/>
        <v>-1.5379166087662639</v>
      </c>
      <c r="N929" s="304">
        <f t="shared" ca="1" si="423"/>
        <v>-88.116130925379139</v>
      </c>
      <c r="P929" s="310">
        <f t="shared" ca="1" si="424"/>
        <v>23</v>
      </c>
      <c r="Q929" s="304">
        <f t="shared" ca="1" si="425"/>
        <v>0</v>
      </c>
      <c r="R929" s="306">
        <f t="shared" ca="1" si="426"/>
        <v>0</v>
      </c>
      <c r="S929" s="307">
        <f t="shared" ca="1" si="427"/>
        <v>2.0842999999999985</v>
      </c>
      <c r="T929" s="304">
        <f t="shared" ca="1" si="407"/>
        <v>20.446982999999985</v>
      </c>
      <c r="U929" s="311">
        <f t="shared" ca="1" si="408"/>
        <v>0</v>
      </c>
      <c r="V929" s="306">
        <f t="shared" ca="1" si="409"/>
        <v>1.2266854827802822</v>
      </c>
      <c r="W929" s="304">
        <f t="shared" ca="1" si="410"/>
        <v>20.360949012747426</v>
      </c>
      <c r="Y929" s="314" t="str">
        <f t="shared" ca="1" si="428"/>
        <v/>
      </c>
      <c r="Z929" s="315" t="str">
        <f t="shared" ca="1" si="429"/>
        <v/>
      </c>
      <c r="AA929" s="316" t="str">
        <f t="shared" ca="1" si="430"/>
        <v/>
      </c>
      <c r="AC929" s="310" t="e">
        <f t="shared" ca="1" si="431"/>
        <v>#N/A</v>
      </c>
      <c r="AD929" s="323" t="e">
        <f t="shared" ca="1" si="432"/>
        <v>#N/A</v>
      </c>
      <c r="AE929" s="324" t="e">
        <f t="shared" ca="1" si="411"/>
        <v>#N/A</v>
      </c>
      <c r="AG929" s="306">
        <f t="shared" ca="1" si="433"/>
        <v>3.5987420766415923E-2</v>
      </c>
      <c r="AH929" s="304">
        <f t="shared" ca="1" si="434"/>
        <v>-9.7687102950220979</v>
      </c>
    </row>
    <row r="930" spans="1:34" x14ac:dyDescent="0.25">
      <c r="A930" s="347">
        <f t="shared" ca="1" si="412"/>
        <v>1E-4</v>
      </c>
      <c r="B930" s="304">
        <f t="shared" ca="1" si="413"/>
        <v>47.133200000001473</v>
      </c>
      <c r="D930" s="306">
        <f t="shared" ca="1" si="414"/>
        <v>-0.32113498325876516</v>
      </c>
      <c r="E930" s="307">
        <f t="shared" ca="1" si="415"/>
        <v>-4.6557050799728827E-2</v>
      </c>
      <c r="F930" s="304">
        <f t="shared" ca="1" si="416"/>
        <v>0.3244922748722624</v>
      </c>
      <c r="G930" s="306">
        <f t="shared" ca="1" si="417"/>
        <v>4.0303755007789155</v>
      </c>
      <c r="H930" s="307">
        <f t="shared" ca="1" si="418"/>
        <v>-122.53618680783812</v>
      </c>
      <c r="I930" s="304">
        <f t="shared" ca="1" si="419"/>
        <v>122.60245105250824</v>
      </c>
      <c r="J930" s="306">
        <f t="shared" ca="1" si="420"/>
        <v>677.64536374242232</v>
      </c>
      <c r="K930" s="307">
        <f t="shared" ca="1" si="421"/>
        <v>-13.761837666812179</v>
      </c>
      <c r="L930" s="304">
        <f t="shared" ca="1" si="406"/>
        <v>677.78508922634728</v>
      </c>
      <c r="M930" s="306">
        <f t="shared" ca="1" si="422"/>
        <v>-1.5379168718049858</v>
      </c>
      <c r="N930" s="304">
        <f t="shared" ca="1" si="423"/>
        <v>-88.116145996387758</v>
      </c>
      <c r="P930" s="310">
        <f t="shared" ca="1" si="424"/>
        <v>23</v>
      </c>
      <c r="Q930" s="304">
        <f t="shared" ca="1" si="425"/>
        <v>0</v>
      </c>
      <c r="R930" s="306">
        <f t="shared" ca="1" si="426"/>
        <v>0</v>
      </c>
      <c r="S930" s="307">
        <f t="shared" ca="1" si="427"/>
        <v>2.0842999999999985</v>
      </c>
      <c r="T930" s="304">
        <f t="shared" ca="1" si="407"/>
        <v>20.446982999999985</v>
      </c>
      <c r="U930" s="311">
        <f t="shared" ca="1" si="408"/>
        <v>0</v>
      </c>
      <c r="V930" s="306">
        <f t="shared" ca="1" si="409"/>
        <v>1.2266869859155003</v>
      </c>
      <c r="W930" s="304">
        <f t="shared" ca="1" si="410"/>
        <v>20.360975157200993</v>
      </c>
      <c r="Y930" s="314" t="str">
        <f t="shared" ca="1" si="428"/>
        <v/>
      </c>
      <c r="Z930" s="315" t="str">
        <f t="shared" ca="1" si="429"/>
        <v/>
      </c>
      <c r="AA930" s="316" t="str">
        <f t="shared" ca="1" si="430"/>
        <v/>
      </c>
      <c r="AC930" s="310" t="e">
        <f t="shared" ca="1" si="431"/>
        <v>#N/A</v>
      </c>
      <c r="AD930" s="323" t="e">
        <f t="shared" ca="1" si="432"/>
        <v>#N/A</v>
      </c>
      <c r="AE930" s="324" t="e">
        <f t="shared" ca="1" si="411"/>
        <v>#N/A</v>
      </c>
      <c r="AG930" s="306">
        <f t="shared" ca="1" si="433"/>
        <v>3.5974961895794522E-2</v>
      </c>
      <c r="AH930" s="304">
        <f t="shared" ca="1" si="434"/>
        <v>-9.7687228387216045</v>
      </c>
    </row>
    <row r="931" spans="1:34" x14ac:dyDescent="0.25">
      <c r="A931" s="347">
        <f t="shared" ca="1" si="412"/>
        <v>1E-4</v>
      </c>
      <c r="B931" s="304">
        <f t="shared" ca="1" si="413"/>
        <v>47.133300000001476</v>
      </c>
      <c r="D931" s="306">
        <f t="shared" ca="1" si="414"/>
        <v>-0.32113282744491395</v>
      </c>
      <c r="E931" s="307">
        <f t="shared" ca="1" si="415"/>
        <v>-4.6544429591138581E-2</v>
      </c>
      <c r="F931" s="304">
        <f t="shared" ca="1" si="416"/>
        <v>0.3244883307435405</v>
      </c>
      <c r="G931" s="306">
        <f t="shared" ca="1" si="417"/>
        <v>4.0303433874961714</v>
      </c>
      <c r="H931" s="307">
        <f t="shared" ca="1" si="418"/>
        <v>-122.53619146228108</v>
      </c>
      <c r="I931" s="304">
        <f t="shared" ca="1" si="419"/>
        <v>122.6024546487628</v>
      </c>
      <c r="J931" s="306">
        <f t="shared" ca="1" si="420"/>
        <v>677.64536374242232</v>
      </c>
      <c r="K931" s="307">
        <f t="shared" ca="1" si="421"/>
        <v>-13.774091285725685</v>
      </c>
      <c r="L931" s="304">
        <f t="shared" ca="1" si="406"/>
        <v>677.785338136159</v>
      </c>
      <c r="M931" s="306">
        <f t="shared" ca="1" si="422"/>
        <v>-1.5379171348415963</v>
      </c>
      <c r="N931" s="304">
        <f t="shared" ca="1" si="423"/>
        <v>-88.116161067275399</v>
      </c>
      <c r="P931" s="310">
        <f t="shared" ca="1" si="424"/>
        <v>23</v>
      </c>
      <c r="Q931" s="304">
        <f t="shared" ca="1" si="425"/>
        <v>0</v>
      </c>
      <c r="R931" s="306">
        <f t="shared" ca="1" si="426"/>
        <v>0</v>
      </c>
      <c r="S931" s="307">
        <f t="shared" ca="1" si="427"/>
        <v>2.0842999999999985</v>
      </c>
      <c r="T931" s="304">
        <f t="shared" ca="1" si="407"/>
        <v>20.446982999999985</v>
      </c>
      <c r="U931" s="311">
        <f t="shared" ca="1" si="408"/>
        <v>0</v>
      </c>
      <c r="V931" s="306">
        <f t="shared" ca="1" si="409"/>
        <v>1.2266884890526188</v>
      </c>
      <c r="W931" s="304">
        <f t="shared" ca="1" si="410"/>
        <v>20.361001301275255</v>
      </c>
      <c r="Y931" s="314" t="str">
        <f t="shared" ca="1" si="428"/>
        <v/>
      </c>
      <c r="Z931" s="315" t="str">
        <f t="shared" ca="1" si="429"/>
        <v/>
      </c>
      <c r="AA931" s="316" t="str">
        <f t="shared" ca="1" si="430"/>
        <v/>
      </c>
      <c r="AC931" s="310" t="e">
        <f t="shared" ca="1" si="431"/>
        <v>#N/A</v>
      </c>
      <c r="AD931" s="323" t="e">
        <f t="shared" ca="1" si="432"/>
        <v>#N/A</v>
      </c>
      <c r="AE931" s="324" t="e">
        <f t="shared" ca="1" si="411"/>
        <v>#N/A</v>
      </c>
      <c r="AG931" s="306">
        <f t="shared" ca="1" si="433"/>
        <v>3.596250320579486E-2</v>
      </c>
      <c r="AH931" s="304">
        <f t="shared" ca="1" si="434"/>
        <v>-9.7687353822391252</v>
      </c>
    </row>
    <row r="932" spans="1:34" x14ac:dyDescent="0.25">
      <c r="A932" s="347">
        <f t="shared" ca="1" si="412"/>
        <v>1E-4</v>
      </c>
      <c r="B932" s="304">
        <f t="shared" ca="1" si="413"/>
        <v>47.13340000000148</v>
      </c>
      <c r="D932" s="306">
        <f t="shared" ca="1" si="414"/>
        <v>-0.3211306716390776</v>
      </c>
      <c r="E932" s="307">
        <f t="shared" ca="1" si="415"/>
        <v>-4.6531808565569932E-2</v>
      </c>
      <c r="F932" s="304">
        <f t="shared" ca="1" si="416"/>
        <v>0.32448438710629501</v>
      </c>
      <c r="G932" s="306">
        <f t="shared" ca="1" si="417"/>
        <v>4.0303112744290077</v>
      </c>
      <c r="H932" s="307">
        <f t="shared" ca="1" si="418"/>
        <v>-122.53619611546193</v>
      </c>
      <c r="I932" s="304">
        <f t="shared" ca="1" si="419"/>
        <v>122.60245824377151</v>
      </c>
      <c r="J932" s="306">
        <f t="shared" ca="1" si="420"/>
        <v>677.64536374242232</v>
      </c>
      <c r="K932" s="307">
        <f t="shared" ca="1" si="421"/>
        <v>-13.786344905104572</v>
      </c>
      <c r="L932" s="304">
        <f t="shared" ca="1" si="406"/>
        <v>677.78558726742074</v>
      </c>
      <c r="M932" s="306">
        <f t="shared" ca="1" si="422"/>
        <v>-1.5379173978760956</v>
      </c>
      <c r="N932" s="304">
        <f t="shared" ca="1" si="423"/>
        <v>-88.116176138042078</v>
      </c>
      <c r="P932" s="310">
        <f t="shared" ca="1" si="424"/>
        <v>23</v>
      </c>
      <c r="Q932" s="304">
        <f t="shared" ca="1" si="425"/>
        <v>0</v>
      </c>
      <c r="R932" s="306">
        <f t="shared" ca="1" si="426"/>
        <v>0</v>
      </c>
      <c r="S932" s="307">
        <f t="shared" ca="1" si="427"/>
        <v>2.0842999999999985</v>
      </c>
      <c r="T932" s="304">
        <f t="shared" ca="1" si="407"/>
        <v>20.446982999999985</v>
      </c>
      <c r="U932" s="311">
        <f t="shared" ca="1" si="408"/>
        <v>0</v>
      </c>
      <c r="V932" s="306">
        <f t="shared" ca="1" si="409"/>
        <v>1.2266899921916372</v>
      </c>
      <c r="W932" s="304">
        <f t="shared" ca="1" si="410"/>
        <v>20.361027444970208</v>
      </c>
      <c r="Y932" s="314" t="str">
        <f t="shared" ca="1" si="428"/>
        <v/>
      </c>
      <c r="Z932" s="315" t="str">
        <f t="shared" ca="1" si="429"/>
        <v/>
      </c>
      <c r="AA932" s="316" t="str">
        <f t="shared" ca="1" si="430"/>
        <v/>
      </c>
      <c r="AC932" s="310" t="e">
        <f t="shared" ca="1" si="431"/>
        <v>#N/A</v>
      </c>
      <c r="AD932" s="323" t="e">
        <f t="shared" ca="1" si="432"/>
        <v>#N/A</v>
      </c>
      <c r="AE932" s="324" t="e">
        <f t="shared" ca="1" si="411"/>
        <v>#N/A</v>
      </c>
      <c r="AG932" s="306">
        <f t="shared" ca="1" si="433"/>
        <v>3.5950044696420491E-2</v>
      </c>
      <c r="AH932" s="304">
        <f t="shared" ca="1" si="434"/>
        <v>-9.7687479255746634</v>
      </c>
    </row>
    <row r="933" spans="1:34" x14ac:dyDescent="0.25">
      <c r="A933" s="347">
        <f t="shared" ca="1" si="412"/>
        <v>1E-4</v>
      </c>
      <c r="B933" s="304">
        <f t="shared" ca="1" si="413"/>
        <v>47.133500000001483</v>
      </c>
      <c r="D933" s="306">
        <f t="shared" ca="1" si="414"/>
        <v>-0.32112851584125418</v>
      </c>
      <c r="E933" s="307">
        <f t="shared" ca="1" si="415"/>
        <v>-4.6519187723021105E-2</v>
      </c>
      <c r="F933" s="304">
        <f t="shared" ca="1" si="416"/>
        <v>0.32448044396052023</v>
      </c>
      <c r="G933" s="306">
        <f t="shared" ca="1" si="417"/>
        <v>4.0302791615774236</v>
      </c>
      <c r="H933" s="307">
        <f t="shared" ca="1" si="418"/>
        <v>-122.53620076738071</v>
      </c>
      <c r="I933" s="304">
        <f t="shared" ca="1" si="419"/>
        <v>122.60246183753439</v>
      </c>
      <c r="J933" s="306">
        <f t="shared" ca="1" si="420"/>
        <v>677.64536374242232</v>
      </c>
      <c r="K933" s="307">
        <f t="shared" ca="1" si="421"/>
        <v>-13.798598524948714</v>
      </c>
      <c r="L933" s="304">
        <f t="shared" ca="1" si="406"/>
        <v>677.78583662013216</v>
      </c>
      <c r="M933" s="306">
        <f t="shared" ca="1" si="422"/>
        <v>-1.5379176609084837</v>
      </c>
      <c r="N933" s="304">
        <f t="shared" ca="1" si="423"/>
        <v>-88.116191208687781</v>
      </c>
      <c r="P933" s="310">
        <f t="shared" ca="1" si="424"/>
        <v>23</v>
      </c>
      <c r="Q933" s="304">
        <f t="shared" ca="1" si="425"/>
        <v>0</v>
      </c>
      <c r="R933" s="306">
        <f t="shared" ca="1" si="426"/>
        <v>0</v>
      </c>
      <c r="S933" s="307">
        <f t="shared" ca="1" si="427"/>
        <v>2.0842999999999985</v>
      </c>
      <c r="T933" s="304">
        <f t="shared" ca="1" si="407"/>
        <v>20.446982999999985</v>
      </c>
      <c r="U933" s="311">
        <f t="shared" ca="1" si="408"/>
        <v>0</v>
      </c>
      <c r="V933" s="306">
        <f t="shared" ca="1" si="409"/>
        <v>1.2266914953325563</v>
      </c>
      <c r="W933" s="304">
        <f t="shared" ca="1" si="410"/>
        <v>20.361053588285873</v>
      </c>
      <c r="Y933" s="314" t="str">
        <f t="shared" ca="1" si="428"/>
        <v/>
      </c>
      <c r="Z933" s="315" t="str">
        <f t="shared" ca="1" si="429"/>
        <v/>
      </c>
      <c r="AA933" s="316" t="str">
        <f t="shared" ca="1" si="430"/>
        <v/>
      </c>
      <c r="AC933" s="310" t="e">
        <f t="shared" ca="1" si="431"/>
        <v>#N/A</v>
      </c>
      <c r="AD933" s="323" t="e">
        <f t="shared" ca="1" si="432"/>
        <v>#N/A</v>
      </c>
      <c r="AE933" s="324" t="e">
        <f t="shared" ca="1" si="411"/>
        <v>#N/A</v>
      </c>
      <c r="AG933" s="306">
        <f t="shared" ca="1" si="433"/>
        <v>3.5937586367671415E-2</v>
      </c>
      <c r="AH933" s="304">
        <f t="shared" ca="1" si="434"/>
        <v>-9.7687604687282175</v>
      </c>
    </row>
    <row r="934" spans="1:34" x14ac:dyDescent="0.25">
      <c r="A934" s="347">
        <f t="shared" ca="1" si="412"/>
        <v>1E-4</v>
      </c>
      <c r="B934" s="304">
        <f t="shared" ca="1" si="413"/>
        <v>47.133600000001486</v>
      </c>
      <c r="D934" s="306">
        <f t="shared" ca="1" si="414"/>
        <v>-0.32112636005144418</v>
      </c>
      <c r="E934" s="307">
        <f t="shared" ca="1" si="415"/>
        <v>-4.650656706348677E-2</v>
      </c>
      <c r="F934" s="304">
        <f t="shared" ca="1" si="416"/>
        <v>0.32447650130621225</v>
      </c>
      <c r="G934" s="306">
        <f t="shared" ca="1" si="417"/>
        <v>4.0302470489414182</v>
      </c>
      <c r="H934" s="307">
        <f t="shared" ca="1" si="418"/>
        <v>-122.53620541803741</v>
      </c>
      <c r="I934" s="304">
        <f t="shared" ca="1" si="419"/>
        <v>122.60246543005145</v>
      </c>
      <c r="J934" s="306">
        <f t="shared" ca="1" si="420"/>
        <v>677.64536374242232</v>
      </c>
      <c r="K934" s="307">
        <f t="shared" ca="1" si="421"/>
        <v>-13.810852145257986</v>
      </c>
      <c r="L934" s="304">
        <f t="shared" ca="1" si="406"/>
        <v>677.78608619429338</v>
      </c>
      <c r="M934" s="306">
        <f t="shared" ca="1" si="422"/>
        <v>-1.5379179239387604</v>
      </c>
      <c r="N934" s="304">
        <f t="shared" ca="1" si="423"/>
        <v>-88.11620627921252</v>
      </c>
      <c r="P934" s="310">
        <f t="shared" ca="1" si="424"/>
        <v>23</v>
      </c>
      <c r="Q934" s="304">
        <f t="shared" ca="1" si="425"/>
        <v>0</v>
      </c>
      <c r="R934" s="306">
        <f t="shared" ca="1" si="426"/>
        <v>0</v>
      </c>
      <c r="S934" s="307">
        <f t="shared" ca="1" si="427"/>
        <v>2.0842999999999985</v>
      </c>
      <c r="T934" s="304">
        <f t="shared" ca="1" si="407"/>
        <v>20.446982999999985</v>
      </c>
      <c r="U934" s="311">
        <f t="shared" ca="1" si="408"/>
        <v>0</v>
      </c>
      <c r="V934" s="306">
        <f t="shared" ca="1" si="409"/>
        <v>1.2266929984753756</v>
      </c>
      <c r="W934" s="304">
        <f t="shared" ca="1" si="410"/>
        <v>20.36107973122224</v>
      </c>
      <c r="Y934" s="314" t="str">
        <f t="shared" ca="1" si="428"/>
        <v/>
      </c>
      <c r="Z934" s="315" t="str">
        <f t="shared" ca="1" si="429"/>
        <v/>
      </c>
      <c r="AA934" s="316" t="str">
        <f t="shared" ca="1" si="430"/>
        <v/>
      </c>
      <c r="AC934" s="310" t="e">
        <f t="shared" ca="1" si="431"/>
        <v>#N/A</v>
      </c>
      <c r="AD934" s="323" t="e">
        <f t="shared" ca="1" si="432"/>
        <v>#N/A</v>
      </c>
      <c r="AE934" s="324" t="e">
        <f t="shared" ca="1" si="411"/>
        <v>#N/A</v>
      </c>
      <c r="AG934" s="306">
        <f t="shared" ca="1" si="433"/>
        <v>3.5925128219536973E-2</v>
      </c>
      <c r="AH934" s="304">
        <f t="shared" ca="1" si="434"/>
        <v>-9.7687730116997979</v>
      </c>
    </row>
    <row r="935" spans="1:34" x14ac:dyDescent="0.25">
      <c r="A935" s="347">
        <f t="shared" ca="1" si="412"/>
        <v>1E-4</v>
      </c>
      <c r="B935" s="304">
        <f t="shared" ca="1" si="413"/>
        <v>47.13370000000149</v>
      </c>
      <c r="D935" s="306">
        <f t="shared" ca="1" si="414"/>
        <v>-0.32112420426964999</v>
      </c>
      <c r="E935" s="307">
        <f t="shared" ca="1" si="415"/>
        <v>-4.6493946586966928E-2</v>
      </c>
      <c r="F935" s="304">
        <f t="shared" ca="1" si="416"/>
        <v>0.32447255914336981</v>
      </c>
      <c r="G935" s="306">
        <f t="shared" ca="1" si="417"/>
        <v>4.0302149365209914</v>
      </c>
      <c r="H935" s="307">
        <f t="shared" ca="1" si="418"/>
        <v>-122.53621006743207</v>
      </c>
      <c r="I935" s="304">
        <f t="shared" ca="1" si="419"/>
        <v>122.60246902132272</v>
      </c>
      <c r="J935" s="306">
        <f t="shared" ca="1" si="420"/>
        <v>677.64536374242232</v>
      </c>
      <c r="K935" s="307">
        <f t="shared" ca="1" si="421"/>
        <v>-13.82310576603226</v>
      </c>
      <c r="L935" s="304">
        <f t="shared" ca="1" si="406"/>
        <v>677.78633598990382</v>
      </c>
      <c r="M935" s="306">
        <f t="shared" ca="1" si="422"/>
        <v>-1.5379181869669261</v>
      </c>
      <c r="N935" s="304">
        <f t="shared" ca="1" si="423"/>
        <v>-88.11622134961631</v>
      </c>
      <c r="P935" s="310">
        <f t="shared" ca="1" si="424"/>
        <v>23</v>
      </c>
      <c r="Q935" s="304">
        <f t="shared" ca="1" si="425"/>
        <v>0</v>
      </c>
      <c r="R935" s="306">
        <f t="shared" ca="1" si="426"/>
        <v>0</v>
      </c>
      <c r="S935" s="307">
        <f t="shared" ca="1" si="427"/>
        <v>2.0842999999999985</v>
      </c>
      <c r="T935" s="304">
        <f t="shared" ca="1" si="407"/>
        <v>20.446982999999985</v>
      </c>
      <c r="U935" s="311">
        <f t="shared" ca="1" si="408"/>
        <v>0</v>
      </c>
      <c r="V935" s="306">
        <f t="shared" ca="1" si="409"/>
        <v>1.2266945016200947</v>
      </c>
      <c r="W935" s="304">
        <f t="shared" ca="1" si="410"/>
        <v>20.361105873779316</v>
      </c>
      <c r="Y935" s="314" t="str">
        <f t="shared" ca="1" si="428"/>
        <v/>
      </c>
      <c r="Z935" s="315" t="str">
        <f t="shared" ca="1" si="429"/>
        <v/>
      </c>
      <c r="AA935" s="316" t="str">
        <f t="shared" ca="1" si="430"/>
        <v/>
      </c>
      <c r="AC935" s="310" t="e">
        <f t="shared" ca="1" si="431"/>
        <v>#N/A</v>
      </c>
      <c r="AD935" s="323" t="e">
        <f t="shared" ca="1" si="432"/>
        <v>#N/A</v>
      </c>
      <c r="AE935" s="324" t="e">
        <f t="shared" ca="1" si="411"/>
        <v>#N/A</v>
      </c>
      <c r="AG935" s="306">
        <f t="shared" ca="1" si="433"/>
        <v>3.5912670252020717E-2</v>
      </c>
      <c r="AH935" s="304">
        <f t="shared" ca="1" si="434"/>
        <v>-9.7687855544893996</v>
      </c>
    </row>
    <row r="936" spans="1:34" x14ac:dyDescent="0.25">
      <c r="A936" s="347">
        <f t="shared" ca="1" si="412"/>
        <v>1E-4</v>
      </c>
      <c r="B936" s="304">
        <f t="shared" ca="1" si="413"/>
        <v>47.133800000001493</v>
      </c>
      <c r="D936" s="306">
        <f t="shared" ca="1" si="414"/>
        <v>-0.32112204849586751</v>
      </c>
      <c r="E936" s="307">
        <f t="shared" ca="1" si="415"/>
        <v>-4.6481326293461578E-2</v>
      </c>
      <c r="F936" s="304">
        <f t="shared" ca="1" si="416"/>
        <v>0.3244686174719853</v>
      </c>
      <c r="G936" s="306">
        <f t="shared" ca="1" si="417"/>
        <v>4.0301828243161415</v>
      </c>
      <c r="H936" s="307">
        <f t="shared" ca="1" si="418"/>
        <v>-122.5362147155647</v>
      </c>
      <c r="I936" s="304">
        <f t="shared" ca="1" si="419"/>
        <v>122.60247261134822</v>
      </c>
      <c r="J936" s="306">
        <f t="shared" ca="1" si="420"/>
        <v>677.64536374242232</v>
      </c>
      <c r="K936" s="307">
        <f t="shared" ca="1" si="421"/>
        <v>-13.83535938727141</v>
      </c>
      <c r="L936" s="304">
        <f t="shared" ca="1" si="406"/>
        <v>677.78658600696338</v>
      </c>
      <c r="M936" s="306">
        <f t="shared" ca="1" si="422"/>
        <v>-1.5379184499929806</v>
      </c>
      <c r="N936" s="304">
        <f t="shared" ca="1" si="423"/>
        <v>-88.116236419899138</v>
      </c>
      <c r="P936" s="310">
        <f t="shared" ca="1" si="424"/>
        <v>23</v>
      </c>
      <c r="Q936" s="304">
        <f t="shared" ca="1" si="425"/>
        <v>0</v>
      </c>
      <c r="R936" s="306">
        <f t="shared" ca="1" si="426"/>
        <v>0</v>
      </c>
      <c r="S936" s="307">
        <f t="shared" ca="1" si="427"/>
        <v>2.0842999999999985</v>
      </c>
      <c r="T936" s="304">
        <f t="shared" ca="1" si="407"/>
        <v>20.446982999999985</v>
      </c>
      <c r="U936" s="311">
        <f t="shared" ca="1" si="408"/>
        <v>0</v>
      </c>
      <c r="V936" s="306">
        <f t="shared" ca="1" si="409"/>
        <v>1.2266960047667141</v>
      </c>
      <c r="W936" s="304">
        <f t="shared" ca="1" si="410"/>
        <v>20.361132015957107</v>
      </c>
      <c r="Y936" s="314" t="str">
        <f t="shared" ca="1" si="428"/>
        <v/>
      </c>
      <c r="Z936" s="315" t="str">
        <f t="shared" ca="1" si="429"/>
        <v/>
      </c>
      <c r="AA936" s="316" t="str">
        <f t="shared" ca="1" si="430"/>
        <v/>
      </c>
      <c r="AC936" s="310" t="e">
        <f t="shared" ca="1" si="431"/>
        <v>#N/A</v>
      </c>
      <c r="AD936" s="323" t="e">
        <f t="shared" ca="1" si="432"/>
        <v>#N/A</v>
      </c>
      <c r="AE936" s="324" t="e">
        <f t="shared" ca="1" si="411"/>
        <v>#N/A</v>
      </c>
      <c r="AG936" s="306">
        <f t="shared" ca="1" si="433"/>
        <v>3.590021246512265E-2</v>
      </c>
      <c r="AH936" s="304">
        <f t="shared" ca="1" si="434"/>
        <v>-9.7687980970970258</v>
      </c>
    </row>
    <row r="937" spans="1:34" x14ac:dyDescent="0.25">
      <c r="A937" s="347">
        <f t="shared" ca="1" si="412"/>
        <v>1E-4</v>
      </c>
      <c r="B937" s="304">
        <f t="shared" ca="1" si="413"/>
        <v>47.133900000001496</v>
      </c>
      <c r="D937" s="306">
        <f t="shared" ca="1" si="414"/>
        <v>-0.32111989273009928</v>
      </c>
      <c r="E937" s="307">
        <f t="shared" ca="1" si="415"/>
        <v>-4.6468706182967168E-2</v>
      </c>
      <c r="F937" s="304">
        <f t="shared" ca="1" si="416"/>
        <v>0.32446467629205711</v>
      </c>
      <c r="G937" s="306">
        <f t="shared" ca="1" si="417"/>
        <v>4.0301507123268685</v>
      </c>
      <c r="H937" s="307">
        <f t="shared" ca="1" si="418"/>
        <v>-122.53621936243532</v>
      </c>
      <c r="I937" s="304">
        <f t="shared" ca="1" si="419"/>
        <v>122.60247620012794</v>
      </c>
      <c r="J937" s="306">
        <f t="shared" ca="1" si="420"/>
        <v>677.64536374242232</v>
      </c>
      <c r="K937" s="307">
        <f t="shared" ca="1" si="421"/>
        <v>-13.84761300897531</v>
      </c>
      <c r="L937" s="304">
        <f t="shared" ca="1" si="406"/>
        <v>677.78683624547193</v>
      </c>
      <c r="M937" s="306">
        <f t="shared" ca="1" si="422"/>
        <v>-1.5379187130169238</v>
      </c>
      <c r="N937" s="304">
        <f t="shared" ca="1" si="423"/>
        <v>-88.116251490061003</v>
      </c>
      <c r="P937" s="310">
        <f t="shared" ca="1" si="424"/>
        <v>23</v>
      </c>
      <c r="Q937" s="304">
        <f t="shared" ca="1" si="425"/>
        <v>0</v>
      </c>
      <c r="R937" s="306">
        <f t="shared" ca="1" si="426"/>
        <v>0</v>
      </c>
      <c r="S937" s="307">
        <f t="shared" ca="1" si="427"/>
        <v>2.0842999999999985</v>
      </c>
      <c r="T937" s="304">
        <f t="shared" ca="1" si="407"/>
        <v>20.446982999999985</v>
      </c>
      <c r="U937" s="311">
        <f t="shared" ca="1" si="408"/>
        <v>0</v>
      </c>
      <c r="V937" s="306">
        <f t="shared" ca="1" si="409"/>
        <v>1.2266975079152342</v>
      </c>
      <c r="W937" s="304">
        <f t="shared" ca="1" si="410"/>
        <v>20.361158157755622</v>
      </c>
      <c r="Y937" s="314" t="str">
        <f t="shared" ca="1" si="428"/>
        <v/>
      </c>
      <c r="Z937" s="315" t="str">
        <f t="shared" ca="1" si="429"/>
        <v/>
      </c>
      <c r="AA937" s="316" t="str">
        <f t="shared" ca="1" si="430"/>
        <v/>
      </c>
      <c r="AC937" s="310" t="e">
        <f t="shared" ca="1" si="431"/>
        <v>#N/A</v>
      </c>
      <c r="AD937" s="323" t="e">
        <f t="shared" ca="1" si="432"/>
        <v>#N/A</v>
      </c>
      <c r="AE937" s="324" t="e">
        <f t="shared" ca="1" si="411"/>
        <v>#N/A</v>
      </c>
      <c r="AG937" s="306">
        <f t="shared" ca="1" si="433"/>
        <v>3.5887754858835663E-2</v>
      </c>
      <c r="AH937" s="304">
        <f t="shared" ca="1" si="434"/>
        <v>-9.7688106395226804</v>
      </c>
    </row>
    <row r="938" spans="1:34" x14ac:dyDescent="0.25">
      <c r="A938" s="347">
        <f t="shared" ca="1" si="412"/>
        <v>1E-4</v>
      </c>
      <c r="B938" s="304">
        <f t="shared" ca="1" si="413"/>
        <v>47.1340000000015</v>
      </c>
      <c r="D938" s="306">
        <f t="shared" ca="1" si="414"/>
        <v>-0.32111773697234558</v>
      </c>
      <c r="E938" s="307">
        <f t="shared" ca="1" si="415"/>
        <v>-4.6456086255476592E-2</v>
      </c>
      <c r="F938" s="304">
        <f t="shared" ca="1" si="416"/>
        <v>0.32446073560358085</v>
      </c>
      <c r="G938" s="306">
        <f t="shared" ca="1" si="417"/>
        <v>4.0301186005531715</v>
      </c>
      <c r="H938" s="307">
        <f t="shared" ca="1" si="418"/>
        <v>-122.53622400804394</v>
      </c>
      <c r="I938" s="304">
        <f t="shared" ca="1" si="419"/>
        <v>122.60247978766192</v>
      </c>
      <c r="J938" s="306">
        <f t="shared" ca="1" si="420"/>
        <v>677.64536374242232</v>
      </c>
      <c r="K938" s="307">
        <f t="shared" ca="1" si="421"/>
        <v>-13.859866631143834</v>
      </c>
      <c r="L938" s="304">
        <f t="shared" ca="1" si="406"/>
        <v>677.78708670542915</v>
      </c>
      <c r="M938" s="306">
        <f t="shared" ca="1" si="422"/>
        <v>-1.5379189760387559</v>
      </c>
      <c r="N938" s="304">
        <f t="shared" ca="1" si="423"/>
        <v>-88.116266560101892</v>
      </c>
      <c r="P938" s="310">
        <f t="shared" ca="1" si="424"/>
        <v>23</v>
      </c>
      <c r="Q938" s="304">
        <f t="shared" ca="1" si="425"/>
        <v>0</v>
      </c>
      <c r="R938" s="306">
        <f t="shared" ca="1" si="426"/>
        <v>0</v>
      </c>
      <c r="S938" s="307">
        <f t="shared" ca="1" si="427"/>
        <v>2.0842999999999985</v>
      </c>
      <c r="T938" s="304">
        <f t="shared" ca="1" si="407"/>
        <v>20.446982999999985</v>
      </c>
      <c r="U938" s="311">
        <f t="shared" ca="1" si="408"/>
        <v>0</v>
      </c>
      <c r="V938" s="306">
        <f t="shared" ca="1" si="409"/>
        <v>1.2266990110656539</v>
      </c>
      <c r="W938" s="304">
        <f t="shared" ca="1" si="410"/>
        <v>20.361184299174848</v>
      </c>
      <c r="Y938" s="314" t="str">
        <f t="shared" ca="1" si="428"/>
        <v/>
      </c>
      <c r="Z938" s="315" t="str">
        <f t="shared" ca="1" si="429"/>
        <v/>
      </c>
      <c r="AA938" s="316" t="str">
        <f t="shared" ca="1" si="430"/>
        <v/>
      </c>
      <c r="AC938" s="310" t="e">
        <f t="shared" ca="1" si="431"/>
        <v>#N/A</v>
      </c>
      <c r="AD938" s="323" t="e">
        <f t="shared" ca="1" si="432"/>
        <v>#N/A</v>
      </c>
      <c r="AE938" s="324" t="e">
        <f t="shared" ca="1" si="411"/>
        <v>#N/A</v>
      </c>
      <c r="AG938" s="306">
        <f t="shared" ca="1" si="433"/>
        <v>3.5875297433159758E-2</v>
      </c>
      <c r="AH938" s="304">
        <f t="shared" ca="1" si="434"/>
        <v>-9.7688231817663667</v>
      </c>
    </row>
    <row r="939" spans="1:34" x14ac:dyDescent="0.25">
      <c r="A939" s="347">
        <f t="shared" ca="1" si="412"/>
        <v>1E-4</v>
      </c>
      <c r="B939" s="304">
        <f t="shared" ca="1" si="413"/>
        <v>47.134100000001503</v>
      </c>
      <c r="D939" s="306">
        <f t="shared" ca="1" si="414"/>
        <v>-0.32111558122260647</v>
      </c>
      <c r="E939" s="307">
        <f t="shared" ca="1" si="415"/>
        <v>-4.6443466511002285E-2</v>
      </c>
      <c r="F939" s="304">
        <f t="shared" ca="1" si="416"/>
        <v>0.32445679540655481</v>
      </c>
      <c r="G939" s="306">
        <f t="shared" ca="1" si="417"/>
        <v>4.0300864889950496</v>
      </c>
      <c r="H939" s="307">
        <f t="shared" ca="1" si="418"/>
        <v>-122.53622865239059</v>
      </c>
      <c r="I939" s="304">
        <f t="shared" ca="1" si="419"/>
        <v>122.60248337395018</v>
      </c>
      <c r="J939" s="306">
        <f t="shared" ca="1" si="420"/>
        <v>677.64536374242232</v>
      </c>
      <c r="K939" s="307">
        <f t="shared" ca="1" si="421"/>
        <v>-13.872120253776856</v>
      </c>
      <c r="L939" s="304">
        <f t="shared" ca="1" si="406"/>
        <v>677.78733738683479</v>
      </c>
      <c r="M939" s="306">
        <f t="shared" ca="1" si="422"/>
        <v>-1.5379192390584771</v>
      </c>
      <c r="N939" s="304">
        <f t="shared" ca="1" si="423"/>
        <v>-88.116281630021845</v>
      </c>
      <c r="P939" s="310">
        <f t="shared" ca="1" si="424"/>
        <v>23</v>
      </c>
      <c r="Q939" s="304">
        <f t="shared" ca="1" si="425"/>
        <v>0</v>
      </c>
      <c r="R939" s="306">
        <f t="shared" ca="1" si="426"/>
        <v>0</v>
      </c>
      <c r="S939" s="307">
        <f t="shared" ca="1" si="427"/>
        <v>2.0842999999999985</v>
      </c>
      <c r="T939" s="304">
        <f t="shared" ca="1" si="407"/>
        <v>20.446982999999985</v>
      </c>
      <c r="U939" s="311">
        <f t="shared" ca="1" si="408"/>
        <v>0</v>
      </c>
      <c r="V939" s="306">
        <f t="shared" ca="1" si="409"/>
        <v>1.2267005142179741</v>
      </c>
      <c r="W939" s="304">
        <f t="shared" ca="1" si="410"/>
        <v>20.361210440214808</v>
      </c>
      <c r="Y939" s="314" t="str">
        <f t="shared" ca="1" si="428"/>
        <v/>
      </c>
      <c r="Z939" s="315" t="str">
        <f t="shared" ca="1" si="429"/>
        <v/>
      </c>
      <c r="AA939" s="316" t="str">
        <f t="shared" ca="1" si="430"/>
        <v/>
      </c>
      <c r="AC939" s="310" t="e">
        <f t="shared" ca="1" si="431"/>
        <v>#N/A</v>
      </c>
      <c r="AD939" s="323" t="e">
        <f t="shared" ca="1" si="432"/>
        <v>#N/A</v>
      </c>
      <c r="AE939" s="324" t="e">
        <f t="shared" ca="1" si="411"/>
        <v>#N/A</v>
      </c>
      <c r="AG939" s="306">
        <f t="shared" ca="1" si="433"/>
        <v>3.5862840188096712E-2</v>
      </c>
      <c r="AH939" s="304">
        <f t="shared" ca="1" si="434"/>
        <v>-9.7688357238280776</v>
      </c>
    </row>
    <row r="940" spans="1:34" x14ac:dyDescent="0.25">
      <c r="A940" s="347">
        <f t="shared" ca="1" si="412"/>
        <v>1E-4</v>
      </c>
      <c r="B940" s="304">
        <f t="shared" ca="1" si="413"/>
        <v>47.134200000001506</v>
      </c>
      <c r="D940" s="306">
        <f t="shared" ca="1" si="414"/>
        <v>-0.32111342548088045</v>
      </c>
      <c r="E940" s="307">
        <f t="shared" ca="1" si="415"/>
        <v>-4.6430846949526483E-2</v>
      </c>
      <c r="F940" s="304">
        <f t="shared" ca="1" si="416"/>
        <v>0.32445285570097132</v>
      </c>
      <c r="G940" s="306">
        <f t="shared" ca="1" si="417"/>
        <v>4.030054377652502</v>
      </c>
      <c r="H940" s="307">
        <f t="shared" ca="1" si="418"/>
        <v>-122.53623329547528</v>
      </c>
      <c r="I940" s="304">
        <f t="shared" ca="1" si="419"/>
        <v>122.60248695899273</v>
      </c>
      <c r="J940" s="306">
        <f t="shared" ca="1" si="420"/>
        <v>677.64536374242232</v>
      </c>
      <c r="K940" s="307">
        <f t="shared" ca="1" si="421"/>
        <v>-13.88437387687425</v>
      </c>
      <c r="L940" s="304">
        <f t="shared" ca="1" si="406"/>
        <v>677.78758828968876</v>
      </c>
      <c r="M940" s="306">
        <f t="shared" ca="1" si="422"/>
        <v>-1.537919502076087</v>
      </c>
      <c r="N940" s="304">
        <f t="shared" ca="1" si="423"/>
        <v>-88.116296699820836</v>
      </c>
      <c r="P940" s="310">
        <f t="shared" ca="1" si="424"/>
        <v>23</v>
      </c>
      <c r="Q940" s="304">
        <f t="shared" ca="1" si="425"/>
        <v>0</v>
      </c>
      <c r="R940" s="306">
        <f t="shared" ca="1" si="426"/>
        <v>0</v>
      </c>
      <c r="S940" s="307">
        <f t="shared" ca="1" si="427"/>
        <v>2.0842999999999985</v>
      </c>
      <c r="T940" s="304">
        <f t="shared" ca="1" si="407"/>
        <v>20.446982999999985</v>
      </c>
      <c r="U940" s="311">
        <f t="shared" ca="1" si="408"/>
        <v>0</v>
      </c>
      <c r="V940" s="306">
        <f t="shared" ca="1" si="409"/>
        <v>1.2267020173721943</v>
      </c>
      <c r="W940" s="304">
        <f t="shared" ca="1" si="410"/>
        <v>20.361236580875499</v>
      </c>
      <c r="Y940" s="314" t="str">
        <f t="shared" ca="1" si="428"/>
        <v/>
      </c>
      <c r="Z940" s="315" t="str">
        <f t="shared" ca="1" si="429"/>
        <v/>
      </c>
      <c r="AA940" s="316" t="str">
        <f t="shared" ca="1" si="430"/>
        <v/>
      </c>
      <c r="AC940" s="310" t="e">
        <f t="shared" ca="1" si="431"/>
        <v>#N/A</v>
      </c>
      <c r="AD940" s="323" t="e">
        <f t="shared" ca="1" si="432"/>
        <v>#N/A</v>
      </c>
      <c r="AE940" s="324" t="e">
        <f t="shared" ca="1" si="411"/>
        <v>#N/A</v>
      </c>
      <c r="AG940" s="306">
        <f t="shared" ca="1" si="433"/>
        <v>3.5850383123639418E-2</v>
      </c>
      <c r="AH940" s="304">
        <f t="shared" ca="1" si="434"/>
        <v>-9.7688482657078275</v>
      </c>
    </row>
    <row r="941" spans="1:34" x14ac:dyDescent="0.25">
      <c r="A941" s="347">
        <f t="shared" ca="1" si="412"/>
        <v>1E-4</v>
      </c>
      <c r="B941" s="304">
        <f t="shared" ca="1" si="413"/>
        <v>47.13430000000151</v>
      </c>
      <c r="D941" s="306">
        <f t="shared" ca="1" si="414"/>
        <v>-0.32111126974716969</v>
      </c>
      <c r="E941" s="307">
        <f t="shared" ca="1" si="415"/>
        <v>-4.6418227571054516E-2</v>
      </c>
      <c r="F941" s="304">
        <f t="shared" ca="1" si="416"/>
        <v>0.32444891648682966</v>
      </c>
      <c r="G941" s="306">
        <f t="shared" ca="1" si="417"/>
        <v>4.0300222665255276</v>
      </c>
      <c r="H941" s="307">
        <f t="shared" ca="1" si="418"/>
        <v>-122.53623793729804</v>
      </c>
      <c r="I941" s="304">
        <f t="shared" ca="1" si="419"/>
        <v>122.6024905427896</v>
      </c>
      <c r="J941" s="306">
        <f t="shared" ca="1" si="420"/>
        <v>677.64536374242232</v>
      </c>
      <c r="K941" s="307">
        <f t="shared" ca="1" si="421"/>
        <v>-13.896627500435889</v>
      </c>
      <c r="L941" s="304">
        <f t="shared" ca="1" si="406"/>
        <v>677.7878394139907</v>
      </c>
      <c r="M941" s="306">
        <f t="shared" ca="1" si="422"/>
        <v>-1.5379197650915859</v>
      </c>
      <c r="N941" s="304">
        <f t="shared" ca="1" si="423"/>
        <v>-88.116311769498864</v>
      </c>
      <c r="P941" s="310">
        <f t="shared" ca="1" si="424"/>
        <v>23</v>
      </c>
      <c r="Q941" s="304">
        <f t="shared" ca="1" si="425"/>
        <v>0</v>
      </c>
      <c r="R941" s="306">
        <f t="shared" ca="1" si="426"/>
        <v>0</v>
      </c>
      <c r="S941" s="307">
        <f t="shared" ca="1" si="427"/>
        <v>2.0842999999999985</v>
      </c>
      <c r="T941" s="304">
        <f t="shared" ca="1" si="407"/>
        <v>20.446982999999985</v>
      </c>
      <c r="U941" s="311">
        <f t="shared" ca="1" si="408"/>
        <v>0</v>
      </c>
      <c r="V941" s="306">
        <f t="shared" ca="1" si="409"/>
        <v>1.2267035205283146</v>
      </c>
      <c r="W941" s="304">
        <f t="shared" ca="1" si="410"/>
        <v>20.361262721156923</v>
      </c>
      <c r="Y941" s="314" t="str">
        <f t="shared" ca="1" si="428"/>
        <v/>
      </c>
      <c r="Z941" s="315" t="str">
        <f t="shared" ca="1" si="429"/>
        <v/>
      </c>
      <c r="AA941" s="316" t="str">
        <f t="shared" ca="1" si="430"/>
        <v/>
      </c>
      <c r="AC941" s="310" t="e">
        <f t="shared" ca="1" si="431"/>
        <v>#N/A</v>
      </c>
      <c r="AD941" s="323" t="e">
        <f t="shared" ca="1" si="432"/>
        <v>#N/A</v>
      </c>
      <c r="AE941" s="324" t="e">
        <f t="shared" ca="1" si="411"/>
        <v>#N/A</v>
      </c>
      <c r="AG941" s="306">
        <f t="shared" ca="1" si="433"/>
        <v>3.5837926239787876E-2</v>
      </c>
      <c r="AH941" s="304">
        <f t="shared" ca="1" si="434"/>
        <v>-9.7688608074056109</v>
      </c>
    </row>
    <row r="942" spans="1:34" x14ac:dyDescent="0.25">
      <c r="A942" s="347">
        <f t="shared" ca="1" si="412"/>
        <v>1E-4</v>
      </c>
      <c r="B942" s="304">
        <f t="shared" ca="1" si="413"/>
        <v>47.134400000001513</v>
      </c>
      <c r="D942" s="306">
        <f t="shared" ca="1" si="414"/>
        <v>-0.32110911402147235</v>
      </c>
      <c r="E942" s="307">
        <f t="shared" ca="1" si="415"/>
        <v>-4.6405608375584606E-2</v>
      </c>
      <c r="F942" s="304">
        <f t="shared" ca="1" si="416"/>
        <v>0.32444497776412423</v>
      </c>
      <c r="G942" s="306">
        <f t="shared" ca="1" si="417"/>
        <v>4.0299901556141258</v>
      </c>
      <c r="H942" s="307">
        <f t="shared" ca="1" si="418"/>
        <v>-122.53624257785887</v>
      </c>
      <c r="I942" s="304">
        <f t="shared" ca="1" si="419"/>
        <v>122.60249412534078</v>
      </c>
      <c r="J942" s="306">
        <f t="shared" ca="1" si="420"/>
        <v>677.64536374242232</v>
      </c>
      <c r="K942" s="307">
        <f t="shared" ca="1" si="421"/>
        <v>-13.908881124461647</v>
      </c>
      <c r="L942" s="304">
        <f t="shared" ca="1" si="406"/>
        <v>677.7880907597405</v>
      </c>
      <c r="M942" s="306">
        <f t="shared" ca="1" si="422"/>
        <v>-1.5379200281049736</v>
      </c>
      <c r="N942" s="304">
        <f t="shared" ca="1" si="423"/>
        <v>-88.116326839055944</v>
      </c>
      <c r="P942" s="310">
        <f t="shared" ca="1" si="424"/>
        <v>23</v>
      </c>
      <c r="Q942" s="304">
        <f t="shared" ca="1" si="425"/>
        <v>0</v>
      </c>
      <c r="R942" s="306">
        <f t="shared" ca="1" si="426"/>
        <v>0</v>
      </c>
      <c r="S942" s="307">
        <f t="shared" ca="1" si="427"/>
        <v>2.0842999999999985</v>
      </c>
      <c r="T942" s="304">
        <f t="shared" ca="1" si="407"/>
        <v>20.446982999999985</v>
      </c>
      <c r="U942" s="311">
        <f t="shared" ca="1" si="408"/>
        <v>0</v>
      </c>
      <c r="V942" s="306">
        <f t="shared" ca="1" si="409"/>
        <v>1.226705023686335</v>
      </c>
      <c r="W942" s="304">
        <f t="shared" ca="1" si="410"/>
        <v>20.361288861059091</v>
      </c>
      <c r="Y942" s="314" t="str">
        <f t="shared" ca="1" si="428"/>
        <v/>
      </c>
      <c r="Z942" s="315" t="str">
        <f t="shared" ca="1" si="429"/>
        <v/>
      </c>
      <c r="AA942" s="316" t="str">
        <f t="shared" ca="1" si="430"/>
        <v/>
      </c>
      <c r="AC942" s="310" t="e">
        <f t="shared" ca="1" si="431"/>
        <v>#N/A</v>
      </c>
      <c r="AD942" s="323" t="e">
        <f t="shared" ca="1" si="432"/>
        <v>#N/A</v>
      </c>
      <c r="AE942" s="324" t="e">
        <f t="shared" ca="1" si="411"/>
        <v>#N/A</v>
      </c>
      <c r="AG942" s="306">
        <f t="shared" ca="1" si="433"/>
        <v>3.5825469536543864E-2</v>
      </c>
      <c r="AH942" s="304">
        <f t="shared" ca="1" si="434"/>
        <v>-9.7688733489214297</v>
      </c>
    </row>
    <row r="943" spans="1:34" x14ac:dyDescent="0.25">
      <c r="A943" s="347">
        <f t="shared" ca="1" si="412"/>
        <v>1E-4</v>
      </c>
      <c r="B943" s="304">
        <f t="shared" ca="1" si="413"/>
        <v>47.134500000001516</v>
      </c>
      <c r="D943" s="306">
        <f t="shared" ca="1" si="414"/>
        <v>-0.32110695830379121</v>
      </c>
      <c r="E943" s="307">
        <f t="shared" ca="1" si="415"/>
        <v>-4.6392989363109649E-2</v>
      </c>
      <c r="F943" s="304">
        <f t="shared" ca="1" si="416"/>
        <v>0.32444103953285303</v>
      </c>
      <c r="G943" s="306">
        <f t="shared" ca="1" si="417"/>
        <v>4.0299580449182955</v>
      </c>
      <c r="H943" s="307">
        <f t="shared" ca="1" si="418"/>
        <v>-122.53624721715781</v>
      </c>
      <c r="I943" s="304">
        <f t="shared" ca="1" si="419"/>
        <v>122.60249770664632</v>
      </c>
      <c r="J943" s="306">
        <f t="shared" ca="1" si="420"/>
        <v>677.64536374242232</v>
      </c>
      <c r="K943" s="307">
        <f t="shared" ca="1" si="421"/>
        <v>-13.921134748951397</v>
      </c>
      <c r="L943" s="304">
        <f t="shared" ca="1" si="406"/>
        <v>677.78834232693782</v>
      </c>
      <c r="M943" s="306">
        <f t="shared" ca="1" si="422"/>
        <v>-1.5379202911162504</v>
      </c>
      <c r="N943" s="304">
        <f t="shared" ca="1" si="423"/>
        <v>-88.11634190849206</v>
      </c>
      <c r="P943" s="310">
        <f t="shared" ca="1" si="424"/>
        <v>23</v>
      </c>
      <c r="Q943" s="304">
        <f t="shared" ca="1" si="425"/>
        <v>0</v>
      </c>
      <c r="R943" s="306">
        <f t="shared" ca="1" si="426"/>
        <v>0</v>
      </c>
      <c r="S943" s="307">
        <f t="shared" ca="1" si="427"/>
        <v>2.0842999999999985</v>
      </c>
      <c r="T943" s="304">
        <f t="shared" ca="1" si="407"/>
        <v>20.446982999999985</v>
      </c>
      <c r="U943" s="311">
        <f t="shared" ca="1" si="408"/>
        <v>0</v>
      </c>
      <c r="V943" s="306">
        <f t="shared" ca="1" si="409"/>
        <v>1.2267065268462556</v>
      </c>
      <c r="W943" s="304">
        <f t="shared" ca="1" si="410"/>
        <v>20.361315000582</v>
      </c>
      <c r="Y943" s="314" t="str">
        <f t="shared" ca="1" si="428"/>
        <v/>
      </c>
      <c r="Z943" s="315" t="str">
        <f t="shared" ca="1" si="429"/>
        <v/>
      </c>
      <c r="AA943" s="316" t="str">
        <f t="shared" ca="1" si="430"/>
        <v/>
      </c>
      <c r="AC943" s="310" t="e">
        <f t="shared" ca="1" si="431"/>
        <v>#N/A</v>
      </c>
      <c r="AD943" s="323" t="e">
        <f t="shared" ca="1" si="432"/>
        <v>#N/A</v>
      </c>
      <c r="AE943" s="324" t="e">
        <f t="shared" ca="1" si="411"/>
        <v>#N/A</v>
      </c>
      <c r="AG943" s="306">
        <f t="shared" ca="1" si="433"/>
        <v>3.5813013013894945E-2</v>
      </c>
      <c r="AH943" s="304">
        <f t="shared" ca="1" si="434"/>
        <v>-9.7688858902552926</v>
      </c>
    </row>
    <row r="944" spans="1:34" x14ac:dyDescent="0.25">
      <c r="A944" s="347">
        <f t="shared" ca="1" si="412"/>
        <v>1E-4</v>
      </c>
      <c r="B944" s="304">
        <f t="shared" ca="1" si="413"/>
        <v>47.13460000000152</v>
      </c>
      <c r="D944" s="306">
        <f t="shared" ca="1" si="414"/>
        <v>-0.32110480259412394</v>
      </c>
      <c r="E944" s="307">
        <f t="shared" ca="1" si="415"/>
        <v>-4.6380370533634974E-2</v>
      </c>
      <c r="F944" s="304">
        <f t="shared" ca="1" si="416"/>
        <v>0.324437101793011</v>
      </c>
      <c r="G944" s="306">
        <f t="shared" ca="1" si="417"/>
        <v>4.0299259344380358</v>
      </c>
      <c r="H944" s="307">
        <f t="shared" ca="1" si="418"/>
        <v>-122.53625185519486</v>
      </c>
      <c r="I944" s="304">
        <f t="shared" ca="1" si="419"/>
        <v>122.60250128670624</v>
      </c>
      <c r="J944" s="306">
        <f t="shared" ca="1" si="420"/>
        <v>677.64536374242232</v>
      </c>
      <c r="K944" s="307">
        <f t="shared" ca="1" si="421"/>
        <v>-13.933388373905014</v>
      </c>
      <c r="L944" s="304">
        <f t="shared" ca="1" si="406"/>
        <v>677.78859411558255</v>
      </c>
      <c r="M944" s="306">
        <f t="shared" ca="1" si="422"/>
        <v>-1.5379205541254162</v>
      </c>
      <c r="N944" s="304">
        <f t="shared" ca="1" si="423"/>
        <v>-88.116356977807229</v>
      </c>
      <c r="P944" s="310">
        <f t="shared" ca="1" si="424"/>
        <v>23</v>
      </c>
      <c r="Q944" s="304">
        <f t="shared" ca="1" si="425"/>
        <v>0</v>
      </c>
      <c r="R944" s="306">
        <f t="shared" ca="1" si="426"/>
        <v>0</v>
      </c>
      <c r="S944" s="307">
        <f t="shared" ca="1" si="427"/>
        <v>2.0842999999999985</v>
      </c>
      <c r="T944" s="304">
        <f t="shared" ca="1" si="407"/>
        <v>20.446982999999985</v>
      </c>
      <c r="U944" s="311">
        <f t="shared" ca="1" si="408"/>
        <v>0</v>
      </c>
      <c r="V944" s="306">
        <f t="shared" ca="1" si="409"/>
        <v>1.2267080300080764</v>
      </c>
      <c r="W944" s="304">
        <f t="shared" ca="1" si="410"/>
        <v>20.361341139725667</v>
      </c>
      <c r="Y944" s="314" t="str">
        <f t="shared" ca="1" si="428"/>
        <v/>
      </c>
      <c r="Z944" s="315" t="str">
        <f t="shared" ca="1" si="429"/>
        <v/>
      </c>
      <c r="AA944" s="316" t="str">
        <f t="shared" ca="1" si="430"/>
        <v/>
      </c>
      <c r="AC944" s="310" t="e">
        <f t="shared" ca="1" si="431"/>
        <v>#N/A</v>
      </c>
      <c r="AD944" s="323" t="e">
        <f t="shared" ca="1" si="432"/>
        <v>#N/A</v>
      </c>
      <c r="AE944" s="324" t="e">
        <f t="shared" ca="1" si="411"/>
        <v>#N/A</v>
      </c>
      <c r="AG944" s="306">
        <f t="shared" ca="1" si="433"/>
        <v>3.5800556671846451E-2</v>
      </c>
      <c r="AH944" s="304">
        <f t="shared" ca="1" si="434"/>
        <v>-9.7688984314071945</v>
      </c>
    </row>
    <row r="945" spans="1:34" x14ac:dyDescent="0.25">
      <c r="A945" s="347">
        <f t="shared" ca="1" si="412"/>
        <v>1E-4</v>
      </c>
      <c r="B945" s="304">
        <f t="shared" ca="1" si="413"/>
        <v>47.134700000001523</v>
      </c>
      <c r="D945" s="306">
        <f t="shared" ca="1" si="414"/>
        <v>-0.3211026468924712</v>
      </c>
      <c r="E945" s="307">
        <f t="shared" ca="1" si="415"/>
        <v>-4.6367751887148145E-2</v>
      </c>
      <c r="F945" s="304">
        <f t="shared" ca="1" si="416"/>
        <v>0.32443316454459331</v>
      </c>
      <c r="G945" s="306">
        <f t="shared" ca="1" si="417"/>
        <v>4.0298938241733469</v>
      </c>
      <c r="H945" s="307">
        <f t="shared" ca="1" si="418"/>
        <v>-122.53625649197005</v>
      </c>
      <c r="I945" s="304">
        <f t="shared" ca="1" si="419"/>
        <v>122.60250486552053</v>
      </c>
      <c r="J945" s="306">
        <f t="shared" ca="1" si="420"/>
        <v>677.64536374242232</v>
      </c>
      <c r="K945" s="307">
        <f t="shared" ca="1" si="421"/>
        <v>-13.945641999322373</v>
      </c>
      <c r="L945" s="304">
        <f t="shared" ca="1" si="406"/>
        <v>677.78884612567435</v>
      </c>
      <c r="M945" s="306">
        <f t="shared" ca="1" si="422"/>
        <v>-1.537920817132471</v>
      </c>
      <c r="N945" s="304">
        <f t="shared" ca="1" si="423"/>
        <v>-88.116372047001462</v>
      </c>
      <c r="P945" s="310">
        <f t="shared" ca="1" si="424"/>
        <v>23</v>
      </c>
      <c r="Q945" s="304">
        <f t="shared" ca="1" si="425"/>
        <v>0</v>
      </c>
      <c r="R945" s="306">
        <f t="shared" ca="1" si="426"/>
        <v>0</v>
      </c>
      <c r="S945" s="307">
        <f t="shared" ca="1" si="427"/>
        <v>2.0842999999999985</v>
      </c>
      <c r="T945" s="304">
        <f t="shared" ca="1" si="407"/>
        <v>20.446982999999985</v>
      </c>
      <c r="U945" s="311">
        <f t="shared" ca="1" si="408"/>
        <v>0</v>
      </c>
      <c r="V945" s="306">
        <f t="shared" ca="1" si="409"/>
        <v>1.226709533171797</v>
      </c>
      <c r="W945" s="304">
        <f t="shared" ca="1" si="410"/>
        <v>20.361367278490071</v>
      </c>
      <c r="Y945" s="314" t="str">
        <f t="shared" ca="1" si="428"/>
        <v/>
      </c>
      <c r="Z945" s="315" t="str">
        <f t="shared" ca="1" si="429"/>
        <v/>
      </c>
      <c r="AA945" s="316" t="str">
        <f t="shared" ca="1" si="430"/>
        <v/>
      </c>
      <c r="AC945" s="310" t="e">
        <f t="shared" ca="1" si="431"/>
        <v>#N/A</v>
      </c>
      <c r="AD945" s="323" t="e">
        <f t="shared" ca="1" si="432"/>
        <v>#N/A</v>
      </c>
      <c r="AE945" s="324" t="e">
        <f t="shared" ca="1" si="411"/>
        <v>#N/A</v>
      </c>
      <c r="AG945" s="306">
        <f t="shared" ca="1" si="433"/>
        <v>3.5788100510393051E-2</v>
      </c>
      <c r="AH945" s="304">
        <f t="shared" ca="1" si="434"/>
        <v>-9.7689109723771441</v>
      </c>
    </row>
    <row r="946" spans="1:34" x14ac:dyDescent="0.25">
      <c r="A946" s="347">
        <f t="shared" ca="1" si="412"/>
        <v>1E-4</v>
      </c>
      <c r="B946" s="304">
        <f t="shared" ca="1" si="413"/>
        <v>47.134800000001526</v>
      </c>
      <c r="D946" s="306">
        <f t="shared" ca="1" si="414"/>
        <v>-0.32110049119883288</v>
      </c>
      <c r="E946" s="307">
        <f t="shared" ca="1" si="415"/>
        <v>-4.6355133423663375E-2</v>
      </c>
      <c r="F946" s="304">
        <f t="shared" ca="1" si="416"/>
        <v>0.32442922778759836</v>
      </c>
      <c r="G946" s="306">
        <f t="shared" ca="1" si="417"/>
        <v>4.0298617141242268</v>
      </c>
      <c r="H946" s="307">
        <f t="shared" ca="1" si="418"/>
        <v>-122.5362611274834</v>
      </c>
      <c r="I946" s="304">
        <f t="shared" ca="1" si="419"/>
        <v>122.60250844308922</v>
      </c>
      <c r="J946" s="306">
        <f t="shared" ca="1" si="420"/>
        <v>677.64536374242232</v>
      </c>
      <c r="K946" s="307">
        <f t="shared" ca="1" si="421"/>
        <v>-13.957895625203346</v>
      </c>
      <c r="L946" s="304">
        <f t="shared" ca="1" si="406"/>
        <v>677.78909835721311</v>
      </c>
      <c r="M946" s="306">
        <f t="shared" ca="1" si="422"/>
        <v>-1.5379210801374148</v>
      </c>
      <c r="N946" s="304">
        <f t="shared" ca="1" si="423"/>
        <v>-88.116387116074733</v>
      </c>
      <c r="P946" s="310">
        <f t="shared" ca="1" si="424"/>
        <v>23</v>
      </c>
      <c r="Q946" s="304">
        <f t="shared" ca="1" si="425"/>
        <v>0</v>
      </c>
      <c r="R946" s="306">
        <f t="shared" ca="1" si="426"/>
        <v>0</v>
      </c>
      <c r="S946" s="307">
        <f t="shared" ca="1" si="427"/>
        <v>2.0842999999999985</v>
      </c>
      <c r="T946" s="304">
        <f t="shared" ca="1" si="407"/>
        <v>20.446982999999985</v>
      </c>
      <c r="U946" s="311">
        <f t="shared" ca="1" si="408"/>
        <v>0</v>
      </c>
      <c r="V946" s="306">
        <f t="shared" ca="1" si="409"/>
        <v>1.2267110363374181</v>
      </c>
      <c r="W946" s="304">
        <f t="shared" ca="1" si="410"/>
        <v>20.361393416875245</v>
      </c>
      <c r="Y946" s="314" t="str">
        <f t="shared" ca="1" si="428"/>
        <v/>
      </c>
      <c r="Z946" s="315" t="str">
        <f t="shared" ca="1" si="429"/>
        <v/>
      </c>
      <c r="AA946" s="316" t="str">
        <f t="shared" ca="1" si="430"/>
        <v/>
      </c>
      <c r="AC946" s="310" t="e">
        <f t="shared" ca="1" si="431"/>
        <v>#N/A</v>
      </c>
      <c r="AD946" s="323" t="e">
        <f t="shared" ca="1" si="432"/>
        <v>#N/A</v>
      </c>
      <c r="AE946" s="324" t="e">
        <f t="shared" ca="1" si="411"/>
        <v>#N/A</v>
      </c>
      <c r="AG946" s="306">
        <f t="shared" ca="1" si="433"/>
        <v>3.577564452954185E-2</v>
      </c>
      <c r="AH946" s="304">
        <f t="shared" ca="1" si="434"/>
        <v>-9.7689235131651326</v>
      </c>
    </row>
    <row r="947" spans="1:34" x14ac:dyDescent="0.25">
      <c r="A947" s="347">
        <f t="shared" ca="1" si="412"/>
        <v>1E-4</v>
      </c>
      <c r="B947" s="304">
        <f t="shared" ca="1" si="413"/>
        <v>47.134900000001529</v>
      </c>
      <c r="D947" s="306">
        <f t="shared" ca="1" si="414"/>
        <v>-0.32109833551320965</v>
      </c>
      <c r="E947" s="307">
        <f t="shared" ca="1" si="415"/>
        <v>-4.6342515143162899E-2</v>
      </c>
      <c r="F947" s="304">
        <f t="shared" ca="1" si="416"/>
        <v>0.3244252915220206</v>
      </c>
      <c r="G947" s="306">
        <f t="shared" ca="1" si="417"/>
        <v>4.0298296042906756</v>
      </c>
      <c r="H947" s="307">
        <f t="shared" ca="1" si="418"/>
        <v>-122.53626576173491</v>
      </c>
      <c r="I947" s="304">
        <f t="shared" ca="1" si="419"/>
        <v>122.60251201941233</v>
      </c>
      <c r="J947" s="306">
        <f t="shared" ca="1" si="420"/>
        <v>677.64536374242232</v>
      </c>
      <c r="K947" s="307">
        <f t="shared" ca="1" si="421"/>
        <v>-13.970149251547806</v>
      </c>
      <c r="L947" s="304">
        <f t="shared" ca="1" si="406"/>
        <v>677.78935081019847</v>
      </c>
      <c r="M947" s="306">
        <f t="shared" ca="1" si="422"/>
        <v>-1.5379213431402476</v>
      </c>
      <c r="N947" s="304">
        <f t="shared" ca="1" si="423"/>
        <v>-88.116402185027056</v>
      </c>
      <c r="P947" s="310">
        <f t="shared" ca="1" si="424"/>
        <v>23</v>
      </c>
      <c r="Q947" s="304">
        <f t="shared" ca="1" si="425"/>
        <v>0</v>
      </c>
      <c r="R947" s="306">
        <f t="shared" ca="1" si="426"/>
        <v>0</v>
      </c>
      <c r="S947" s="307">
        <f t="shared" ca="1" si="427"/>
        <v>2.0842999999999985</v>
      </c>
      <c r="T947" s="304">
        <f t="shared" ca="1" si="407"/>
        <v>20.446982999999985</v>
      </c>
      <c r="U947" s="311">
        <f t="shared" ca="1" si="408"/>
        <v>0</v>
      </c>
      <c r="V947" s="306">
        <f t="shared" ca="1" si="409"/>
        <v>1.226712539504939</v>
      </c>
      <c r="W947" s="304">
        <f t="shared" ca="1" si="410"/>
        <v>20.361419554881174</v>
      </c>
      <c r="Y947" s="314" t="str">
        <f t="shared" ca="1" si="428"/>
        <v/>
      </c>
      <c r="Z947" s="315" t="str">
        <f t="shared" ca="1" si="429"/>
        <v/>
      </c>
      <c r="AA947" s="316" t="str">
        <f t="shared" ca="1" si="430"/>
        <v/>
      </c>
      <c r="AC947" s="310" t="e">
        <f t="shared" ca="1" si="431"/>
        <v>#N/A</v>
      </c>
      <c r="AD947" s="323" t="e">
        <f t="shared" ca="1" si="432"/>
        <v>#N/A</v>
      </c>
      <c r="AE947" s="324" t="e">
        <f t="shared" ca="1" si="411"/>
        <v>#N/A</v>
      </c>
      <c r="AG947" s="306">
        <f t="shared" ca="1" si="433"/>
        <v>3.5763188729278639E-2</v>
      </c>
      <c r="AH947" s="304">
        <f t="shared" ca="1" si="434"/>
        <v>-9.7689360537711742</v>
      </c>
    </row>
    <row r="948" spans="1:34" x14ac:dyDescent="0.25">
      <c r="A948" s="347">
        <f t="shared" ca="1" si="412"/>
        <v>1E-4</v>
      </c>
      <c r="B948" s="304">
        <f t="shared" ca="1" si="413"/>
        <v>47.135000000001533</v>
      </c>
      <c r="D948" s="306">
        <f t="shared" ca="1" si="414"/>
        <v>-0.32109617983560163</v>
      </c>
      <c r="E948" s="307">
        <f t="shared" ca="1" si="415"/>
        <v>-4.6329897045652046E-2</v>
      </c>
      <c r="F948" s="304">
        <f t="shared" ca="1" si="416"/>
        <v>0.32442135574785724</v>
      </c>
      <c r="G948" s="306">
        <f t="shared" ca="1" si="417"/>
        <v>4.0297974946726924</v>
      </c>
      <c r="H948" s="307">
        <f t="shared" ca="1" si="418"/>
        <v>-122.53627039472461</v>
      </c>
      <c r="I948" s="304">
        <f t="shared" ca="1" si="419"/>
        <v>122.60251559448987</v>
      </c>
      <c r="J948" s="306">
        <f t="shared" ca="1" si="420"/>
        <v>677.64536374242232</v>
      </c>
      <c r="K948" s="307">
        <f t="shared" ca="1" si="421"/>
        <v>-13.982402878355629</v>
      </c>
      <c r="L948" s="304">
        <f t="shared" ca="1" si="406"/>
        <v>677.78960348463045</v>
      </c>
      <c r="M948" s="306">
        <f t="shared" ca="1" si="422"/>
        <v>-1.5379216061409695</v>
      </c>
      <c r="N948" s="304">
        <f t="shared" ca="1" si="423"/>
        <v>-88.116417253858415</v>
      </c>
      <c r="P948" s="310">
        <f t="shared" ca="1" si="424"/>
        <v>23</v>
      </c>
      <c r="Q948" s="304">
        <f t="shared" ca="1" si="425"/>
        <v>0</v>
      </c>
      <c r="R948" s="306">
        <f t="shared" ca="1" si="426"/>
        <v>0</v>
      </c>
      <c r="S948" s="307">
        <f t="shared" ca="1" si="427"/>
        <v>2.0842999999999985</v>
      </c>
      <c r="T948" s="304">
        <f t="shared" ca="1" si="407"/>
        <v>20.446982999999985</v>
      </c>
      <c r="U948" s="311">
        <f t="shared" ca="1" si="408"/>
        <v>0</v>
      </c>
      <c r="V948" s="306">
        <f t="shared" ca="1" si="409"/>
        <v>1.2267140426743599</v>
      </c>
      <c r="W948" s="304">
        <f t="shared" ca="1" si="410"/>
        <v>20.361445692507868</v>
      </c>
      <c r="Y948" s="314" t="str">
        <f t="shared" ca="1" si="428"/>
        <v/>
      </c>
      <c r="Z948" s="315" t="str">
        <f t="shared" ca="1" si="429"/>
        <v/>
      </c>
      <c r="AA948" s="316" t="str">
        <f t="shared" ca="1" si="430"/>
        <v/>
      </c>
      <c r="AC948" s="310" t="e">
        <f t="shared" ca="1" si="431"/>
        <v>#N/A</v>
      </c>
      <c r="AD948" s="323" t="e">
        <f t="shared" ca="1" si="432"/>
        <v>#N/A</v>
      </c>
      <c r="AE948" s="324" t="e">
        <f t="shared" ca="1" si="411"/>
        <v>#N/A</v>
      </c>
      <c r="AG948" s="306">
        <f t="shared" ca="1" si="433"/>
        <v>3.5750733109606969E-2</v>
      </c>
      <c r="AH948" s="304">
        <f t="shared" ca="1" si="434"/>
        <v>-9.7689485941952636</v>
      </c>
    </row>
    <row r="949" spans="1:34" x14ac:dyDescent="0.25">
      <c r="A949" s="347">
        <f t="shared" ca="1" si="412"/>
        <v>1E-4</v>
      </c>
      <c r="B949" s="304">
        <f t="shared" ca="1" si="413"/>
        <v>47.135100000001536</v>
      </c>
      <c r="D949" s="306">
        <f t="shared" ca="1" si="414"/>
        <v>-0.32109402416600913</v>
      </c>
      <c r="E949" s="307">
        <f t="shared" ca="1" si="415"/>
        <v>-4.6317279131125488E-2</v>
      </c>
      <c r="F949" s="304">
        <f t="shared" ca="1" si="416"/>
        <v>0.32441742046510424</v>
      </c>
      <c r="G949" s="306">
        <f t="shared" ca="1" si="417"/>
        <v>4.0297653852702755</v>
      </c>
      <c r="H949" s="307">
        <f t="shared" ca="1" si="418"/>
        <v>-122.53627502645253</v>
      </c>
      <c r="I949" s="304">
        <f t="shared" ca="1" si="419"/>
        <v>122.60251916832189</v>
      </c>
      <c r="J949" s="306">
        <f t="shared" ca="1" si="420"/>
        <v>677.64536374242232</v>
      </c>
      <c r="K949" s="307">
        <f t="shared" ca="1" si="421"/>
        <v>-13.994656505626688</v>
      </c>
      <c r="L949" s="304">
        <f t="shared" ca="1" si="406"/>
        <v>677.78985638050847</v>
      </c>
      <c r="M949" s="306">
        <f t="shared" ca="1" si="422"/>
        <v>-1.5379218691395804</v>
      </c>
      <c r="N949" s="304">
        <f t="shared" ca="1" si="423"/>
        <v>-88.116432322568841</v>
      </c>
      <c r="P949" s="310">
        <f t="shared" ca="1" si="424"/>
        <v>23</v>
      </c>
      <c r="Q949" s="304">
        <f t="shared" ca="1" si="425"/>
        <v>0</v>
      </c>
      <c r="R949" s="306">
        <f t="shared" ca="1" si="426"/>
        <v>0</v>
      </c>
      <c r="S949" s="307">
        <f t="shared" ca="1" si="427"/>
        <v>2.0842999999999985</v>
      </c>
      <c r="T949" s="304">
        <f t="shared" ca="1" si="407"/>
        <v>20.446982999999985</v>
      </c>
      <c r="U949" s="311">
        <f t="shared" ca="1" si="408"/>
        <v>0</v>
      </c>
      <c r="V949" s="306">
        <f t="shared" ca="1" si="409"/>
        <v>1.2267155458456809</v>
      </c>
      <c r="W949" s="304">
        <f t="shared" ca="1" si="410"/>
        <v>20.361471829755331</v>
      </c>
      <c r="Y949" s="314" t="str">
        <f t="shared" ca="1" si="428"/>
        <v/>
      </c>
      <c r="Z949" s="315" t="str">
        <f t="shared" ca="1" si="429"/>
        <v/>
      </c>
      <c r="AA949" s="316" t="str">
        <f t="shared" ca="1" si="430"/>
        <v/>
      </c>
      <c r="AC949" s="310" t="e">
        <f t="shared" ca="1" si="431"/>
        <v>#N/A</v>
      </c>
      <c r="AD949" s="323" t="e">
        <f t="shared" ca="1" si="432"/>
        <v>#N/A</v>
      </c>
      <c r="AE949" s="324" t="e">
        <f t="shared" ca="1" si="411"/>
        <v>#N/A</v>
      </c>
      <c r="AG949" s="306">
        <f t="shared" ca="1" si="433"/>
        <v>3.5738277670526841E-2</v>
      </c>
      <c r="AH949" s="304">
        <f t="shared" ca="1" si="434"/>
        <v>-9.7689611344374043</v>
      </c>
    </row>
    <row r="950" spans="1:34" x14ac:dyDescent="0.25">
      <c r="A950" s="347">
        <f t="shared" ca="1" si="412"/>
        <v>1E-4</v>
      </c>
      <c r="B950" s="304">
        <f t="shared" ca="1" si="413"/>
        <v>47.135200000001539</v>
      </c>
      <c r="D950" s="306">
        <f t="shared" ca="1" si="414"/>
        <v>-0.32109186850443244</v>
      </c>
      <c r="E950" s="307">
        <f t="shared" ca="1" si="415"/>
        <v>-4.6304661399585001E-2</v>
      </c>
      <c r="F950" s="304">
        <f t="shared" ca="1" si="416"/>
        <v>0.32441348567375855</v>
      </c>
      <c r="G950" s="306">
        <f t="shared" ca="1" si="417"/>
        <v>4.0297332760834248</v>
      </c>
      <c r="H950" s="307">
        <f t="shared" ca="1" si="418"/>
        <v>-122.53627965691867</v>
      </c>
      <c r="I950" s="304">
        <f t="shared" ca="1" si="419"/>
        <v>122.60252274090837</v>
      </c>
      <c r="J950" s="306">
        <f t="shared" ca="1" si="420"/>
        <v>677.64536374242232</v>
      </c>
      <c r="K950" s="307">
        <f t="shared" ca="1" si="421"/>
        <v>-14.006910133360856</v>
      </c>
      <c r="L950" s="304">
        <f t="shared" ca="1" si="406"/>
        <v>677.79010949783265</v>
      </c>
      <c r="M950" s="306">
        <f t="shared" ca="1" si="422"/>
        <v>-1.5379221321360805</v>
      </c>
      <c r="N950" s="304">
        <f t="shared" ca="1" si="423"/>
        <v>-88.116447391158331</v>
      </c>
      <c r="P950" s="310">
        <f t="shared" ca="1" si="424"/>
        <v>23</v>
      </c>
      <c r="Q950" s="304">
        <f t="shared" ca="1" si="425"/>
        <v>0</v>
      </c>
      <c r="R950" s="306">
        <f t="shared" ca="1" si="426"/>
        <v>0</v>
      </c>
      <c r="S950" s="307">
        <f t="shared" ca="1" si="427"/>
        <v>2.0842999999999985</v>
      </c>
      <c r="T950" s="304">
        <f t="shared" ca="1" si="407"/>
        <v>20.446982999999985</v>
      </c>
      <c r="U950" s="311">
        <f t="shared" ca="1" si="408"/>
        <v>0</v>
      </c>
      <c r="V950" s="306">
        <f t="shared" ca="1" si="409"/>
        <v>1.2267170490189019</v>
      </c>
      <c r="W950" s="304">
        <f t="shared" ca="1" si="410"/>
        <v>20.36149796662357</v>
      </c>
      <c r="Y950" s="314" t="str">
        <f t="shared" ca="1" si="428"/>
        <v/>
      </c>
      <c r="Z950" s="315" t="str">
        <f t="shared" ca="1" si="429"/>
        <v/>
      </c>
      <c r="AA950" s="316" t="str">
        <f t="shared" ca="1" si="430"/>
        <v/>
      </c>
      <c r="AC950" s="310" t="e">
        <f t="shared" ca="1" si="431"/>
        <v>#N/A</v>
      </c>
      <c r="AD950" s="323" t="e">
        <f t="shared" ca="1" si="432"/>
        <v>#N/A</v>
      </c>
      <c r="AE950" s="324" t="e">
        <f t="shared" ca="1" si="411"/>
        <v>#N/A</v>
      </c>
      <c r="AG950" s="306">
        <f t="shared" ca="1" si="433"/>
        <v>3.5725822412032926E-2</v>
      </c>
      <c r="AH950" s="304">
        <f t="shared" ca="1" si="434"/>
        <v>-9.7689736744975999</v>
      </c>
    </row>
    <row r="951" spans="1:34" x14ac:dyDescent="0.25">
      <c r="A951" s="347">
        <f t="shared" ca="1" si="412"/>
        <v>1E-4</v>
      </c>
      <c r="B951" s="304">
        <f t="shared" ca="1" si="413"/>
        <v>47.135300000001543</v>
      </c>
      <c r="D951" s="306">
        <f t="shared" ca="1" si="414"/>
        <v>-0.32108971285086962</v>
      </c>
      <c r="E951" s="307">
        <f t="shared" ca="1" si="415"/>
        <v>-4.6292043851027032E-2</v>
      </c>
      <c r="F951" s="304">
        <f t="shared" ca="1" si="416"/>
        <v>0.32440955137381405</v>
      </c>
      <c r="G951" s="306">
        <f t="shared" ca="1" si="417"/>
        <v>4.0297011671121394</v>
      </c>
      <c r="H951" s="307">
        <f t="shared" ca="1" si="418"/>
        <v>-122.53628428612305</v>
      </c>
      <c r="I951" s="304">
        <f t="shared" ca="1" si="419"/>
        <v>122.60252631224934</v>
      </c>
      <c r="J951" s="306">
        <f t="shared" ca="1" si="420"/>
        <v>677.64536374242232</v>
      </c>
      <c r="K951" s="307">
        <f t="shared" ca="1" si="421"/>
        <v>-14.019163761558008</v>
      </c>
      <c r="L951" s="304">
        <f t="shared" ca="1" si="406"/>
        <v>677.79036283660253</v>
      </c>
      <c r="M951" s="306">
        <f t="shared" ca="1" si="422"/>
        <v>-1.5379223951304697</v>
      </c>
      <c r="N951" s="304">
        <f t="shared" ca="1" si="423"/>
        <v>-88.11646245962686</v>
      </c>
      <c r="P951" s="310">
        <f t="shared" ca="1" si="424"/>
        <v>23</v>
      </c>
      <c r="Q951" s="304">
        <f t="shared" ca="1" si="425"/>
        <v>0</v>
      </c>
      <c r="R951" s="306">
        <f t="shared" ca="1" si="426"/>
        <v>0</v>
      </c>
      <c r="S951" s="307">
        <f t="shared" ca="1" si="427"/>
        <v>2.0842999999999985</v>
      </c>
      <c r="T951" s="304">
        <f t="shared" ca="1" si="407"/>
        <v>20.446982999999985</v>
      </c>
      <c r="U951" s="311">
        <f t="shared" ca="1" si="408"/>
        <v>0</v>
      </c>
      <c r="V951" s="306">
        <f t="shared" ca="1" si="409"/>
        <v>1.2267185521940229</v>
      </c>
      <c r="W951" s="304">
        <f t="shared" ca="1" si="410"/>
        <v>20.361524103112586</v>
      </c>
      <c r="Y951" s="314" t="str">
        <f t="shared" ca="1" si="428"/>
        <v/>
      </c>
      <c r="Z951" s="315" t="str">
        <f t="shared" ca="1" si="429"/>
        <v/>
      </c>
      <c r="AA951" s="316" t="str">
        <f t="shared" ca="1" si="430"/>
        <v/>
      </c>
      <c r="AC951" s="310" t="e">
        <f t="shared" ca="1" si="431"/>
        <v>#N/A</v>
      </c>
      <c r="AD951" s="323" t="e">
        <f t="shared" ca="1" si="432"/>
        <v>#N/A</v>
      </c>
      <c r="AE951" s="324" t="e">
        <f t="shared" ca="1" si="411"/>
        <v>#N/A</v>
      </c>
      <c r="AG951" s="306">
        <f t="shared" ca="1" si="433"/>
        <v>3.5713367334125223E-2</v>
      </c>
      <c r="AH951" s="304">
        <f t="shared" ca="1" si="434"/>
        <v>-9.7689862143758504</v>
      </c>
    </row>
    <row r="952" spans="1:34" x14ac:dyDescent="0.25">
      <c r="A952" s="347">
        <f t="shared" ca="1" si="412"/>
        <v>1E-4</v>
      </c>
      <c r="B952" s="304">
        <f t="shared" ca="1" si="413"/>
        <v>47.135400000001546</v>
      </c>
      <c r="D952" s="306">
        <f t="shared" ca="1" si="414"/>
        <v>-0.32108755720532328</v>
      </c>
      <c r="E952" s="307">
        <f t="shared" ca="1" si="415"/>
        <v>-4.6279426485448028E-2</v>
      </c>
      <c r="F952" s="304">
        <f t="shared" ca="1" si="416"/>
        <v>0.32440561756526926</v>
      </c>
      <c r="G952" s="306">
        <f t="shared" ca="1" si="417"/>
        <v>4.0296690583564185</v>
      </c>
      <c r="H952" s="307">
        <f t="shared" ca="1" si="418"/>
        <v>-122.53628891406569</v>
      </c>
      <c r="I952" s="304">
        <f t="shared" ca="1" si="419"/>
        <v>122.60252988234483</v>
      </c>
      <c r="J952" s="306">
        <f t="shared" ca="1" si="420"/>
        <v>677.64536374242232</v>
      </c>
      <c r="K952" s="307">
        <f t="shared" ca="1" si="421"/>
        <v>-14.031417390218017</v>
      </c>
      <c r="L952" s="304">
        <f t="shared" ca="1" si="406"/>
        <v>677.79061639681788</v>
      </c>
      <c r="M952" s="306">
        <f t="shared" ca="1" si="422"/>
        <v>-1.5379226581227479</v>
      </c>
      <c r="N952" s="304">
        <f t="shared" ca="1" si="423"/>
        <v>-88.116477527974453</v>
      </c>
      <c r="P952" s="310">
        <f t="shared" ca="1" si="424"/>
        <v>23</v>
      </c>
      <c r="Q952" s="304">
        <f t="shared" ca="1" si="425"/>
        <v>0</v>
      </c>
      <c r="R952" s="306">
        <f t="shared" ca="1" si="426"/>
        <v>0</v>
      </c>
      <c r="S952" s="307">
        <f t="shared" ca="1" si="427"/>
        <v>2.0842999999999985</v>
      </c>
      <c r="T952" s="304">
        <f t="shared" ca="1" si="407"/>
        <v>20.446982999999985</v>
      </c>
      <c r="U952" s="311">
        <f t="shared" ca="1" si="408"/>
        <v>0</v>
      </c>
      <c r="V952" s="306">
        <f t="shared" ca="1" si="409"/>
        <v>1.2267200553710442</v>
      </c>
      <c r="W952" s="304">
        <f t="shared" ca="1" si="410"/>
        <v>20.361550239222392</v>
      </c>
      <c r="Y952" s="314" t="str">
        <f t="shared" ca="1" si="428"/>
        <v/>
      </c>
      <c r="Z952" s="315" t="str">
        <f t="shared" ca="1" si="429"/>
        <v/>
      </c>
      <c r="AA952" s="316" t="str">
        <f t="shared" ca="1" si="430"/>
        <v/>
      </c>
      <c r="AC952" s="310" t="e">
        <f t="shared" ca="1" si="431"/>
        <v>#N/A</v>
      </c>
      <c r="AD952" s="323" t="e">
        <f t="shared" ca="1" si="432"/>
        <v>#N/A</v>
      </c>
      <c r="AE952" s="324" t="e">
        <f t="shared" ca="1" si="411"/>
        <v>#N/A</v>
      </c>
      <c r="AG952" s="306">
        <f t="shared" ca="1" si="433"/>
        <v>3.5700912436801957E-2</v>
      </c>
      <c r="AH952" s="304">
        <f t="shared" ca="1" si="434"/>
        <v>-9.7689987540721592</v>
      </c>
    </row>
    <row r="953" spans="1:34" x14ac:dyDescent="0.25">
      <c r="A953" s="347">
        <f t="shared" ca="1" si="412"/>
        <v>1E-4</v>
      </c>
      <c r="B953" s="304">
        <f t="shared" ca="1" si="413"/>
        <v>47.135500000001549</v>
      </c>
      <c r="D953" s="306">
        <f t="shared" ca="1" si="414"/>
        <v>-0.32108540156779364</v>
      </c>
      <c r="E953" s="307">
        <f t="shared" ca="1" si="415"/>
        <v>-4.6266809302846212E-2</v>
      </c>
      <c r="F953" s="304">
        <f t="shared" ca="1" si="416"/>
        <v>0.32440168424812044</v>
      </c>
      <c r="G953" s="306">
        <f t="shared" ca="1" si="417"/>
        <v>4.0296369498162621</v>
      </c>
      <c r="H953" s="307">
        <f t="shared" ca="1" si="418"/>
        <v>-122.53629354074663</v>
      </c>
      <c r="I953" s="304">
        <f t="shared" ca="1" si="419"/>
        <v>122.60253345119483</v>
      </c>
      <c r="J953" s="306">
        <f t="shared" ca="1" si="420"/>
        <v>677.64536374242232</v>
      </c>
      <c r="K953" s="307">
        <f t="shared" ca="1" si="421"/>
        <v>-14.043671019340758</v>
      </c>
      <c r="L953" s="304">
        <f t="shared" ca="1" si="406"/>
        <v>677.7908701784786</v>
      </c>
      <c r="M953" s="306">
        <f t="shared" ca="1" si="422"/>
        <v>-1.5379229211129153</v>
      </c>
      <c r="N953" s="304">
        <f t="shared" ca="1" si="423"/>
        <v>-88.116492596201098</v>
      </c>
      <c r="P953" s="310">
        <f t="shared" ca="1" si="424"/>
        <v>23</v>
      </c>
      <c r="Q953" s="304">
        <f t="shared" ca="1" si="425"/>
        <v>0</v>
      </c>
      <c r="R953" s="306">
        <f t="shared" ca="1" si="426"/>
        <v>0</v>
      </c>
      <c r="S953" s="307">
        <f t="shared" ca="1" si="427"/>
        <v>2.0842999999999985</v>
      </c>
      <c r="T953" s="304">
        <f t="shared" ca="1" si="407"/>
        <v>20.446982999999985</v>
      </c>
      <c r="U953" s="311">
        <f t="shared" ca="1" si="408"/>
        <v>0</v>
      </c>
      <c r="V953" s="306">
        <f t="shared" ca="1" si="409"/>
        <v>1.2267215585499649</v>
      </c>
      <c r="W953" s="304">
        <f t="shared" ca="1" si="410"/>
        <v>20.361576374952971</v>
      </c>
      <c r="Y953" s="314" t="str">
        <f t="shared" ca="1" si="428"/>
        <v/>
      </c>
      <c r="Z953" s="315" t="str">
        <f t="shared" ca="1" si="429"/>
        <v/>
      </c>
      <c r="AA953" s="316" t="str">
        <f t="shared" ca="1" si="430"/>
        <v/>
      </c>
      <c r="AC953" s="310" t="e">
        <f t="shared" ca="1" si="431"/>
        <v>#N/A</v>
      </c>
      <c r="AD953" s="323" t="e">
        <f t="shared" ca="1" si="432"/>
        <v>#N/A</v>
      </c>
      <c r="AE953" s="324" t="e">
        <f t="shared" ca="1" si="411"/>
        <v>#N/A</v>
      </c>
      <c r="AG953" s="306">
        <f t="shared" ca="1" si="433"/>
        <v>3.5688457720052469E-2</v>
      </c>
      <c r="AH953" s="304">
        <f t="shared" ca="1" si="434"/>
        <v>-9.7690112935865319</v>
      </c>
    </row>
    <row r="954" spans="1:34" x14ac:dyDescent="0.25">
      <c r="A954" s="347">
        <f t="shared" ca="1" si="412"/>
        <v>1E-4</v>
      </c>
      <c r="B954" s="304">
        <f t="shared" ca="1" si="413"/>
        <v>47.135600000001553</v>
      </c>
      <c r="D954" s="306">
        <f t="shared" ca="1" si="414"/>
        <v>-0.32108324593827864</v>
      </c>
      <c r="E954" s="307">
        <f t="shared" ca="1" si="415"/>
        <v>-4.6254192303223363E-2</v>
      </c>
      <c r="F954" s="304">
        <f t="shared" ca="1" si="416"/>
        <v>0.32439775142236221</v>
      </c>
      <c r="G954" s="306">
        <f t="shared" ca="1" si="417"/>
        <v>4.0296048414916683</v>
      </c>
      <c r="H954" s="307">
        <f t="shared" ca="1" si="418"/>
        <v>-122.53629816616586</v>
      </c>
      <c r="I954" s="304">
        <f t="shared" ca="1" si="419"/>
        <v>122.6025370187994</v>
      </c>
      <c r="J954" s="306">
        <f t="shared" ca="1" si="420"/>
        <v>677.64536374242232</v>
      </c>
      <c r="K954" s="307">
        <f t="shared" ca="1" si="421"/>
        <v>-14.055924648926103</v>
      </c>
      <c r="L954" s="304">
        <f t="shared" ca="1" si="406"/>
        <v>677.79112418158456</v>
      </c>
      <c r="M954" s="306">
        <f t="shared" ca="1" si="422"/>
        <v>-1.537923184100972</v>
      </c>
      <c r="N954" s="304">
        <f t="shared" ca="1" si="423"/>
        <v>-88.116507664306809</v>
      </c>
      <c r="P954" s="310">
        <f t="shared" ca="1" si="424"/>
        <v>23</v>
      </c>
      <c r="Q954" s="304">
        <f t="shared" ca="1" si="425"/>
        <v>0</v>
      </c>
      <c r="R954" s="306">
        <f t="shared" ca="1" si="426"/>
        <v>0</v>
      </c>
      <c r="S954" s="307">
        <f t="shared" ca="1" si="427"/>
        <v>2.0842999999999985</v>
      </c>
      <c r="T954" s="304">
        <f t="shared" ca="1" si="407"/>
        <v>20.446982999999985</v>
      </c>
      <c r="U954" s="311">
        <f t="shared" ca="1" si="408"/>
        <v>0</v>
      </c>
      <c r="V954" s="306">
        <f t="shared" ca="1" si="409"/>
        <v>1.226723061730786</v>
      </c>
      <c r="W954" s="304">
        <f t="shared" ca="1" si="410"/>
        <v>20.361602510304355</v>
      </c>
      <c r="Y954" s="314" t="str">
        <f t="shared" ca="1" si="428"/>
        <v/>
      </c>
      <c r="Z954" s="315" t="str">
        <f t="shared" ca="1" si="429"/>
        <v/>
      </c>
      <c r="AA954" s="316" t="str">
        <f t="shared" ca="1" si="430"/>
        <v/>
      </c>
      <c r="AC954" s="310" t="e">
        <f t="shared" ca="1" si="431"/>
        <v>#N/A</v>
      </c>
      <c r="AD954" s="323" t="e">
        <f t="shared" ca="1" si="432"/>
        <v>#N/A</v>
      </c>
      <c r="AE954" s="324" t="e">
        <f t="shared" ca="1" si="411"/>
        <v>#N/A</v>
      </c>
      <c r="AG954" s="306">
        <f t="shared" ca="1" si="433"/>
        <v>3.5676003183894522E-2</v>
      </c>
      <c r="AH954" s="304">
        <f t="shared" ca="1" si="434"/>
        <v>-9.7690238329189594</v>
      </c>
    </row>
    <row r="955" spans="1:34" x14ac:dyDescent="0.25">
      <c r="A955" s="347">
        <f t="shared" ca="1" si="412"/>
        <v>1E-4</v>
      </c>
      <c r="B955" s="304">
        <f t="shared" ca="1" si="413"/>
        <v>47.135700000001556</v>
      </c>
      <c r="D955" s="306">
        <f t="shared" ca="1" si="414"/>
        <v>-0.32108109031677901</v>
      </c>
      <c r="E955" s="307">
        <f t="shared" ca="1" si="415"/>
        <v>-4.6241575486570596E-2</v>
      </c>
      <c r="F955" s="304">
        <f t="shared" ca="1" si="416"/>
        <v>0.32439381908799031</v>
      </c>
      <c r="G955" s="306">
        <f t="shared" ca="1" si="417"/>
        <v>4.0295727333826363</v>
      </c>
      <c r="H955" s="307">
        <f t="shared" ca="1" si="418"/>
        <v>-122.53630279032342</v>
      </c>
      <c r="I955" s="304">
        <f t="shared" ca="1" si="419"/>
        <v>122.60254058515852</v>
      </c>
      <c r="J955" s="306">
        <f t="shared" ca="1" si="420"/>
        <v>677.64536374242232</v>
      </c>
      <c r="K955" s="307">
        <f t="shared" ca="1" si="421"/>
        <v>-14.068178278973928</v>
      </c>
      <c r="L955" s="304">
        <f t="shared" ca="1" si="406"/>
        <v>677.79137840613521</v>
      </c>
      <c r="M955" s="306">
        <f t="shared" ca="1" si="422"/>
        <v>-1.5379234470869179</v>
      </c>
      <c r="N955" s="304">
        <f t="shared" ca="1" si="423"/>
        <v>-88.116522732291571</v>
      </c>
      <c r="P955" s="310">
        <f t="shared" ca="1" si="424"/>
        <v>23</v>
      </c>
      <c r="Q955" s="304">
        <f t="shared" ca="1" si="425"/>
        <v>0</v>
      </c>
      <c r="R955" s="306">
        <f t="shared" ca="1" si="426"/>
        <v>0</v>
      </c>
      <c r="S955" s="307">
        <f t="shared" ca="1" si="427"/>
        <v>2.0842999999999985</v>
      </c>
      <c r="T955" s="304">
        <f t="shared" ca="1" si="407"/>
        <v>20.446982999999985</v>
      </c>
      <c r="U955" s="311">
        <f t="shared" ca="1" si="408"/>
        <v>0</v>
      </c>
      <c r="V955" s="306">
        <f t="shared" ca="1" si="409"/>
        <v>1.226724564913507</v>
      </c>
      <c r="W955" s="304">
        <f t="shared" ca="1" si="410"/>
        <v>20.361628645276525</v>
      </c>
      <c r="Y955" s="314" t="str">
        <f t="shared" ca="1" si="428"/>
        <v/>
      </c>
      <c r="Z955" s="315" t="str">
        <f t="shared" ca="1" si="429"/>
        <v/>
      </c>
      <c r="AA955" s="316" t="str">
        <f t="shared" ca="1" si="430"/>
        <v/>
      </c>
      <c r="AC955" s="310" t="e">
        <f t="shared" ca="1" si="431"/>
        <v>#N/A</v>
      </c>
      <c r="AD955" s="323" t="e">
        <f t="shared" ca="1" si="432"/>
        <v>#N/A</v>
      </c>
      <c r="AE955" s="324" t="e">
        <f t="shared" ca="1" si="411"/>
        <v>#N/A</v>
      </c>
      <c r="AG955" s="306">
        <f t="shared" ca="1" si="433"/>
        <v>3.5663548828301472E-2</v>
      </c>
      <c r="AH955" s="304">
        <f t="shared" ca="1" si="434"/>
        <v>-9.7690363720694577</v>
      </c>
    </row>
    <row r="956" spans="1:34" x14ac:dyDescent="0.25">
      <c r="A956" s="347">
        <f t="shared" ca="1" si="412"/>
        <v>1E-4</v>
      </c>
      <c r="B956" s="304">
        <f t="shared" ca="1" si="413"/>
        <v>47.135800000001559</v>
      </c>
      <c r="D956" s="306">
        <f t="shared" ca="1" si="414"/>
        <v>-0.32107893470329457</v>
      </c>
      <c r="E956" s="307">
        <f t="shared" ca="1" si="415"/>
        <v>-4.6228958852891466E-2</v>
      </c>
      <c r="F956" s="304">
        <f t="shared" ca="1" si="416"/>
        <v>0.32438988724500156</v>
      </c>
      <c r="G956" s="306">
        <f t="shared" ca="1" si="417"/>
        <v>4.0295406254891661</v>
      </c>
      <c r="H956" s="307">
        <f t="shared" ca="1" si="418"/>
        <v>-122.5363074132193</v>
      </c>
      <c r="I956" s="304">
        <f t="shared" ca="1" si="419"/>
        <v>122.60254415027224</v>
      </c>
      <c r="J956" s="306">
        <f t="shared" ca="1" si="420"/>
        <v>677.64536374242232</v>
      </c>
      <c r="K956" s="307">
        <f t="shared" ca="1" si="421"/>
        <v>-14.080431909484105</v>
      </c>
      <c r="L956" s="304">
        <f t="shared" ca="1" si="406"/>
        <v>677.79163285213065</v>
      </c>
      <c r="M956" s="306">
        <f t="shared" ca="1" si="422"/>
        <v>-1.537923710070753</v>
      </c>
      <c r="N956" s="304">
        <f t="shared" ca="1" si="423"/>
        <v>-88.116537800155413</v>
      </c>
      <c r="P956" s="310">
        <f t="shared" ca="1" si="424"/>
        <v>23</v>
      </c>
      <c r="Q956" s="304">
        <f t="shared" ca="1" si="425"/>
        <v>0</v>
      </c>
      <c r="R956" s="306">
        <f t="shared" ca="1" si="426"/>
        <v>0</v>
      </c>
      <c r="S956" s="307">
        <f t="shared" ca="1" si="427"/>
        <v>2.0842999999999985</v>
      </c>
      <c r="T956" s="304">
        <f t="shared" ca="1" si="407"/>
        <v>20.446982999999985</v>
      </c>
      <c r="U956" s="311">
        <f t="shared" ca="1" si="408"/>
        <v>0</v>
      </c>
      <c r="V956" s="306">
        <f t="shared" ca="1" si="409"/>
        <v>1.226726068098128</v>
      </c>
      <c r="W956" s="304">
        <f t="shared" ca="1" si="410"/>
        <v>20.3616547798695</v>
      </c>
      <c r="Y956" s="314" t="str">
        <f t="shared" ca="1" si="428"/>
        <v/>
      </c>
      <c r="Z956" s="315" t="str">
        <f t="shared" ca="1" si="429"/>
        <v/>
      </c>
      <c r="AA956" s="316" t="str">
        <f t="shared" ca="1" si="430"/>
        <v/>
      </c>
      <c r="AC956" s="310" t="e">
        <f t="shared" ca="1" si="431"/>
        <v>#N/A</v>
      </c>
      <c r="AD956" s="323" t="e">
        <f t="shared" ca="1" si="432"/>
        <v>#N/A</v>
      </c>
      <c r="AE956" s="324" t="e">
        <f t="shared" ca="1" si="411"/>
        <v>#N/A</v>
      </c>
      <c r="AG956" s="306">
        <f t="shared" ca="1" si="433"/>
        <v>3.5651094653291082E-2</v>
      </c>
      <c r="AH956" s="304">
        <f t="shared" ca="1" si="434"/>
        <v>-9.7690489110380181</v>
      </c>
    </row>
    <row r="957" spans="1:34" x14ac:dyDescent="0.25">
      <c r="A957" s="347">
        <f t="shared" ca="1" si="412"/>
        <v>1E-4</v>
      </c>
      <c r="B957" s="304">
        <f t="shared" ca="1" si="413"/>
        <v>47.135900000001563</v>
      </c>
      <c r="D957" s="306">
        <f t="shared" ca="1" si="414"/>
        <v>-0.32107677909782589</v>
      </c>
      <c r="E957" s="307">
        <f t="shared" ca="1" si="415"/>
        <v>-4.621634240218242E-2</v>
      </c>
      <c r="F957" s="304">
        <f t="shared" ca="1" si="416"/>
        <v>0.32438595589339231</v>
      </c>
      <c r="G957" s="306">
        <f t="shared" ca="1" si="417"/>
        <v>4.029508517811256</v>
      </c>
      <c r="H957" s="307">
        <f t="shared" ca="1" si="418"/>
        <v>-122.53631203485355</v>
      </c>
      <c r="I957" s="304">
        <f t="shared" ca="1" si="419"/>
        <v>122.60254771414054</v>
      </c>
      <c r="J957" s="306">
        <f t="shared" ca="1" si="420"/>
        <v>677.64536374242232</v>
      </c>
      <c r="K957" s="307">
        <f t="shared" ca="1" si="421"/>
        <v>-14.092685540456509</v>
      </c>
      <c r="L957" s="304">
        <f t="shared" ca="1" si="406"/>
        <v>677.79188751957042</v>
      </c>
      <c r="M957" s="306">
        <f t="shared" ca="1" si="422"/>
        <v>-1.5379239730524772</v>
      </c>
      <c r="N957" s="304">
        <f t="shared" ca="1" si="423"/>
        <v>-88.116552867898292</v>
      </c>
      <c r="P957" s="310">
        <f t="shared" ca="1" si="424"/>
        <v>23</v>
      </c>
      <c r="Q957" s="304">
        <f t="shared" ca="1" si="425"/>
        <v>0</v>
      </c>
      <c r="R957" s="306">
        <f t="shared" ca="1" si="426"/>
        <v>0</v>
      </c>
      <c r="S957" s="307">
        <f t="shared" ca="1" si="427"/>
        <v>2.0842999999999985</v>
      </c>
      <c r="T957" s="304">
        <f t="shared" ca="1" si="407"/>
        <v>20.446982999999985</v>
      </c>
      <c r="U957" s="311">
        <f t="shared" ca="1" si="408"/>
        <v>0</v>
      </c>
      <c r="V957" s="306">
        <f t="shared" ca="1" si="409"/>
        <v>1.2267275712846493</v>
      </c>
      <c r="W957" s="304">
        <f t="shared" ca="1" si="410"/>
        <v>20.361680914083284</v>
      </c>
      <c r="Y957" s="314" t="str">
        <f t="shared" ca="1" si="428"/>
        <v/>
      </c>
      <c r="Z957" s="315" t="str">
        <f t="shared" ca="1" si="429"/>
        <v/>
      </c>
      <c r="AA957" s="316" t="str">
        <f t="shared" ca="1" si="430"/>
        <v/>
      </c>
      <c r="AC957" s="310" t="e">
        <f t="shared" ca="1" si="431"/>
        <v>#N/A</v>
      </c>
      <c r="AD957" s="323" t="e">
        <f t="shared" ca="1" si="432"/>
        <v>#N/A</v>
      </c>
      <c r="AE957" s="324" t="e">
        <f t="shared" ca="1" si="411"/>
        <v>#N/A</v>
      </c>
      <c r="AG957" s="306">
        <f t="shared" ca="1" si="433"/>
        <v>3.5638640658849141E-2</v>
      </c>
      <c r="AH957" s="304">
        <f t="shared" ca="1" si="434"/>
        <v>-9.7690614498246493</v>
      </c>
    </row>
    <row r="958" spans="1:34" x14ac:dyDescent="0.25">
      <c r="A958" s="347">
        <f t="shared" ca="1" si="412"/>
        <v>1E-4</v>
      </c>
      <c r="B958" s="304">
        <f t="shared" ca="1" si="413"/>
        <v>47.136000000001566</v>
      </c>
      <c r="D958" s="306">
        <f t="shared" ca="1" si="414"/>
        <v>-0.32107462350037547</v>
      </c>
      <c r="E958" s="307">
        <f t="shared" ca="1" si="415"/>
        <v>-4.6203726134438128E-2</v>
      </c>
      <c r="F958" s="304">
        <f t="shared" ca="1" si="416"/>
        <v>0.3243820250331606</v>
      </c>
      <c r="G958" s="306">
        <f t="shared" ca="1" si="417"/>
        <v>4.0294764103489058</v>
      </c>
      <c r="H958" s="307">
        <f t="shared" ca="1" si="418"/>
        <v>-122.53631665522616</v>
      </c>
      <c r="I958" s="304">
        <f t="shared" ca="1" si="419"/>
        <v>122.60255127676346</v>
      </c>
      <c r="J958" s="306">
        <f t="shared" ca="1" si="420"/>
        <v>677.64536374242232</v>
      </c>
      <c r="K958" s="307">
        <f t="shared" ca="1" si="421"/>
        <v>-14.104939171891013</v>
      </c>
      <c r="L958" s="304">
        <f t="shared" ca="1" si="406"/>
        <v>677.79214240845442</v>
      </c>
      <c r="M958" s="306">
        <f t="shared" ca="1" si="422"/>
        <v>-1.5379242360320908</v>
      </c>
      <c r="N958" s="304">
        <f t="shared" ca="1" si="423"/>
        <v>-88.116567935520251</v>
      </c>
      <c r="P958" s="310">
        <f t="shared" ca="1" si="424"/>
        <v>23</v>
      </c>
      <c r="Q958" s="304">
        <f t="shared" ca="1" si="425"/>
        <v>0</v>
      </c>
      <c r="R958" s="306">
        <f t="shared" ca="1" si="426"/>
        <v>0</v>
      </c>
      <c r="S958" s="307">
        <f t="shared" ca="1" si="427"/>
        <v>2.0842999999999985</v>
      </c>
      <c r="T958" s="304">
        <f t="shared" ca="1" si="407"/>
        <v>20.446982999999985</v>
      </c>
      <c r="U958" s="311">
        <f t="shared" ca="1" si="408"/>
        <v>0</v>
      </c>
      <c r="V958" s="306">
        <f t="shared" ca="1" si="409"/>
        <v>1.2267290744730701</v>
      </c>
      <c r="W958" s="304">
        <f t="shared" ca="1" si="410"/>
        <v>20.361707047917868</v>
      </c>
      <c r="Y958" s="314" t="str">
        <f t="shared" ca="1" si="428"/>
        <v/>
      </c>
      <c r="Z958" s="315" t="str">
        <f t="shared" ca="1" si="429"/>
        <v/>
      </c>
      <c r="AA958" s="316" t="str">
        <f t="shared" ca="1" si="430"/>
        <v/>
      </c>
      <c r="AC958" s="310" t="e">
        <f t="shared" ca="1" si="431"/>
        <v>#N/A</v>
      </c>
      <c r="AD958" s="323" t="e">
        <f t="shared" ca="1" si="432"/>
        <v>#N/A</v>
      </c>
      <c r="AE958" s="324" t="e">
        <f t="shared" ca="1" si="411"/>
        <v>#N/A</v>
      </c>
      <c r="AG958" s="306">
        <f t="shared" ca="1" si="433"/>
        <v>3.5626186844979202E-2</v>
      </c>
      <c r="AH958" s="304">
        <f t="shared" ca="1" si="434"/>
        <v>-9.7690739884293514</v>
      </c>
    </row>
    <row r="959" spans="1:34" x14ac:dyDescent="0.25">
      <c r="A959" s="347">
        <f t="shared" ca="1" si="412"/>
        <v>1E-4</v>
      </c>
      <c r="B959" s="304">
        <f t="shared" ca="1" si="413"/>
        <v>47.136100000001569</v>
      </c>
      <c r="D959" s="306">
        <f t="shared" ca="1" si="414"/>
        <v>-0.32107246791093896</v>
      </c>
      <c r="E959" s="307">
        <f t="shared" ca="1" si="415"/>
        <v>-4.6191110049660367E-2</v>
      </c>
      <c r="F959" s="304">
        <f t="shared" ca="1" si="416"/>
        <v>0.32437809466429879</v>
      </c>
      <c r="G959" s="306">
        <f t="shared" ca="1" si="417"/>
        <v>4.0294443031021148</v>
      </c>
      <c r="H959" s="307">
        <f t="shared" ca="1" si="418"/>
        <v>-122.53632127433717</v>
      </c>
      <c r="I959" s="304">
        <f t="shared" ca="1" si="419"/>
        <v>122.60255483814103</v>
      </c>
      <c r="J959" s="306">
        <f t="shared" ca="1" si="420"/>
        <v>677.64536374242232</v>
      </c>
      <c r="K959" s="307">
        <f t="shared" ca="1" si="421"/>
        <v>-14.117192803787491</v>
      </c>
      <c r="L959" s="304">
        <f t="shared" ca="1" si="406"/>
        <v>677.79239751878242</v>
      </c>
      <c r="M959" s="306">
        <f t="shared" ca="1" si="422"/>
        <v>-1.5379244990095935</v>
      </c>
      <c r="N959" s="304">
        <f t="shared" ca="1" si="423"/>
        <v>-88.116583003021262</v>
      </c>
      <c r="P959" s="310">
        <f t="shared" ca="1" si="424"/>
        <v>23</v>
      </c>
      <c r="Q959" s="304">
        <f t="shared" ca="1" si="425"/>
        <v>0</v>
      </c>
      <c r="R959" s="306">
        <f t="shared" ca="1" si="426"/>
        <v>0</v>
      </c>
      <c r="S959" s="307">
        <f t="shared" ca="1" si="427"/>
        <v>2.0842999999999985</v>
      </c>
      <c r="T959" s="304">
        <f t="shared" ca="1" si="407"/>
        <v>20.446982999999985</v>
      </c>
      <c r="U959" s="311">
        <f t="shared" ca="1" si="408"/>
        <v>0</v>
      </c>
      <c r="V959" s="306">
        <f t="shared" ca="1" si="409"/>
        <v>1.2267305776633908</v>
      </c>
      <c r="W959" s="304">
        <f t="shared" ca="1" si="410"/>
        <v>20.361733181373264</v>
      </c>
      <c r="Y959" s="314" t="str">
        <f t="shared" ca="1" si="428"/>
        <v/>
      </c>
      <c r="Z959" s="315" t="str">
        <f t="shared" ca="1" si="429"/>
        <v/>
      </c>
      <c r="AA959" s="316" t="str">
        <f t="shared" ca="1" si="430"/>
        <v/>
      </c>
      <c r="AC959" s="310" t="e">
        <f t="shared" ca="1" si="431"/>
        <v>#N/A</v>
      </c>
      <c r="AD959" s="323" t="e">
        <f t="shared" ca="1" si="432"/>
        <v>#N/A</v>
      </c>
      <c r="AE959" s="324" t="e">
        <f t="shared" ca="1" si="411"/>
        <v>#N/A</v>
      </c>
      <c r="AG959" s="306">
        <f t="shared" ca="1" si="433"/>
        <v>3.5613733211681264E-2</v>
      </c>
      <c r="AH959" s="304">
        <f t="shared" ca="1" si="434"/>
        <v>-9.7690865268521243</v>
      </c>
    </row>
    <row r="960" spans="1:34" x14ac:dyDescent="0.25">
      <c r="A960" s="347">
        <f t="shared" ca="1" si="412"/>
        <v>1E-4</v>
      </c>
      <c r="B960" s="304">
        <f t="shared" ca="1" si="413"/>
        <v>47.136200000001573</v>
      </c>
      <c r="D960" s="306">
        <f t="shared" ca="1" si="414"/>
        <v>-0.32107031232952116</v>
      </c>
      <c r="E960" s="307">
        <f t="shared" ca="1" si="415"/>
        <v>-4.6178494147849136E-2</v>
      </c>
      <c r="F960" s="304">
        <f t="shared" ca="1" si="416"/>
        <v>0.32437416478680792</v>
      </c>
      <c r="G960" s="306">
        <f t="shared" ca="1" si="417"/>
        <v>4.029412196070882</v>
      </c>
      <c r="H960" s="307">
        <f t="shared" ca="1" si="418"/>
        <v>-122.53632589218658</v>
      </c>
      <c r="I960" s="304">
        <f t="shared" ca="1" si="419"/>
        <v>122.60255839827323</v>
      </c>
      <c r="J960" s="306">
        <f t="shared" ca="1" si="420"/>
        <v>677.64536374242232</v>
      </c>
      <c r="K960" s="307">
        <f t="shared" ca="1" si="421"/>
        <v>-14.129446436145818</v>
      </c>
      <c r="L960" s="304">
        <f t="shared" ca="1" si="406"/>
        <v>677.79265285055408</v>
      </c>
      <c r="M960" s="306">
        <f t="shared" ca="1" si="422"/>
        <v>-1.5379247619849856</v>
      </c>
      <c r="N960" s="304">
        <f t="shared" ca="1" si="423"/>
        <v>-88.116598070401352</v>
      </c>
      <c r="P960" s="310">
        <f t="shared" ca="1" si="424"/>
        <v>23</v>
      </c>
      <c r="Q960" s="304">
        <f t="shared" ca="1" si="425"/>
        <v>0</v>
      </c>
      <c r="R960" s="306">
        <f t="shared" ca="1" si="426"/>
        <v>0</v>
      </c>
      <c r="S960" s="307">
        <f t="shared" ca="1" si="427"/>
        <v>2.0842999999999985</v>
      </c>
      <c r="T960" s="304">
        <f t="shared" ca="1" si="407"/>
        <v>20.446982999999985</v>
      </c>
      <c r="U960" s="311">
        <f t="shared" ca="1" si="408"/>
        <v>0</v>
      </c>
      <c r="V960" s="306">
        <f t="shared" ca="1" si="409"/>
        <v>1.2267320808556117</v>
      </c>
      <c r="W960" s="304">
        <f t="shared" ca="1" si="410"/>
        <v>20.361759314449472</v>
      </c>
      <c r="Y960" s="314" t="str">
        <f t="shared" ca="1" si="428"/>
        <v/>
      </c>
      <c r="Z960" s="315" t="str">
        <f t="shared" ca="1" si="429"/>
        <v/>
      </c>
      <c r="AA960" s="316" t="str">
        <f t="shared" ca="1" si="430"/>
        <v/>
      </c>
      <c r="AC960" s="310" t="e">
        <f t="shared" ca="1" si="431"/>
        <v>#N/A</v>
      </c>
      <c r="AD960" s="323" t="e">
        <f t="shared" ca="1" si="432"/>
        <v>#N/A</v>
      </c>
      <c r="AE960" s="324" t="e">
        <f t="shared" ca="1" si="411"/>
        <v>#N/A</v>
      </c>
      <c r="AG960" s="306">
        <f t="shared" ca="1" si="433"/>
        <v>3.560127975895E-2</v>
      </c>
      <c r="AH960" s="304">
        <f t="shared" ca="1" si="434"/>
        <v>-9.7690990650929699</v>
      </c>
    </row>
    <row r="961" spans="1:34" x14ac:dyDescent="0.25">
      <c r="A961" s="347">
        <f t="shared" ca="1" si="412"/>
        <v>1E-4</v>
      </c>
      <c r="B961" s="304">
        <f t="shared" ca="1" si="413"/>
        <v>47.136300000001576</v>
      </c>
      <c r="D961" s="306">
        <f t="shared" ca="1" si="414"/>
        <v>-0.32106815675611805</v>
      </c>
      <c r="E961" s="307">
        <f t="shared" ca="1" si="415"/>
        <v>-4.6165878428999108E-2</v>
      </c>
      <c r="F961" s="304">
        <f t="shared" ca="1" si="416"/>
        <v>0.32437023540067961</v>
      </c>
      <c r="G961" s="306">
        <f t="shared" ca="1" si="417"/>
        <v>4.0293800892552065</v>
      </c>
      <c r="H961" s="307">
        <f t="shared" ca="1" si="418"/>
        <v>-122.53633050877443</v>
      </c>
      <c r="I961" s="304">
        <f t="shared" ca="1" si="419"/>
        <v>122.60256195716013</v>
      </c>
      <c r="J961" s="306">
        <f t="shared" ca="1" si="420"/>
        <v>677.64536374242232</v>
      </c>
      <c r="K961" s="307">
        <f t="shared" ca="1" si="421"/>
        <v>-14.141700068965866</v>
      </c>
      <c r="L961" s="304">
        <f t="shared" ca="1" si="406"/>
        <v>677.79290840376927</v>
      </c>
      <c r="M961" s="306">
        <f t="shared" ca="1" si="422"/>
        <v>-1.5379250249582672</v>
      </c>
      <c r="N961" s="304">
        <f t="shared" ca="1" si="423"/>
        <v>-88.116613137660508</v>
      </c>
      <c r="P961" s="310">
        <f t="shared" ca="1" si="424"/>
        <v>23</v>
      </c>
      <c r="Q961" s="304">
        <f t="shared" ca="1" si="425"/>
        <v>0</v>
      </c>
      <c r="R961" s="306">
        <f t="shared" ca="1" si="426"/>
        <v>0</v>
      </c>
      <c r="S961" s="307">
        <f t="shared" ca="1" si="427"/>
        <v>2.0842999999999985</v>
      </c>
      <c r="T961" s="304">
        <f t="shared" ca="1" si="407"/>
        <v>20.446982999999985</v>
      </c>
      <c r="U961" s="311">
        <f t="shared" ca="1" si="408"/>
        <v>0</v>
      </c>
      <c r="V961" s="306">
        <f t="shared" ca="1" si="409"/>
        <v>1.2267335840497322</v>
      </c>
      <c r="W961" s="304">
        <f t="shared" ca="1" si="410"/>
        <v>20.361785447146513</v>
      </c>
      <c r="Y961" s="314" t="str">
        <f t="shared" ca="1" si="428"/>
        <v/>
      </c>
      <c r="Z961" s="315" t="str">
        <f t="shared" ca="1" si="429"/>
        <v/>
      </c>
      <c r="AA961" s="316" t="str">
        <f t="shared" ca="1" si="430"/>
        <v/>
      </c>
      <c r="AC961" s="310" t="e">
        <f t="shared" ca="1" si="431"/>
        <v>#N/A</v>
      </c>
      <c r="AD961" s="323" t="e">
        <f t="shared" ca="1" si="432"/>
        <v>#N/A</v>
      </c>
      <c r="AE961" s="324" t="e">
        <f t="shared" ca="1" si="411"/>
        <v>#N/A</v>
      </c>
      <c r="AG961" s="306">
        <f t="shared" ca="1" si="433"/>
        <v>3.5588826486783631E-2</v>
      </c>
      <c r="AH961" s="304">
        <f t="shared" ca="1" si="434"/>
        <v>-9.7691116031518916</v>
      </c>
    </row>
    <row r="962" spans="1:34" x14ac:dyDescent="0.25">
      <c r="A962" s="347">
        <f t="shared" ca="1" si="412"/>
        <v>1E-4</v>
      </c>
      <c r="B962" s="304">
        <f t="shared" ca="1" si="413"/>
        <v>47.136400000001579</v>
      </c>
      <c r="D962" s="306">
        <f t="shared" ca="1" si="414"/>
        <v>-0.32106600119073003</v>
      </c>
      <c r="E962" s="307">
        <f t="shared" ca="1" si="415"/>
        <v>-4.6153262893104952E-2</v>
      </c>
      <c r="F962" s="304">
        <f t="shared" ca="1" si="416"/>
        <v>0.32436630650590997</v>
      </c>
      <c r="G962" s="306">
        <f t="shared" ca="1" si="417"/>
        <v>4.0293479826550875</v>
      </c>
      <c r="H962" s="307">
        <f t="shared" ca="1" si="418"/>
        <v>-122.53633512410072</v>
      </c>
      <c r="I962" s="304">
        <f t="shared" ca="1" si="419"/>
        <v>122.60256551480171</v>
      </c>
      <c r="J962" s="306">
        <f t="shared" ca="1" si="420"/>
        <v>677.64536374242232</v>
      </c>
      <c r="K962" s="307">
        <f t="shared" ca="1" si="421"/>
        <v>-14.153953702247509</v>
      </c>
      <c r="L962" s="304">
        <f t="shared" ca="1" si="406"/>
        <v>677.79316417842779</v>
      </c>
      <c r="M962" s="306">
        <f t="shared" ca="1" si="422"/>
        <v>-1.5379252879294378</v>
      </c>
      <c r="N962" s="304">
        <f t="shared" ca="1" si="423"/>
        <v>-88.116628204798715</v>
      </c>
      <c r="P962" s="310">
        <f t="shared" ca="1" si="424"/>
        <v>23</v>
      </c>
      <c r="Q962" s="304">
        <f t="shared" ca="1" si="425"/>
        <v>0</v>
      </c>
      <c r="R962" s="306">
        <f t="shared" ca="1" si="426"/>
        <v>0</v>
      </c>
      <c r="S962" s="307">
        <f t="shared" ca="1" si="427"/>
        <v>2.0842999999999985</v>
      </c>
      <c r="T962" s="304">
        <f t="shared" ca="1" si="407"/>
        <v>20.446982999999985</v>
      </c>
      <c r="U962" s="311">
        <f t="shared" ca="1" si="408"/>
        <v>0</v>
      </c>
      <c r="V962" s="306">
        <f t="shared" ca="1" si="409"/>
        <v>1.2267350872457528</v>
      </c>
      <c r="W962" s="304">
        <f t="shared" ca="1" si="410"/>
        <v>20.361811579464369</v>
      </c>
      <c r="Y962" s="314" t="str">
        <f t="shared" ca="1" si="428"/>
        <v/>
      </c>
      <c r="Z962" s="315" t="str">
        <f t="shared" ca="1" si="429"/>
        <v/>
      </c>
      <c r="AA962" s="316" t="str">
        <f t="shared" ca="1" si="430"/>
        <v/>
      </c>
      <c r="AC962" s="310" t="e">
        <f t="shared" ca="1" si="431"/>
        <v>#N/A</v>
      </c>
      <c r="AD962" s="323" t="e">
        <f t="shared" ca="1" si="432"/>
        <v>#N/A</v>
      </c>
      <c r="AE962" s="324" t="e">
        <f t="shared" ca="1" si="411"/>
        <v>#N/A</v>
      </c>
      <c r="AG962" s="306">
        <f t="shared" ca="1" si="433"/>
        <v>3.557637339517683E-2</v>
      </c>
      <c r="AH962" s="304">
        <f t="shared" ca="1" si="434"/>
        <v>-9.7691241410288967</v>
      </c>
    </row>
    <row r="963" spans="1:34" x14ac:dyDescent="0.25">
      <c r="A963" s="347">
        <f t="shared" ca="1" si="412"/>
        <v>1E-4</v>
      </c>
      <c r="B963" s="304">
        <f t="shared" ca="1" si="413"/>
        <v>47.136500000001583</v>
      </c>
      <c r="D963" s="306">
        <f t="shared" ca="1" si="414"/>
        <v>-0.32106384563336143</v>
      </c>
      <c r="E963" s="307">
        <f t="shared" ca="1" si="415"/>
        <v>-4.6140647540173774E-2</v>
      </c>
      <c r="F963" s="304">
        <f t="shared" ca="1" si="416"/>
        <v>0.32436237810250046</v>
      </c>
      <c r="G963" s="306">
        <f t="shared" ca="1" si="417"/>
        <v>4.0293158762705241</v>
      </c>
      <c r="H963" s="307">
        <f t="shared" ca="1" si="418"/>
        <v>-122.53633973816547</v>
      </c>
      <c r="I963" s="304">
        <f t="shared" ca="1" si="419"/>
        <v>122.60256907119799</v>
      </c>
      <c r="J963" s="306">
        <f t="shared" ca="1" si="420"/>
        <v>677.64536374242232</v>
      </c>
      <c r="K963" s="307">
        <f t="shared" ca="1" si="421"/>
        <v>-14.166207335990622</v>
      </c>
      <c r="L963" s="304">
        <f t="shared" ca="1" si="406"/>
        <v>677.79342017452939</v>
      </c>
      <c r="M963" s="306">
        <f t="shared" ca="1" si="422"/>
        <v>-1.5379255508984981</v>
      </c>
      <c r="N963" s="304">
        <f t="shared" ca="1" si="423"/>
        <v>-88.116643271816017</v>
      </c>
      <c r="P963" s="310">
        <f t="shared" ca="1" si="424"/>
        <v>23</v>
      </c>
      <c r="Q963" s="304">
        <f t="shared" ca="1" si="425"/>
        <v>0</v>
      </c>
      <c r="R963" s="306">
        <f t="shared" ca="1" si="426"/>
        <v>0</v>
      </c>
      <c r="S963" s="307">
        <f t="shared" ca="1" si="427"/>
        <v>2.0842999999999985</v>
      </c>
      <c r="T963" s="304">
        <f t="shared" ca="1" si="407"/>
        <v>20.446982999999985</v>
      </c>
      <c r="U963" s="311">
        <f t="shared" ca="1" si="408"/>
        <v>0</v>
      </c>
      <c r="V963" s="306">
        <f t="shared" ca="1" si="409"/>
        <v>1.2267365904436731</v>
      </c>
      <c r="W963" s="304">
        <f t="shared" ca="1" si="410"/>
        <v>20.361837711403052</v>
      </c>
      <c r="Y963" s="314" t="str">
        <f t="shared" ca="1" si="428"/>
        <v/>
      </c>
      <c r="Z963" s="315" t="str">
        <f t="shared" ca="1" si="429"/>
        <v/>
      </c>
      <c r="AA963" s="316" t="str">
        <f t="shared" ca="1" si="430"/>
        <v/>
      </c>
      <c r="AC963" s="310" t="e">
        <f t="shared" ca="1" si="431"/>
        <v>#N/A</v>
      </c>
      <c r="AD963" s="323" t="e">
        <f t="shared" ca="1" si="432"/>
        <v>#N/A</v>
      </c>
      <c r="AE963" s="324" t="e">
        <f t="shared" ca="1" si="411"/>
        <v>#N/A</v>
      </c>
      <c r="AG963" s="306">
        <f t="shared" ca="1" si="433"/>
        <v>3.5563920484134925E-2</v>
      </c>
      <c r="AH963" s="304">
        <f t="shared" ca="1" si="434"/>
        <v>-9.7691366787239762</v>
      </c>
    </row>
    <row r="964" spans="1:34" x14ac:dyDescent="0.25">
      <c r="A964" s="347">
        <f t="shared" ca="1" si="412"/>
        <v>1E-4</v>
      </c>
      <c r="B964" s="304">
        <f t="shared" ca="1" si="413"/>
        <v>47.136600000001586</v>
      </c>
      <c r="D964" s="306">
        <f t="shared" ca="1" si="414"/>
        <v>-0.3210616900840062</v>
      </c>
      <c r="E964" s="307">
        <f t="shared" ca="1" si="415"/>
        <v>-4.6128032370198468E-2</v>
      </c>
      <c r="F964" s="304">
        <f t="shared" ca="1" si="416"/>
        <v>0.32435845019044057</v>
      </c>
      <c r="G964" s="306">
        <f t="shared" ca="1" si="417"/>
        <v>4.0292837701015154</v>
      </c>
      <c r="H964" s="307">
        <f t="shared" ca="1" si="418"/>
        <v>-122.5363443509687</v>
      </c>
      <c r="I964" s="304">
        <f t="shared" ca="1" si="419"/>
        <v>122.602572626349</v>
      </c>
      <c r="J964" s="306">
        <f t="shared" ca="1" si="420"/>
        <v>677.64536374242232</v>
      </c>
      <c r="K964" s="307">
        <f t="shared" ca="1" si="421"/>
        <v>-14.178460970195079</v>
      </c>
      <c r="L964" s="304">
        <f t="shared" ref="L964:L1004" ca="1" si="435">SQRT(pos_x^2+pos_z^2)</f>
        <v>677.79367639207373</v>
      </c>
      <c r="M964" s="306">
        <f t="shared" ca="1" si="422"/>
        <v>-1.5379258138654475</v>
      </c>
      <c r="N964" s="304">
        <f t="shared" ca="1" si="423"/>
        <v>-88.116658338712369</v>
      </c>
      <c r="P964" s="310">
        <f t="shared" ca="1" si="424"/>
        <v>23</v>
      </c>
      <c r="Q964" s="304">
        <f t="shared" ca="1" si="425"/>
        <v>0</v>
      </c>
      <c r="R964" s="306">
        <f t="shared" ca="1" si="426"/>
        <v>0</v>
      </c>
      <c r="S964" s="307">
        <f t="shared" ca="1" si="427"/>
        <v>2.0842999999999985</v>
      </c>
      <c r="T964" s="304">
        <f t="shared" ref="T964:T1004" ca="1" si="436">m*g</f>
        <v>20.446982999999985</v>
      </c>
      <c r="U964" s="311">
        <f t="shared" ref="U964:U1004" ca="1" si="437">IF(pos_xz&lt;L_rampe,Poids*COS(Beta),0)</f>
        <v>0</v>
      </c>
      <c r="V964" s="306">
        <f t="shared" ref="V964:V1004" ca="1" si="438">Rho_moyen*(20000-Alt_rampe-pos_z)/(20000+Alt_rampe+pos_z)</f>
        <v>1.2267380936434933</v>
      </c>
      <c r="W964" s="304">
        <f t="shared" ref="W964:W1003" ca="1" si="439">1/2*Rho*Sref*Cx*vit_xz^2</f>
        <v>20.361863842962574</v>
      </c>
      <c r="Y964" s="314" t="str">
        <f t="shared" ca="1" si="428"/>
        <v/>
      </c>
      <c r="Z964" s="315" t="str">
        <f t="shared" ca="1" si="429"/>
        <v/>
      </c>
      <c r="AA964" s="316" t="str">
        <f t="shared" ca="1" si="430"/>
        <v/>
      </c>
      <c r="AC964" s="310" t="e">
        <f t="shared" ca="1" si="431"/>
        <v>#N/A</v>
      </c>
      <c r="AD964" s="323" t="e">
        <f t="shared" ca="1" si="432"/>
        <v>#N/A</v>
      </c>
      <c r="AE964" s="324" t="e">
        <f t="shared" ref="AE964:AE1004" ca="1" si="440">IF(t&lt;T_para, pos_z, NA())</f>
        <v>#N/A</v>
      </c>
      <c r="AG964" s="306">
        <f t="shared" ca="1" si="433"/>
        <v>3.5551467753654364E-2</v>
      </c>
      <c r="AH964" s="304">
        <f t="shared" ca="1" si="434"/>
        <v>-9.7691492162371372</v>
      </c>
    </row>
    <row r="965" spans="1:34" x14ac:dyDescent="0.25">
      <c r="A965" s="347">
        <f t="shared" ref="A965:A1004" ca="1" si="441">IF(B964+0.01&lt;=T_ini+ROUNDUP(Temps_fin_propu,0), 0.01, IF(K964&gt;0, 0.1, 0.0001))</f>
        <v>1E-4</v>
      </c>
      <c r="B965" s="304">
        <f t="shared" ref="B965:B1004" ca="1" si="442">B964+pas</f>
        <v>47.136700000001589</v>
      </c>
      <c r="D965" s="306">
        <f t="shared" ref="D965:D1004" ca="1" si="443">IF(AND(L964&lt;L_rampe,Poussee&lt;Poids*SIN(M964)),0,(-W964+Poussee)/m*COS(M964)-U964/m*SIN(M964))</f>
        <v>-0.32105953454267122</v>
      </c>
      <c r="E965" s="307">
        <f t="shared" ref="E965:E1004" ca="1" si="444">IF(AND(L964&lt;L_rampe,Poussee&lt;Poids*SIN(M964)),0,(-W964+Poussee)/m*SIN(M964)+U964/m*COS(M964)-Poids/m)</f>
        <v>-4.6115417383171931E-2</v>
      </c>
      <c r="F965" s="304">
        <f t="shared" ref="F965:F1004" ca="1" si="445">SQRT(acc_x^2+acc_z^2)</f>
        <v>0.32435452276973242</v>
      </c>
      <c r="G965" s="306">
        <f t="shared" ref="G965:G1004" ca="1" si="446">G964+acc_x*pas</f>
        <v>4.0292516641480614</v>
      </c>
      <c r="H965" s="307">
        <f t="shared" ref="H965:H1004" ca="1" si="447">H964+acc_z*pas</f>
        <v>-122.53634896251044</v>
      </c>
      <c r="I965" s="304">
        <f t="shared" ref="I965:I1004" ca="1" si="448">SQRT(vit_x^2+vit_z^2)</f>
        <v>122.60257618025477</v>
      </c>
      <c r="J965" s="306">
        <f t="shared" ref="J965:J1004" ca="1" si="449">J964+0.5*(vit_x+G964)*pas*(K964&gt;=0)</f>
        <v>677.64536374242232</v>
      </c>
      <c r="K965" s="307">
        <f t="shared" ref="K965:K1004" ca="1" si="450">K964+0.5*(vit_z+H964)*pas</f>
        <v>-14.190714604860753</v>
      </c>
      <c r="L965" s="304">
        <f t="shared" ca="1" si="435"/>
        <v>677.79393283106072</v>
      </c>
      <c r="M965" s="306">
        <f t="shared" ref="M965:M1004" ca="1" si="451">IF(AND(L964&gt;L_rampe,G965&gt;0),ATAN2(G965,H965),$M$4)</f>
        <v>-1.5379260768302865</v>
      </c>
      <c r="N965" s="304">
        <f t="shared" ref="N965:N1004" ca="1" si="452">DEGREES(Beta)</f>
        <v>-88.116673405487802</v>
      </c>
      <c r="P965" s="310">
        <f t="shared" ref="P965:P1004" ca="1" si="453">MATCH(t-pas/2-T_ini,CdP_t)</f>
        <v>23</v>
      </c>
      <c r="Q965" s="304">
        <f t="shared" ref="Q965:Q1004" ca="1" si="454">(INDEX(CdP,2,i_P+1)-INDEX(CdP,2,i_P+0))/(INDEX(CdP,1,i_P+1)-INDEX(CdP,1,i_P+0))*(t-pas/2-T_ini-INDEX(CdP,1,i_P+0))+INDEX(CdP,2,i_P+0)</f>
        <v>0</v>
      </c>
      <c r="R965" s="306">
        <f t="shared" ref="R965:R1004" ca="1" si="455">Poussee/(g*ISP)</f>
        <v>0</v>
      </c>
      <c r="S965" s="307">
        <f t="shared" ref="S965:S1004" ca="1" si="456">S964-Débit*pas</f>
        <v>2.0842999999999985</v>
      </c>
      <c r="T965" s="304">
        <f t="shared" ca="1" si="436"/>
        <v>20.446982999999985</v>
      </c>
      <c r="U965" s="311">
        <f t="shared" ca="1" si="437"/>
        <v>0</v>
      </c>
      <c r="V965" s="306">
        <f t="shared" ca="1" si="438"/>
        <v>1.2267395968452135</v>
      </c>
      <c r="W965" s="304">
        <f t="shared" ca="1" si="439"/>
        <v>20.361889974142937</v>
      </c>
      <c r="Y965" s="314" t="str">
        <f t="shared" ref="Y965:Y1003" ca="1" si="457">IF(AND(pos_z&lt;=0,K964&gt;0),"Impact balistique","") &amp; IF(AND(H966&lt;0,vit_z&gt;=0),"Apogée","") &amp; IF(AND(Poussee=0,Q964&gt;0),"Fin de propulsion","") &amp; IF(AND(L966&gt;L_rampe,pos_xz&lt;=L_rampe),"Sortie de rampe","")</f>
        <v/>
      </c>
      <c r="Z965" s="315" t="str">
        <f t="shared" ref="Z965:Z1004" ca="1" si="458">IF(ABS(t-T_para)&lt;pas/2,"Para","")</f>
        <v/>
      </c>
      <c r="AA965" s="316" t="str">
        <f t="shared" ref="AA965:AA1004" ca="1" si="459">IF(ABS(t-T_satellite)&lt;pas/2,"Satellite","")</f>
        <v/>
      </c>
      <c r="AC965" s="310" t="e">
        <f t="shared" ref="AC965:AC1004" ca="1" si="460">IF(ABS(t-ROUND(t,0))&lt;0.001,t,NA())</f>
        <v>#N/A</v>
      </c>
      <c r="AD965" s="323" t="e">
        <f t="shared" ref="AD965:AD1004" ca="1" si="461">IF(ABS(t-ROUND(t,0))&lt;0.001,pos_x,NA())</f>
        <v>#N/A</v>
      </c>
      <c r="AE965" s="324" t="e">
        <f t="shared" ca="1" si="440"/>
        <v>#N/A</v>
      </c>
      <c r="AG965" s="306">
        <f t="shared" ref="AG965:AG1004" ca="1" si="462">IF(AND(L964&lt;L_rampe,Poussee&lt;Poids*SIN(M964)),0,(-W964+Poussee)/m-Poids*SIN(M964)/m)</f>
        <v>3.5539015203726265E-2</v>
      </c>
      <c r="AH965" s="304">
        <f t="shared" ref="AH965:AH1004" ca="1" si="463">IF(AND(L964&lt;L_rampe,Poussee&lt;Poids*SIN(M964)), g*SIN(M964), (-W964+Poussee)/m)</f>
        <v>-9.7691617535683868</v>
      </c>
    </row>
    <row r="966" spans="1:34" x14ac:dyDescent="0.25">
      <c r="A966" s="347">
        <f t="shared" ca="1" si="441"/>
        <v>1E-4</v>
      </c>
      <c r="B966" s="304">
        <f t="shared" ca="1" si="442"/>
        <v>47.136800000001593</v>
      </c>
      <c r="D966" s="306">
        <f t="shared" ca="1" si="443"/>
        <v>-0.32105737900935022</v>
      </c>
      <c r="E966" s="307">
        <f t="shared" ca="1" si="444"/>
        <v>-4.6102802579095936E-2</v>
      </c>
      <c r="F966" s="304">
        <f t="shared" ca="1" si="445"/>
        <v>0.3243505958403663</v>
      </c>
      <c r="G966" s="306">
        <f t="shared" ca="1" si="446"/>
        <v>4.0292195584101602</v>
      </c>
      <c r="H966" s="307">
        <f t="shared" ca="1" si="447"/>
        <v>-122.5363535727907</v>
      </c>
      <c r="I966" s="304">
        <f t="shared" ca="1" si="448"/>
        <v>122.60257973291529</v>
      </c>
      <c r="J966" s="306">
        <f t="shared" ca="1" si="449"/>
        <v>677.64536374242232</v>
      </c>
      <c r="K966" s="307">
        <f t="shared" ca="1" si="450"/>
        <v>-14.202968239987518</v>
      </c>
      <c r="L966" s="304">
        <f t="shared" ca="1" si="435"/>
        <v>677.79418949148999</v>
      </c>
      <c r="M966" s="306">
        <f t="shared" ca="1" si="451"/>
        <v>-1.5379263397930147</v>
      </c>
      <c r="N966" s="304">
        <f t="shared" ca="1" si="452"/>
        <v>-88.1166884721423</v>
      </c>
      <c r="P966" s="310">
        <f t="shared" ca="1" si="453"/>
        <v>23</v>
      </c>
      <c r="Q966" s="304">
        <f t="shared" ca="1" si="454"/>
        <v>0</v>
      </c>
      <c r="R966" s="306">
        <f t="shared" ca="1" si="455"/>
        <v>0</v>
      </c>
      <c r="S966" s="307">
        <f t="shared" ca="1" si="456"/>
        <v>2.0842999999999985</v>
      </c>
      <c r="T966" s="304">
        <f t="shared" ca="1" si="436"/>
        <v>20.446982999999985</v>
      </c>
      <c r="U966" s="311">
        <f t="shared" ca="1" si="437"/>
        <v>0</v>
      </c>
      <c r="V966" s="306">
        <f t="shared" ca="1" si="438"/>
        <v>1.2267411000488333</v>
      </c>
      <c r="W966" s="304">
        <f t="shared" ca="1" si="439"/>
        <v>20.361916104944136</v>
      </c>
      <c r="Y966" s="314" t="str">
        <f t="shared" ca="1" si="457"/>
        <v/>
      </c>
      <c r="Z966" s="315" t="str">
        <f t="shared" ca="1" si="458"/>
        <v/>
      </c>
      <c r="AA966" s="316" t="str">
        <f t="shared" ca="1" si="459"/>
        <v/>
      </c>
      <c r="AC966" s="310" t="e">
        <f t="shared" ca="1" si="460"/>
        <v>#N/A</v>
      </c>
      <c r="AD966" s="323" t="e">
        <f t="shared" ca="1" si="461"/>
        <v>#N/A</v>
      </c>
      <c r="AE966" s="324" t="e">
        <f t="shared" ca="1" si="440"/>
        <v>#N/A</v>
      </c>
      <c r="AG966" s="306">
        <f t="shared" ca="1" si="462"/>
        <v>3.5526562834354181E-2</v>
      </c>
      <c r="AH966" s="304">
        <f t="shared" ca="1" si="463"/>
        <v>-9.7691742907177233</v>
      </c>
    </row>
    <row r="967" spans="1:34" x14ac:dyDescent="0.25">
      <c r="A967" s="347">
        <f t="shared" ca="1" si="441"/>
        <v>1E-4</v>
      </c>
      <c r="B967" s="304">
        <f t="shared" ca="1" si="442"/>
        <v>47.136900000001596</v>
      </c>
      <c r="D967" s="306">
        <f t="shared" ca="1" si="443"/>
        <v>-0.32105522348404775</v>
      </c>
      <c r="E967" s="307">
        <f t="shared" ca="1" si="444"/>
        <v>-4.6090187957972262E-2</v>
      </c>
      <c r="F967" s="304">
        <f t="shared" ca="1" si="445"/>
        <v>0.32434666940234341</v>
      </c>
      <c r="G967" s="306">
        <f t="shared" ca="1" si="446"/>
        <v>4.029187452887812</v>
      </c>
      <c r="H967" s="307">
        <f t="shared" ca="1" si="447"/>
        <v>-122.5363581818095</v>
      </c>
      <c r="I967" s="304">
        <f t="shared" ca="1" si="448"/>
        <v>122.60258328433061</v>
      </c>
      <c r="J967" s="306">
        <f t="shared" ca="1" si="449"/>
        <v>677.64536374242232</v>
      </c>
      <c r="K967" s="307">
        <f t="shared" ca="1" si="450"/>
        <v>-14.215221875575248</v>
      </c>
      <c r="L967" s="304">
        <f t="shared" ca="1" si="435"/>
        <v>677.79444637336155</v>
      </c>
      <c r="M967" s="306">
        <f t="shared" ca="1" si="451"/>
        <v>-1.5379266027536325</v>
      </c>
      <c r="N967" s="304">
        <f t="shared" ca="1" si="452"/>
        <v>-88.116703538675864</v>
      </c>
      <c r="P967" s="310">
        <f t="shared" ca="1" si="453"/>
        <v>23</v>
      </c>
      <c r="Q967" s="304">
        <f t="shared" ca="1" si="454"/>
        <v>0</v>
      </c>
      <c r="R967" s="306">
        <f t="shared" ca="1" si="455"/>
        <v>0</v>
      </c>
      <c r="S967" s="307">
        <f t="shared" ca="1" si="456"/>
        <v>2.0842999999999985</v>
      </c>
      <c r="T967" s="304">
        <f t="shared" ca="1" si="436"/>
        <v>20.446982999999985</v>
      </c>
      <c r="U967" s="311">
        <f t="shared" ca="1" si="437"/>
        <v>0</v>
      </c>
      <c r="V967" s="306">
        <f t="shared" ca="1" si="438"/>
        <v>1.2267426032543534</v>
      </c>
      <c r="W967" s="304">
        <f t="shared" ca="1" si="439"/>
        <v>20.36194223536619</v>
      </c>
      <c r="Y967" s="314" t="str">
        <f t="shared" ca="1" si="457"/>
        <v/>
      </c>
      <c r="Z967" s="315" t="str">
        <f t="shared" ca="1" si="458"/>
        <v/>
      </c>
      <c r="AA967" s="316" t="str">
        <f t="shared" ca="1" si="459"/>
        <v/>
      </c>
      <c r="AC967" s="310" t="e">
        <f t="shared" ca="1" si="460"/>
        <v>#N/A</v>
      </c>
      <c r="AD967" s="323" t="e">
        <f t="shared" ca="1" si="461"/>
        <v>#N/A</v>
      </c>
      <c r="AE967" s="324" t="e">
        <f t="shared" ca="1" si="440"/>
        <v>#N/A</v>
      </c>
      <c r="AG967" s="306">
        <f t="shared" ca="1" si="462"/>
        <v>3.5514110645534558E-2</v>
      </c>
      <c r="AH967" s="304">
        <f t="shared" ca="1" si="463"/>
        <v>-9.7691868276851466</v>
      </c>
    </row>
    <row r="968" spans="1:34" x14ac:dyDescent="0.25">
      <c r="A968" s="347">
        <f t="shared" ca="1" si="441"/>
        <v>1E-4</v>
      </c>
      <c r="B968" s="304">
        <f t="shared" ca="1" si="442"/>
        <v>47.137000000001599</v>
      </c>
      <c r="D968" s="306">
        <f t="shared" ca="1" si="443"/>
        <v>-0.32105306796676214</v>
      </c>
      <c r="E968" s="307">
        <f t="shared" ca="1" si="444"/>
        <v>-4.6077573519792026E-2</v>
      </c>
      <c r="F968" s="304">
        <f t="shared" ca="1" si="445"/>
        <v>0.32434274345565717</v>
      </c>
      <c r="G968" s="306">
        <f t="shared" ca="1" si="446"/>
        <v>4.0291553475810149</v>
      </c>
      <c r="H968" s="307">
        <f t="shared" ca="1" si="447"/>
        <v>-122.53636278956685</v>
      </c>
      <c r="I968" s="304">
        <f t="shared" ca="1" si="448"/>
        <v>122.6025868345007</v>
      </c>
      <c r="J968" s="306">
        <f t="shared" ca="1" si="449"/>
        <v>677.64536374242232</v>
      </c>
      <c r="K968" s="307">
        <f t="shared" ca="1" si="450"/>
        <v>-14.227475511623817</v>
      </c>
      <c r="L968" s="304">
        <f t="shared" ca="1" si="435"/>
        <v>677.79470347667495</v>
      </c>
      <c r="M968" s="306">
        <f t="shared" ca="1" si="451"/>
        <v>-1.5379268657121397</v>
      </c>
      <c r="N968" s="304">
        <f t="shared" ca="1" si="452"/>
        <v>-88.116718605088522</v>
      </c>
      <c r="P968" s="310">
        <f t="shared" ca="1" si="453"/>
        <v>23</v>
      </c>
      <c r="Q968" s="304">
        <f t="shared" ca="1" si="454"/>
        <v>0</v>
      </c>
      <c r="R968" s="306">
        <f t="shared" ca="1" si="455"/>
        <v>0</v>
      </c>
      <c r="S968" s="307">
        <f t="shared" ca="1" si="456"/>
        <v>2.0842999999999985</v>
      </c>
      <c r="T968" s="304">
        <f t="shared" ca="1" si="436"/>
        <v>20.446982999999985</v>
      </c>
      <c r="U968" s="311">
        <f t="shared" ca="1" si="437"/>
        <v>0</v>
      </c>
      <c r="V968" s="306">
        <f t="shared" ca="1" si="438"/>
        <v>1.2267441064617726</v>
      </c>
      <c r="W968" s="304">
        <f t="shared" ca="1" si="439"/>
        <v>20.361968365409084</v>
      </c>
      <c r="Y968" s="314" t="str">
        <f t="shared" ca="1" si="457"/>
        <v/>
      </c>
      <c r="Z968" s="315" t="str">
        <f t="shared" ca="1" si="458"/>
        <v/>
      </c>
      <c r="AA968" s="316" t="str">
        <f t="shared" ca="1" si="459"/>
        <v/>
      </c>
      <c r="AC968" s="310" t="e">
        <f t="shared" ca="1" si="460"/>
        <v>#N/A</v>
      </c>
      <c r="AD968" s="323" t="e">
        <f t="shared" ca="1" si="461"/>
        <v>#N/A</v>
      </c>
      <c r="AE968" s="324" t="e">
        <f t="shared" ca="1" si="440"/>
        <v>#N/A</v>
      </c>
      <c r="AG968" s="306">
        <f t="shared" ca="1" si="462"/>
        <v>3.5501658637265621E-2</v>
      </c>
      <c r="AH968" s="304">
        <f t="shared" ca="1" si="463"/>
        <v>-9.7691993644706638</v>
      </c>
    </row>
    <row r="969" spans="1:34" x14ac:dyDescent="0.25">
      <c r="A969" s="347">
        <f t="shared" ca="1" si="441"/>
        <v>1E-4</v>
      </c>
      <c r="B969" s="304">
        <f t="shared" ca="1" si="442"/>
        <v>47.137100000001602</v>
      </c>
      <c r="D969" s="306">
        <f t="shared" ca="1" si="443"/>
        <v>-0.32105091245749334</v>
      </c>
      <c r="E969" s="307">
        <f t="shared" ca="1" si="444"/>
        <v>-4.6064959264564109E-2</v>
      </c>
      <c r="F969" s="304">
        <f t="shared" ca="1" si="445"/>
        <v>0.32433881800030506</v>
      </c>
      <c r="G969" s="306">
        <f t="shared" ca="1" si="446"/>
        <v>4.0291232424897689</v>
      </c>
      <c r="H969" s="307">
        <f t="shared" ca="1" si="447"/>
        <v>-122.53636739606277</v>
      </c>
      <c r="I969" s="304">
        <f t="shared" ca="1" si="448"/>
        <v>122.60259038342562</v>
      </c>
      <c r="J969" s="306">
        <f t="shared" ca="1" si="449"/>
        <v>677.64536374242232</v>
      </c>
      <c r="K969" s="307">
        <f t="shared" ca="1" si="450"/>
        <v>-14.239729148133099</v>
      </c>
      <c r="L969" s="304">
        <f t="shared" ca="1" si="435"/>
        <v>677.79496080142997</v>
      </c>
      <c r="M969" s="306">
        <f t="shared" ca="1" si="451"/>
        <v>-1.5379271286685363</v>
      </c>
      <c r="N969" s="304">
        <f t="shared" ca="1" si="452"/>
        <v>-88.116733671380246</v>
      </c>
      <c r="P969" s="310">
        <f t="shared" ca="1" si="453"/>
        <v>23</v>
      </c>
      <c r="Q969" s="304">
        <f t="shared" ca="1" si="454"/>
        <v>0</v>
      </c>
      <c r="R969" s="306">
        <f t="shared" ca="1" si="455"/>
        <v>0</v>
      </c>
      <c r="S969" s="307">
        <f t="shared" ca="1" si="456"/>
        <v>2.0842999999999985</v>
      </c>
      <c r="T969" s="304">
        <f t="shared" ca="1" si="436"/>
        <v>20.446982999999985</v>
      </c>
      <c r="U969" s="311">
        <f t="shared" ca="1" si="437"/>
        <v>0</v>
      </c>
      <c r="V969" s="306">
        <f t="shared" ca="1" si="438"/>
        <v>1.226745609671092</v>
      </c>
      <c r="W969" s="304">
        <f t="shared" ca="1" si="439"/>
        <v>20.361994495072835</v>
      </c>
      <c r="Y969" s="314" t="str">
        <f t="shared" ca="1" si="457"/>
        <v/>
      </c>
      <c r="Z969" s="315" t="str">
        <f t="shared" ca="1" si="458"/>
        <v/>
      </c>
      <c r="AA969" s="316" t="str">
        <f t="shared" ca="1" si="459"/>
        <v/>
      </c>
      <c r="AC969" s="310" t="e">
        <f t="shared" ca="1" si="460"/>
        <v>#N/A</v>
      </c>
      <c r="AD969" s="323" t="e">
        <f t="shared" ca="1" si="461"/>
        <v>#N/A</v>
      </c>
      <c r="AE969" s="324" t="e">
        <f t="shared" ca="1" si="440"/>
        <v>#N/A</v>
      </c>
      <c r="AG969" s="306">
        <f t="shared" ca="1" si="462"/>
        <v>3.5489206809549145E-2</v>
      </c>
      <c r="AH969" s="304">
        <f t="shared" ca="1" si="463"/>
        <v>-9.769211901074268</v>
      </c>
    </row>
    <row r="970" spans="1:34" x14ac:dyDescent="0.25">
      <c r="A970" s="347">
        <f t="shared" ca="1" si="441"/>
        <v>1E-4</v>
      </c>
      <c r="B970" s="304">
        <f t="shared" ca="1" si="442"/>
        <v>47.137200000001606</v>
      </c>
      <c r="D970" s="306">
        <f t="shared" ca="1" si="443"/>
        <v>-0.32104875695624185</v>
      </c>
      <c r="E970" s="307">
        <f t="shared" ca="1" si="444"/>
        <v>-4.6052345192274302E-2</v>
      </c>
      <c r="F970" s="304">
        <f t="shared" ca="1" si="445"/>
        <v>0.32433489303628193</v>
      </c>
      <c r="G970" s="306">
        <f t="shared" ca="1" si="446"/>
        <v>4.0290911376140732</v>
      </c>
      <c r="H970" s="307">
        <f t="shared" ca="1" si="447"/>
        <v>-122.53637200129729</v>
      </c>
      <c r="I970" s="304">
        <f t="shared" ca="1" si="448"/>
        <v>122.60259393110537</v>
      </c>
      <c r="J970" s="306">
        <f t="shared" ca="1" si="449"/>
        <v>677.64536374242232</v>
      </c>
      <c r="K970" s="307">
        <f t="shared" ca="1" si="450"/>
        <v>-14.251982785102967</v>
      </c>
      <c r="L970" s="304">
        <f t="shared" ca="1" si="435"/>
        <v>677.79521834762647</v>
      </c>
      <c r="M970" s="306">
        <f t="shared" ca="1" si="451"/>
        <v>-1.5379273916228224</v>
      </c>
      <c r="N970" s="304">
        <f t="shared" ca="1" si="452"/>
        <v>-88.116748737551049</v>
      </c>
      <c r="P970" s="310">
        <f t="shared" ca="1" si="453"/>
        <v>23</v>
      </c>
      <c r="Q970" s="304">
        <f t="shared" ca="1" si="454"/>
        <v>0</v>
      </c>
      <c r="R970" s="306">
        <f t="shared" ca="1" si="455"/>
        <v>0</v>
      </c>
      <c r="S970" s="307">
        <f t="shared" ca="1" si="456"/>
        <v>2.0842999999999985</v>
      </c>
      <c r="T970" s="304">
        <f t="shared" ca="1" si="436"/>
        <v>20.446982999999985</v>
      </c>
      <c r="U970" s="311">
        <f t="shared" ca="1" si="437"/>
        <v>0</v>
      </c>
      <c r="V970" s="306">
        <f t="shared" ca="1" si="438"/>
        <v>1.2267471128823113</v>
      </c>
      <c r="W970" s="304">
        <f t="shared" ca="1" si="439"/>
        <v>20.362020624357445</v>
      </c>
      <c r="Y970" s="314" t="str">
        <f t="shared" ca="1" si="457"/>
        <v/>
      </c>
      <c r="Z970" s="315" t="str">
        <f t="shared" ca="1" si="458"/>
        <v/>
      </c>
      <c r="AA970" s="316" t="str">
        <f t="shared" ca="1" si="459"/>
        <v/>
      </c>
      <c r="AC970" s="310" t="e">
        <f t="shared" ca="1" si="460"/>
        <v>#N/A</v>
      </c>
      <c r="AD970" s="323" t="e">
        <f t="shared" ca="1" si="461"/>
        <v>#N/A</v>
      </c>
      <c r="AE970" s="324" t="e">
        <f t="shared" ca="1" si="440"/>
        <v>#N/A</v>
      </c>
      <c r="AG970" s="306">
        <f t="shared" ca="1" si="462"/>
        <v>3.547675516237625E-2</v>
      </c>
      <c r="AH970" s="304">
        <f t="shared" ca="1" si="463"/>
        <v>-9.7692244374959696</v>
      </c>
    </row>
    <row r="971" spans="1:34" x14ac:dyDescent="0.25">
      <c r="A971" s="347">
        <f t="shared" ca="1" si="441"/>
        <v>1E-4</v>
      </c>
      <c r="B971" s="304">
        <f t="shared" ca="1" si="442"/>
        <v>47.137300000001609</v>
      </c>
      <c r="D971" s="306">
        <f t="shared" ca="1" si="443"/>
        <v>-0.32104660146300795</v>
      </c>
      <c r="E971" s="307">
        <f t="shared" ca="1" si="444"/>
        <v>-4.6039731302927933E-2</v>
      </c>
      <c r="F971" s="304">
        <f t="shared" ca="1" si="445"/>
        <v>0.32433096856358512</v>
      </c>
      <c r="G971" s="306">
        <f t="shared" ca="1" si="446"/>
        <v>4.0290590329539269</v>
      </c>
      <c r="H971" s="307">
        <f t="shared" ca="1" si="447"/>
        <v>-122.53637660527042</v>
      </c>
      <c r="I971" s="304">
        <f t="shared" ca="1" si="448"/>
        <v>122.60259747753997</v>
      </c>
      <c r="J971" s="306">
        <f t="shared" ca="1" si="449"/>
        <v>677.64536374242232</v>
      </c>
      <c r="K971" s="307">
        <f t="shared" ca="1" si="450"/>
        <v>-14.264236422533296</v>
      </c>
      <c r="L971" s="304">
        <f t="shared" ca="1" si="435"/>
        <v>677.79547611526425</v>
      </c>
      <c r="M971" s="306">
        <f t="shared" ca="1" si="451"/>
        <v>-1.5379276545749982</v>
      </c>
      <c r="N971" s="304">
        <f t="shared" ca="1" si="452"/>
        <v>-88.116763803600932</v>
      </c>
      <c r="P971" s="310">
        <f t="shared" ca="1" si="453"/>
        <v>23</v>
      </c>
      <c r="Q971" s="304">
        <f t="shared" ca="1" si="454"/>
        <v>0</v>
      </c>
      <c r="R971" s="306">
        <f t="shared" ca="1" si="455"/>
        <v>0</v>
      </c>
      <c r="S971" s="307">
        <f t="shared" ca="1" si="456"/>
        <v>2.0842999999999985</v>
      </c>
      <c r="T971" s="304">
        <f t="shared" ca="1" si="436"/>
        <v>20.446982999999985</v>
      </c>
      <c r="U971" s="311">
        <f t="shared" ca="1" si="437"/>
        <v>0</v>
      </c>
      <c r="V971" s="306">
        <f t="shared" ca="1" si="438"/>
        <v>1.2267486160954302</v>
      </c>
      <c r="W971" s="304">
        <f t="shared" ca="1" si="439"/>
        <v>20.362046753262916</v>
      </c>
      <c r="Y971" s="314" t="str">
        <f t="shared" ca="1" si="457"/>
        <v/>
      </c>
      <c r="Z971" s="315" t="str">
        <f t="shared" ca="1" si="458"/>
        <v/>
      </c>
      <c r="AA971" s="316" t="str">
        <f t="shared" ca="1" si="459"/>
        <v/>
      </c>
      <c r="AC971" s="310" t="e">
        <f t="shared" ca="1" si="460"/>
        <v>#N/A</v>
      </c>
      <c r="AD971" s="323" t="e">
        <f t="shared" ca="1" si="461"/>
        <v>#N/A</v>
      </c>
      <c r="AE971" s="324" t="e">
        <f t="shared" ca="1" si="440"/>
        <v>#N/A</v>
      </c>
      <c r="AG971" s="306">
        <f t="shared" ca="1" si="462"/>
        <v>3.5464303695750488E-2</v>
      </c>
      <c r="AH971" s="304">
        <f t="shared" ca="1" si="463"/>
        <v>-9.7692369737357669</v>
      </c>
    </row>
    <row r="972" spans="1:34" x14ac:dyDescent="0.25">
      <c r="A972" s="347">
        <f t="shared" ca="1" si="441"/>
        <v>1E-4</v>
      </c>
      <c r="B972" s="304">
        <f t="shared" ca="1" si="442"/>
        <v>47.137400000001612</v>
      </c>
      <c r="D972" s="306">
        <f t="shared" ca="1" si="443"/>
        <v>-0.32104444597778964</v>
      </c>
      <c r="E972" s="307">
        <f t="shared" ca="1" si="444"/>
        <v>-4.6027117596519673E-2</v>
      </c>
      <c r="F972" s="304">
        <f t="shared" ca="1" si="445"/>
        <v>0.32432704458220835</v>
      </c>
      <c r="G972" s="306">
        <f t="shared" ca="1" si="446"/>
        <v>4.029026928509329</v>
      </c>
      <c r="H972" s="307">
        <f t="shared" ca="1" si="447"/>
        <v>-122.53638120798217</v>
      </c>
      <c r="I972" s="304">
        <f t="shared" ca="1" si="448"/>
        <v>122.60260102272946</v>
      </c>
      <c r="J972" s="306">
        <f t="shared" ca="1" si="449"/>
        <v>677.64536374242232</v>
      </c>
      <c r="K972" s="307">
        <f t="shared" ca="1" si="450"/>
        <v>-14.276490060423958</v>
      </c>
      <c r="L972" s="304">
        <f t="shared" ca="1" si="435"/>
        <v>677.79573410434296</v>
      </c>
      <c r="M972" s="306">
        <f t="shared" ca="1" si="451"/>
        <v>-1.5379279175250633</v>
      </c>
      <c r="N972" s="304">
        <f t="shared" ca="1" si="452"/>
        <v>-88.116778869529881</v>
      </c>
      <c r="P972" s="310">
        <f t="shared" ca="1" si="453"/>
        <v>23</v>
      </c>
      <c r="Q972" s="304">
        <f t="shared" ca="1" si="454"/>
        <v>0</v>
      </c>
      <c r="R972" s="306">
        <f t="shared" ca="1" si="455"/>
        <v>0</v>
      </c>
      <c r="S972" s="307">
        <f t="shared" ca="1" si="456"/>
        <v>2.0842999999999985</v>
      </c>
      <c r="T972" s="304">
        <f t="shared" ca="1" si="436"/>
        <v>20.446982999999985</v>
      </c>
      <c r="U972" s="311">
        <f t="shared" ca="1" si="437"/>
        <v>0</v>
      </c>
      <c r="V972" s="306">
        <f t="shared" ca="1" si="438"/>
        <v>1.2267501193104491</v>
      </c>
      <c r="W972" s="304">
        <f t="shared" ca="1" si="439"/>
        <v>20.362072881789267</v>
      </c>
      <c r="Y972" s="314" t="str">
        <f t="shared" ca="1" si="457"/>
        <v/>
      </c>
      <c r="Z972" s="315" t="str">
        <f t="shared" ca="1" si="458"/>
        <v/>
      </c>
      <c r="AA972" s="316" t="str">
        <f t="shared" ca="1" si="459"/>
        <v/>
      </c>
      <c r="AC972" s="310" t="e">
        <f t="shared" ca="1" si="460"/>
        <v>#N/A</v>
      </c>
      <c r="AD972" s="323" t="e">
        <f t="shared" ca="1" si="461"/>
        <v>#N/A</v>
      </c>
      <c r="AE972" s="324" t="e">
        <f t="shared" ca="1" si="440"/>
        <v>#N/A</v>
      </c>
      <c r="AG972" s="306">
        <f t="shared" ca="1" si="462"/>
        <v>3.5451852409670082E-2</v>
      </c>
      <c r="AH972" s="304">
        <f t="shared" ca="1" si="463"/>
        <v>-9.7692495097936618</v>
      </c>
    </row>
    <row r="973" spans="1:34" x14ac:dyDescent="0.25">
      <c r="A973" s="347">
        <f t="shared" ca="1" si="441"/>
        <v>1E-4</v>
      </c>
      <c r="B973" s="304">
        <f t="shared" ca="1" si="442"/>
        <v>47.137500000001616</v>
      </c>
      <c r="D973" s="306">
        <f t="shared" ca="1" si="443"/>
        <v>-0.32104229050059196</v>
      </c>
      <c r="E973" s="307">
        <f t="shared" ca="1" si="444"/>
        <v>-4.6014504073044193E-2</v>
      </c>
      <c r="F973" s="304">
        <f t="shared" ca="1" si="445"/>
        <v>0.324323121092152</v>
      </c>
      <c r="G973" s="306">
        <f t="shared" ca="1" si="446"/>
        <v>4.0289948242802787</v>
      </c>
      <c r="H973" s="307">
        <f t="shared" ca="1" si="447"/>
        <v>-122.53638580943259</v>
      </c>
      <c r="I973" s="304">
        <f t="shared" ca="1" si="448"/>
        <v>122.60260456667382</v>
      </c>
      <c r="J973" s="306">
        <f t="shared" ca="1" si="449"/>
        <v>677.64536374242232</v>
      </c>
      <c r="K973" s="307">
        <f t="shared" ca="1" si="450"/>
        <v>-14.288743698774828</v>
      </c>
      <c r="L973" s="304">
        <f t="shared" ca="1" si="435"/>
        <v>677.79599231486247</v>
      </c>
      <c r="M973" s="306">
        <f t="shared" ca="1" si="451"/>
        <v>-1.537928180473018</v>
      </c>
      <c r="N973" s="304">
        <f t="shared" ca="1" si="452"/>
        <v>-88.116793935337924</v>
      </c>
      <c r="P973" s="310">
        <f t="shared" ca="1" si="453"/>
        <v>23</v>
      </c>
      <c r="Q973" s="304">
        <f t="shared" ca="1" si="454"/>
        <v>0</v>
      </c>
      <c r="R973" s="306">
        <f t="shared" ca="1" si="455"/>
        <v>0</v>
      </c>
      <c r="S973" s="307">
        <f t="shared" ca="1" si="456"/>
        <v>2.0842999999999985</v>
      </c>
      <c r="T973" s="304">
        <f t="shared" ca="1" si="436"/>
        <v>20.446982999999985</v>
      </c>
      <c r="U973" s="311">
        <f t="shared" ca="1" si="437"/>
        <v>0</v>
      </c>
      <c r="V973" s="306">
        <f t="shared" ca="1" si="438"/>
        <v>1.2267516225273674</v>
      </c>
      <c r="W973" s="304">
        <f t="shared" ca="1" si="439"/>
        <v>20.362099009936472</v>
      </c>
      <c r="Y973" s="314" t="str">
        <f t="shared" ca="1" si="457"/>
        <v/>
      </c>
      <c r="Z973" s="315" t="str">
        <f t="shared" ca="1" si="458"/>
        <v/>
      </c>
      <c r="AA973" s="316" t="str">
        <f t="shared" ca="1" si="459"/>
        <v/>
      </c>
      <c r="AC973" s="310" t="e">
        <f t="shared" ca="1" si="460"/>
        <v>#N/A</v>
      </c>
      <c r="AD973" s="323" t="e">
        <f t="shared" ca="1" si="461"/>
        <v>#N/A</v>
      </c>
      <c r="AE973" s="324" t="e">
        <f t="shared" ca="1" si="440"/>
        <v>#N/A</v>
      </c>
      <c r="AG973" s="306">
        <f t="shared" ca="1" si="462"/>
        <v>3.5439401304120821E-2</v>
      </c>
      <c r="AH973" s="304">
        <f t="shared" ca="1" si="463"/>
        <v>-9.7692620456696648</v>
      </c>
    </row>
    <row r="974" spans="1:34" x14ac:dyDescent="0.25">
      <c r="A974" s="347">
        <f t="shared" ca="1" si="441"/>
        <v>1E-4</v>
      </c>
      <c r="B974" s="304">
        <f t="shared" ca="1" si="442"/>
        <v>47.137600000001619</v>
      </c>
      <c r="D974" s="306">
        <f t="shared" ca="1" si="443"/>
        <v>-0.32104013503141021</v>
      </c>
      <c r="E974" s="307">
        <f t="shared" ca="1" si="444"/>
        <v>-4.6001890732512152E-2</v>
      </c>
      <c r="F974" s="304">
        <f t="shared" ca="1" si="445"/>
        <v>0.32431919809340931</v>
      </c>
      <c r="G974" s="306">
        <f t="shared" ca="1" si="446"/>
        <v>4.0289627202667759</v>
      </c>
      <c r="H974" s="307">
        <f t="shared" ca="1" si="447"/>
        <v>-122.53639040962166</v>
      </c>
      <c r="I974" s="304">
        <f t="shared" ca="1" si="448"/>
        <v>122.60260810937309</v>
      </c>
      <c r="J974" s="306">
        <f t="shared" ca="1" si="449"/>
        <v>677.64536374242232</v>
      </c>
      <c r="K974" s="307">
        <f t="shared" ca="1" si="450"/>
        <v>-14.30099733758578</v>
      </c>
      <c r="L974" s="304">
        <f t="shared" ca="1" si="435"/>
        <v>677.79625074682247</v>
      </c>
      <c r="M974" s="306">
        <f t="shared" ca="1" si="451"/>
        <v>-1.5379284434188625</v>
      </c>
      <c r="N974" s="304">
        <f t="shared" ca="1" si="452"/>
        <v>-88.116809001025047</v>
      </c>
      <c r="P974" s="310">
        <f t="shared" ca="1" si="453"/>
        <v>23</v>
      </c>
      <c r="Q974" s="304">
        <f t="shared" ca="1" si="454"/>
        <v>0</v>
      </c>
      <c r="R974" s="306">
        <f t="shared" ca="1" si="455"/>
        <v>0</v>
      </c>
      <c r="S974" s="307">
        <f t="shared" ca="1" si="456"/>
        <v>2.0842999999999985</v>
      </c>
      <c r="T974" s="304">
        <f t="shared" ca="1" si="436"/>
        <v>20.446982999999985</v>
      </c>
      <c r="U974" s="311">
        <f t="shared" ca="1" si="437"/>
        <v>0</v>
      </c>
      <c r="V974" s="306">
        <f t="shared" ca="1" si="438"/>
        <v>1.2267531257461857</v>
      </c>
      <c r="W974" s="304">
        <f t="shared" ca="1" si="439"/>
        <v>20.36212513770456</v>
      </c>
      <c r="Y974" s="314" t="str">
        <f t="shared" ca="1" si="457"/>
        <v/>
      </c>
      <c r="Z974" s="315" t="str">
        <f t="shared" ca="1" si="458"/>
        <v/>
      </c>
      <c r="AA974" s="316" t="str">
        <f t="shared" ca="1" si="459"/>
        <v/>
      </c>
      <c r="AC974" s="310" t="e">
        <f t="shared" ca="1" si="460"/>
        <v>#N/A</v>
      </c>
      <c r="AD974" s="323" t="e">
        <f t="shared" ca="1" si="461"/>
        <v>#N/A</v>
      </c>
      <c r="AE974" s="324" t="e">
        <f t="shared" ca="1" si="440"/>
        <v>#N/A</v>
      </c>
      <c r="AG974" s="306">
        <f t="shared" ca="1" si="462"/>
        <v>3.5426950379122246E-2</v>
      </c>
      <c r="AH974" s="304">
        <f t="shared" ca="1" si="463"/>
        <v>-9.76927458136376</v>
      </c>
    </row>
    <row r="975" spans="1:34" x14ac:dyDescent="0.25">
      <c r="A975" s="347">
        <f t="shared" ca="1" si="441"/>
        <v>1E-4</v>
      </c>
      <c r="B975" s="304">
        <f t="shared" ca="1" si="442"/>
        <v>47.137700000001622</v>
      </c>
      <c r="D975" s="306">
        <f t="shared" ca="1" si="443"/>
        <v>-0.32103797957024521</v>
      </c>
      <c r="E975" s="307">
        <f t="shared" ca="1" si="444"/>
        <v>-4.5989277574907561E-2</v>
      </c>
      <c r="F975" s="304">
        <f t="shared" ca="1" si="445"/>
        <v>0.32431527558597528</v>
      </c>
      <c r="G975" s="306">
        <f t="shared" ca="1" si="446"/>
        <v>4.028930616468819</v>
      </c>
      <c r="H975" s="307">
        <f t="shared" ca="1" si="447"/>
        <v>-122.53639500854942</v>
      </c>
      <c r="I975" s="304">
        <f t="shared" ca="1" si="448"/>
        <v>122.6026116508273</v>
      </c>
      <c r="J975" s="306">
        <f t="shared" ca="1" si="449"/>
        <v>677.64536374242232</v>
      </c>
      <c r="K975" s="307">
        <f t="shared" ca="1" si="450"/>
        <v>-14.31325097685669</v>
      </c>
      <c r="L975" s="304">
        <f t="shared" ca="1" si="435"/>
        <v>677.79650940022282</v>
      </c>
      <c r="M975" s="306">
        <f t="shared" ca="1" si="451"/>
        <v>-1.5379287063625964</v>
      </c>
      <c r="N975" s="304">
        <f t="shared" ca="1" si="452"/>
        <v>-88.116824066591249</v>
      </c>
      <c r="P975" s="310">
        <f t="shared" ca="1" si="453"/>
        <v>23</v>
      </c>
      <c r="Q975" s="304">
        <f t="shared" ca="1" si="454"/>
        <v>0</v>
      </c>
      <c r="R975" s="306">
        <f t="shared" ca="1" si="455"/>
        <v>0</v>
      </c>
      <c r="S975" s="307">
        <f t="shared" ca="1" si="456"/>
        <v>2.0842999999999985</v>
      </c>
      <c r="T975" s="304">
        <f t="shared" ca="1" si="436"/>
        <v>20.446982999999985</v>
      </c>
      <c r="U975" s="311">
        <f t="shared" ca="1" si="437"/>
        <v>0</v>
      </c>
      <c r="V975" s="306">
        <f t="shared" ca="1" si="438"/>
        <v>1.226754628966904</v>
      </c>
      <c r="W975" s="304">
        <f t="shared" ca="1" si="439"/>
        <v>20.362151265093541</v>
      </c>
      <c r="Y975" s="314" t="str">
        <f t="shared" ca="1" si="457"/>
        <v/>
      </c>
      <c r="Z975" s="315" t="str">
        <f t="shared" ca="1" si="458"/>
        <v/>
      </c>
      <c r="AA975" s="316" t="str">
        <f t="shared" ca="1" si="459"/>
        <v/>
      </c>
      <c r="AC975" s="310" t="e">
        <f t="shared" ca="1" si="460"/>
        <v>#N/A</v>
      </c>
      <c r="AD975" s="323" t="e">
        <f t="shared" ca="1" si="461"/>
        <v>#N/A</v>
      </c>
      <c r="AE975" s="324" t="e">
        <f t="shared" ca="1" si="440"/>
        <v>#N/A</v>
      </c>
      <c r="AG975" s="306">
        <f t="shared" ca="1" si="462"/>
        <v>3.5414499634654817E-2</v>
      </c>
      <c r="AH975" s="304">
        <f t="shared" ca="1" si="463"/>
        <v>-9.7692871168759652</v>
      </c>
    </row>
    <row r="976" spans="1:34" x14ac:dyDescent="0.25">
      <c r="A976" s="347">
        <f t="shared" ca="1" si="441"/>
        <v>1E-4</v>
      </c>
      <c r="B976" s="304">
        <f t="shared" ca="1" si="442"/>
        <v>47.137800000001626</v>
      </c>
      <c r="D976" s="306">
        <f t="shared" ca="1" si="443"/>
        <v>-0.32103582411709941</v>
      </c>
      <c r="E976" s="307">
        <f t="shared" ca="1" si="444"/>
        <v>-4.5976664600228645E-2</v>
      </c>
      <c r="F976" s="304">
        <f t="shared" ca="1" si="445"/>
        <v>0.32431135356984819</v>
      </c>
      <c r="G976" s="306">
        <f t="shared" ca="1" si="446"/>
        <v>4.028898512886407</v>
      </c>
      <c r="H976" s="307">
        <f t="shared" ca="1" si="447"/>
        <v>-122.53639960621588</v>
      </c>
      <c r="I976" s="304">
        <f t="shared" ca="1" si="448"/>
        <v>122.60261519103645</v>
      </c>
      <c r="J976" s="306">
        <f t="shared" ca="1" si="449"/>
        <v>677.64536374242232</v>
      </c>
      <c r="K976" s="307">
        <f t="shared" ca="1" si="450"/>
        <v>-14.325504616587429</v>
      </c>
      <c r="L976" s="304">
        <f t="shared" ca="1" si="435"/>
        <v>677.79676827506319</v>
      </c>
      <c r="M976" s="306">
        <f t="shared" ca="1" si="451"/>
        <v>-1.53792896930422</v>
      </c>
      <c r="N976" s="304">
        <f t="shared" ca="1" si="452"/>
        <v>-88.116839132036532</v>
      </c>
      <c r="P976" s="310">
        <f t="shared" ca="1" si="453"/>
        <v>23</v>
      </c>
      <c r="Q976" s="304">
        <f t="shared" ca="1" si="454"/>
        <v>0</v>
      </c>
      <c r="R976" s="306">
        <f t="shared" ca="1" si="455"/>
        <v>0</v>
      </c>
      <c r="S976" s="307">
        <f t="shared" ca="1" si="456"/>
        <v>2.0842999999999985</v>
      </c>
      <c r="T976" s="304">
        <f t="shared" ca="1" si="436"/>
        <v>20.446982999999985</v>
      </c>
      <c r="U976" s="311">
        <f t="shared" ca="1" si="437"/>
        <v>0</v>
      </c>
      <c r="V976" s="306">
        <f t="shared" ca="1" si="438"/>
        <v>1.2267561321895213</v>
      </c>
      <c r="W976" s="304">
        <f t="shared" ca="1" si="439"/>
        <v>20.362177392103391</v>
      </c>
      <c r="Y976" s="314" t="str">
        <f t="shared" ca="1" si="457"/>
        <v/>
      </c>
      <c r="Z976" s="315" t="str">
        <f t="shared" ca="1" si="458"/>
        <v/>
      </c>
      <c r="AA976" s="316" t="str">
        <f t="shared" ca="1" si="459"/>
        <v/>
      </c>
      <c r="AC976" s="310" t="e">
        <f t="shared" ca="1" si="460"/>
        <v>#N/A</v>
      </c>
      <c r="AD976" s="323" t="e">
        <f t="shared" ca="1" si="461"/>
        <v>#N/A</v>
      </c>
      <c r="AE976" s="324" t="e">
        <f t="shared" ca="1" si="440"/>
        <v>#N/A</v>
      </c>
      <c r="AG976" s="306">
        <f t="shared" ca="1" si="462"/>
        <v>3.540204907071498E-2</v>
      </c>
      <c r="AH976" s="304">
        <f t="shared" ca="1" si="463"/>
        <v>-9.7692996522062838</v>
      </c>
    </row>
    <row r="977" spans="1:34" x14ac:dyDescent="0.25">
      <c r="A977" s="347">
        <f t="shared" ca="1" si="441"/>
        <v>1E-4</v>
      </c>
      <c r="B977" s="304">
        <f t="shared" ca="1" si="442"/>
        <v>47.137900000001629</v>
      </c>
      <c r="D977" s="306">
        <f t="shared" ca="1" si="443"/>
        <v>-0.32103366867197047</v>
      </c>
      <c r="E977" s="307">
        <f t="shared" ca="1" si="444"/>
        <v>-4.5964051808487838E-2</v>
      </c>
      <c r="F977" s="304">
        <f t="shared" ca="1" si="445"/>
        <v>0.32430743204502405</v>
      </c>
      <c r="G977" s="306">
        <f t="shared" ca="1" si="446"/>
        <v>4.0288664095195399</v>
      </c>
      <c r="H977" s="307">
        <f t="shared" ca="1" si="447"/>
        <v>-122.53640420262106</v>
      </c>
      <c r="I977" s="304">
        <f t="shared" ca="1" si="448"/>
        <v>122.60261873000056</v>
      </c>
      <c r="J977" s="306">
        <f t="shared" ca="1" si="449"/>
        <v>677.64536374242232</v>
      </c>
      <c r="K977" s="307">
        <f t="shared" ca="1" si="450"/>
        <v>-14.337758256777871</v>
      </c>
      <c r="L977" s="304">
        <f t="shared" ca="1" si="435"/>
        <v>677.79702737134335</v>
      </c>
      <c r="M977" s="306">
        <f t="shared" ca="1" si="451"/>
        <v>-1.537929232243733</v>
      </c>
      <c r="N977" s="304">
        <f t="shared" ca="1" si="452"/>
        <v>-88.116854197360908</v>
      </c>
      <c r="P977" s="310">
        <f t="shared" ca="1" si="453"/>
        <v>23</v>
      </c>
      <c r="Q977" s="304">
        <f t="shared" ca="1" si="454"/>
        <v>0</v>
      </c>
      <c r="R977" s="306">
        <f t="shared" ca="1" si="455"/>
        <v>0</v>
      </c>
      <c r="S977" s="307">
        <f t="shared" ca="1" si="456"/>
        <v>2.0842999999999985</v>
      </c>
      <c r="T977" s="304">
        <f t="shared" ca="1" si="436"/>
        <v>20.446982999999985</v>
      </c>
      <c r="U977" s="311">
        <f t="shared" ca="1" si="437"/>
        <v>0</v>
      </c>
      <c r="V977" s="306">
        <f t="shared" ca="1" si="438"/>
        <v>1.2267576354140388</v>
      </c>
      <c r="W977" s="304">
        <f t="shared" ca="1" si="439"/>
        <v>20.362203518734134</v>
      </c>
      <c r="Y977" s="314" t="str">
        <f t="shared" ca="1" si="457"/>
        <v/>
      </c>
      <c r="Z977" s="315" t="str">
        <f t="shared" ca="1" si="458"/>
        <v/>
      </c>
      <c r="AA977" s="316" t="str">
        <f t="shared" ca="1" si="459"/>
        <v/>
      </c>
      <c r="AC977" s="310" t="e">
        <f t="shared" ca="1" si="460"/>
        <v>#N/A</v>
      </c>
      <c r="AD977" s="323" t="e">
        <f t="shared" ca="1" si="461"/>
        <v>#N/A</v>
      </c>
      <c r="AE977" s="324" t="e">
        <f t="shared" ca="1" si="440"/>
        <v>#N/A</v>
      </c>
      <c r="AG977" s="306">
        <f t="shared" ca="1" si="462"/>
        <v>3.53895986873205E-2</v>
      </c>
      <c r="AH977" s="304">
        <f t="shared" ca="1" si="463"/>
        <v>-9.7693121873547017</v>
      </c>
    </row>
    <row r="978" spans="1:34" x14ac:dyDescent="0.25">
      <c r="A978" s="347">
        <f t="shared" ca="1" si="441"/>
        <v>1E-4</v>
      </c>
      <c r="B978" s="304">
        <f t="shared" ca="1" si="442"/>
        <v>47.138000000001632</v>
      </c>
      <c r="D978" s="306">
        <f t="shared" ca="1" si="443"/>
        <v>-0.32103151323486129</v>
      </c>
      <c r="E978" s="307">
        <f t="shared" ca="1" si="444"/>
        <v>-4.5951439199669153E-2</v>
      </c>
      <c r="F978" s="304">
        <f t="shared" ca="1" si="445"/>
        <v>0.32430351101149957</v>
      </c>
      <c r="G978" s="306">
        <f t="shared" ca="1" si="446"/>
        <v>4.0288343063682168</v>
      </c>
      <c r="H978" s="307">
        <f t="shared" ca="1" si="447"/>
        <v>-122.53640879776498</v>
      </c>
      <c r="I978" s="304">
        <f t="shared" ca="1" si="448"/>
        <v>122.60262226771964</v>
      </c>
      <c r="J978" s="306">
        <f t="shared" ca="1" si="449"/>
        <v>677.64536374242232</v>
      </c>
      <c r="K978" s="307">
        <f t="shared" ca="1" si="450"/>
        <v>-14.350011897427891</v>
      </c>
      <c r="L978" s="304">
        <f t="shared" ca="1" si="435"/>
        <v>677.79728668906318</v>
      </c>
      <c r="M978" s="306">
        <f t="shared" ca="1" si="451"/>
        <v>-1.5379294951811358</v>
      </c>
      <c r="N978" s="304">
        <f t="shared" ca="1" si="452"/>
        <v>-88.11686926256435</v>
      </c>
      <c r="P978" s="310">
        <f t="shared" ca="1" si="453"/>
        <v>23</v>
      </c>
      <c r="Q978" s="304">
        <f t="shared" ca="1" si="454"/>
        <v>0</v>
      </c>
      <c r="R978" s="306">
        <f t="shared" ca="1" si="455"/>
        <v>0</v>
      </c>
      <c r="S978" s="307">
        <f t="shared" ca="1" si="456"/>
        <v>2.0842999999999985</v>
      </c>
      <c r="T978" s="304">
        <f t="shared" ca="1" si="436"/>
        <v>20.446982999999985</v>
      </c>
      <c r="U978" s="311">
        <f t="shared" ca="1" si="437"/>
        <v>0</v>
      </c>
      <c r="V978" s="306">
        <f t="shared" ca="1" si="438"/>
        <v>1.2267591386404557</v>
      </c>
      <c r="W978" s="304">
        <f t="shared" ca="1" si="439"/>
        <v>20.362229644985764</v>
      </c>
      <c r="Y978" s="314" t="str">
        <f t="shared" ca="1" si="457"/>
        <v/>
      </c>
      <c r="Z978" s="315" t="str">
        <f t="shared" ca="1" si="458"/>
        <v/>
      </c>
      <c r="AA978" s="316" t="str">
        <f t="shared" ca="1" si="459"/>
        <v/>
      </c>
      <c r="AC978" s="310" t="e">
        <f t="shared" ca="1" si="460"/>
        <v>#N/A</v>
      </c>
      <c r="AD978" s="323" t="e">
        <f t="shared" ca="1" si="461"/>
        <v>#N/A</v>
      </c>
      <c r="AE978" s="324" t="e">
        <f t="shared" ca="1" si="440"/>
        <v>#N/A</v>
      </c>
      <c r="AG978" s="306">
        <f t="shared" ca="1" si="462"/>
        <v>3.5377148484450061E-2</v>
      </c>
      <c r="AH978" s="304">
        <f t="shared" ca="1" si="463"/>
        <v>-9.7693247223212349</v>
      </c>
    </row>
    <row r="979" spans="1:34" x14ac:dyDescent="0.25">
      <c r="A979" s="347">
        <f t="shared" ca="1" si="441"/>
        <v>1E-4</v>
      </c>
      <c r="B979" s="304">
        <f t="shared" ca="1" si="442"/>
        <v>47.138100000001636</v>
      </c>
      <c r="D979" s="306">
        <f t="shared" ca="1" si="443"/>
        <v>-0.32102935780576969</v>
      </c>
      <c r="E979" s="307">
        <f t="shared" ca="1" si="444"/>
        <v>-4.5938826773781472E-2</v>
      </c>
      <c r="F979" s="304">
        <f t="shared" ca="1" si="445"/>
        <v>0.32429959046927026</v>
      </c>
      <c r="G979" s="306">
        <f t="shared" ca="1" si="446"/>
        <v>4.028802203432436</v>
      </c>
      <c r="H979" s="307">
        <f t="shared" ca="1" si="447"/>
        <v>-122.53641339164766</v>
      </c>
      <c r="I979" s="304">
        <f t="shared" ca="1" si="448"/>
        <v>122.60262580419372</v>
      </c>
      <c r="J979" s="306">
        <f t="shared" ca="1" si="449"/>
        <v>677.64536374242232</v>
      </c>
      <c r="K979" s="307">
        <f t="shared" ca="1" si="450"/>
        <v>-14.362265538537361</v>
      </c>
      <c r="L979" s="304">
        <f t="shared" ca="1" si="435"/>
        <v>677.79754622822236</v>
      </c>
      <c r="M979" s="306">
        <f t="shared" ca="1" si="451"/>
        <v>-1.5379297581164282</v>
      </c>
      <c r="N979" s="304">
        <f t="shared" ca="1" si="452"/>
        <v>-88.1168843276469</v>
      </c>
      <c r="P979" s="310">
        <f t="shared" ca="1" si="453"/>
        <v>23</v>
      </c>
      <c r="Q979" s="304">
        <f t="shared" ca="1" si="454"/>
        <v>0</v>
      </c>
      <c r="R979" s="306">
        <f t="shared" ca="1" si="455"/>
        <v>0</v>
      </c>
      <c r="S979" s="307">
        <f t="shared" ca="1" si="456"/>
        <v>2.0842999999999985</v>
      </c>
      <c r="T979" s="304">
        <f t="shared" ca="1" si="436"/>
        <v>20.446982999999985</v>
      </c>
      <c r="U979" s="311">
        <f t="shared" ca="1" si="437"/>
        <v>0</v>
      </c>
      <c r="V979" s="306">
        <f t="shared" ca="1" si="438"/>
        <v>1.2267606418687726</v>
      </c>
      <c r="W979" s="304">
        <f t="shared" ca="1" si="439"/>
        <v>20.362255770858297</v>
      </c>
      <c r="Y979" s="314" t="str">
        <f t="shared" ca="1" si="457"/>
        <v/>
      </c>
      <c r="Z979" s="315" t="str">
        <f t="shared" ca="1" si="458"/>
        <v/>
      </c>
      <c r="AA979" s="316" t="str">
        <f t="shared" ca="1" si="459"/>
        <v/>
      </c>
      <c r="AC979" s="310" t="e">
        <f t="shared" ca="1" si="460"/>
        <v>#N/A</v>
      </c>
      <c r="AD979" s="323" t="e">
        <f t="shared" ca="1" si="461"/>
        <v>#N/A</v>
      </c>
      <c r="AE979" s="324" t="e">
        <f t="shared" ca="1" si="440"/>
        <v>#N/A</v>
      </c>
      <c r="AG979" s="306">
        <f t="shared" ca="1" si="462"/>
        <v>3.5364698462114319E-2</v>
      </c>
      <c r="AH979" s="304">
        <f t="shared" ca="1" si="463"/>
        <v>-9.7693372571058763</v>
      </c>
    </row>
    <row r="980" spans="1:34" x14ac:dyDescent="0.25">
      <c r="A980" s="347">
        <f t="shared" ca="1" si="441"/>
        <v>1E-4</v>
      </c>
      <c r="B980" s="304">
        <f t="shared" ca="1" si="442"/>
        <v>47.138200000001639</v>
      </c>
      <c r="D980" s="306">
        <f t="shared" ca="1" si="443"/>
        <v>-0.32102720238469618</v>
      </c>
      <c r="E980" s="307">
        <f t="shared" ca="1" si="444"/>
        <v>-4.5926214530810583E-2</v>
      </c>
      <c r="F980" s="304">
        <f t="shared" ca="1" si="445"/>
        <v>0.32429567041833091</v>
      </c>
      <c r="G980" s="306">
        <f t="shared" ca="1" si="446"/>
        <v>4.0287701007121974</v>
      </c>
      <c r="H980" s="307">
        <f t="shared" ca="1" si="447"/>
        <v>-122.53641798426911</v>
      </c>
      <c r="I980" s="304">
        <f t="shared" ca="1" si="448"/>
        <v>122.60262933942282</v>
      </c>
      <c r="J980" s="306">
        <f t="shared" ca="1" si="449"/>
        <v>677.64536374242232</v>
      </c>
      <c r="K980" s="307">
        <f t="shared" ca="1" si="450"/>
        <v>-14.374519180106157</v>
      </c>
      <c r="L980" s="304">
        <f t="shared" ca="1" si="435"/>
        <v>677.79780598882076</v>
      </c>
      <c r="M980" s="306">
        <f t="shared" ca="1" si="451"/>
        <v>-1.5379300210496105</v>
      </c>
      <c r="N980" s="304">
        <f t="shared" ca="1" si="452"/>
        <v>-88.116899392608545</v>
      </c>
      <c r="P980" s="310">
        <f t="shared" ca="1" si="453"/>
        <v>23</v>
      </c>
      <c r="Q980" s="304">
        <f t="shared" ca="1" si="454"/>
        <v>0</v>
      </c>
      <c r="R980" s="306">
        <f t="shared" ca="1" si="455"/>
        <v>0</v>
      </c>
      <c r="S980" s="307">
        <f t="shared" ca="1" si="456"/>
        <v>2.0842999999999985</v>
      </c>
      <c r="T980" s="304">
        <f t="shared" ca="1" si="436"/>
        <v>20.446982999999985</v>
      </c>
      <c r="U980" s="311">
        <f t="shared" ca="1" si="437"/>
        <v>0</v>
      </c>
      <c r="V980" s="306">
        <f t="shared" ca="1" si="438"/>
        <v>1.2267621450989892</v>
      </c>
      <c r="W980" s="304">
        <f t="shared" ca="1" si="439"/>
        <v>20.362281896351739</v>
      </c>
      <c r="Y980" s="314" t="str">
        <f t="shared" ca="1" si="457"/>
        <v/>
      </c>
      <c r="Z980" s="315" t="str">
        <f t="shared" ca="1" si="458"/>
        <v/>
      </c>
      <c r="AA980" s="316" t="str">
        <f t="shared" ca="1" si="459"/>
        <v/>
      </c>
      <c r="AC980" s="310" t="e">
        <f t="shared" ca="1" si="460"/>
        <v>#N/A</v>
      </c>
      <c r="AD980" s="323" t="e">
        <f t="shared" ca="1" si="461"/>
        <v>#N/A</v>
      </c>
      <c r="AE980" s="324" t="e">
        <f t="shared" ca="1" si="440"/>
        <v>#N/A</v>
      </c>
      <c r="AG980" s="306">
        <f t="shared" ca="1" si="462"/>
        <v>3.5352248620300841E-2</v>
      </c>
      <c r="AH980" s="304">
        <f t="shared" ca="1" si="463"/>
        <v>-9.7693497917086365</v>
      </c>
    </row>
    <row r="981" spans="1:34" x14ac:dyDescent="0.25">
      <c r="A981" s="347">
        <f t="shared" ca="1" si="441"/>
        <v>1E-4</v>
      </c>
      <c r="B981" s="304">
        <f t="shared" ca="1" si="442"/>
        <v>47.138300000001642</v>
      </c>
      <c r="D981" s="306">
        <f t="shared" ca="1" si="443"/>
        <v>-0.32102504697163897</v>
      </c>
      <c r="E981" s="307">
        <f t="shared" ca="1" si="444"/>
        <v>-4.5913602470758264E-2</v>
      </c>
      <c r="F981" s="304">
        <f t="shared" ca="1" si="445"/>
        <v>0.32429175085867634</v>
      </c>
      <c r="G981" s="306">
        <f t="shared" ca="1" si="446"/>
        <v>4.0287379982075002</v>
      </c>
      <c r="H981" s="307">
        <f t="shared" ca="1" si="447"/>
        <v>-122.53642257562936</v>
      </c>
      <c r="I981" s="304">
        <f t="shared" ca="1" si="448"/>
        <v>122.60263287340696</v>
      </c>
      <c r="J981" s="306">
        <f t="shared" ca="1" si="449"/>
        <v>677.64536374242232</v>
      </c>
      <c r="K981" s="307">
        <f t="shared" ca="1" si="450"/>
        <v>-14.386772822134152</v>
      </c>
      <c r="L981" s="304">
        <f t="shared" ca="1" si="435"/>
        <v>677.79806597085792</v>
      </c>
      <c r="M981" s="306">
        <f t="shared" ca="1" si="451"/>
        <v>-1.5379302839806823</v>
      </c>
      <c r="N981" s="304">
        <f t="shared" ca="1" si="452"/>
        <v>-88.116914457449255</v>
      </c>
      <c r="P981" s="310">
        <f t="shared" ca="1" si="453"/>
        <v>23</v>
      </c>
      <c r="Q981" s="304">
        <f t="shared" ca="1" si="454"/>
        <v>0</v>
      </c>
      <c r="R981" s="306">
        <f t="shared" ca="1" si="455"/>
        <v>0</v>
      </c>
      <c r="S981" s="307">
        <f t="shared" ca="1" si="456"/>
        <v>2.0842999999999985</v>
      </c>
      <c r="T981" s="304">
        <f t="shared" ca="1" si="436"/>
        <v>20.446982999999985</v>
      </c>
      <c r="U981" s="311">
        <f t="shared" ca="1" si="437"/>
        <v>0</v>
      </c>
      <c r="V981" s="306">
        <f t="shared" ca="1" si="438"/>
        <v>1.2267636483311055</v>
      </c>
      <c r="W981" s="304">
        <f t="shared" ca="1" si="439"/>
        <v>20.362308021466081</v>
      </c>
      <c r="Y981" s="314" t="str">
        <f t="shared" ca="1" si="457"/>
        <v/>
      </c>
      <c r="Z981" s="315" t="str">
        <f t="shared" ca="1" si="458"/>
        <v/>
      </c>
      <c r="AA981" s="316" t="str">
        <f t="shared" ca="1" si="459"/>
        <v/>
      </c>
      <c r="AC981" s="310" t="e">
        <f t="shared" ca="1" si="460"/>
        <v>#N/A</v>
      </c>
      <c r="AD981" s="323" t="e">
        <f t="shared" ca="1" si="461"/>
        <v>#N/A</v>
      </c>
      <c r="AE981" s="324" t="e">
        <f t="shared" ca="1" si="440"/>
        <v>#N/A</v>
      </c>
      <c r="AG981" s="306">
        <f t="shared" ca="1" si="462"/>
        <v>3.5339798959009627E-2</v>
      </c>
      <c r="AH981" s="304">
        <f t="shared" ca="1" si="463"/>
        <v>-9.7693623261295173</v>
      </c>
    </row>
    <row r="982" spans="1:34" x14ac:dyDescent="0.25">
      <c r="A982" s="347">
        <f t="shared" ca="1" si="441"/>
        <v>1E-4</v>
      </c>
      <c r="B982" s="304">
        <f t="shared" ca="1" si="442"/>
        <v>47.138400000001646</v>
      </c>
      <c r="D982" s="306">
        <f t="shared" ca="1" si="443"/>
        <v>-0.32102289156660241</v>
      </c>
      <c r="E982" s="307">
        <f t="shared" ca="1" si="444"/>
        <v>-4.590099059362629E-2</v>
      </c>
      <c r="F982" s="304">
        <f t="shared" ca="1" si="445"/>
        <v>0.32428783179030746</v>
      </c>
      <c r="G982" s="306">
        <f t="shared" ca="1" si="446"/>
        <v>4.0287058959183435</v>
      </c>
      <c r="H982" s="307">
        <f t="shared" ca="1" si="447"/>
        <v>-122.53642716572841</v>
      </c>
      <c r="I982" s="304">
        <f t="shared" ca="1" si="448"/>
        <v>122.60263640614615</v>
      </c>
      <c r="J982" s="306">
        <f t="shared" ca="1" si="449"/>
        <v>677.64536374242232</v>
      </c>
      <c r="K982" s="307">
        <f t="shared" ca="1" si="450"/>
        <v>-14.399026464621219</v>
      </c>
      <c r="L982" s="304">
        <f t="shared" ca="1" si="435"/>
        <v>677.79832617433385</v>
      </c>
      <c r="M982" s="306">
        <f t="shared" ca="1" si="451"/>
        <v>-1.5379305469096438</v>
      </c>
      <c r="N982" s="304">
        <f t="shared" ca="1" si="452"/>
        <v>-88.116929522169059</v>
      </c>
      <c r="P982" s="310">
        <f t="shared" ca="1" si="453"/>
        <v>23</v>
      </c>
      <c r="Q982" s="304">
        <f t="shared" ca="1" si="454"/>
        <v>0</v>
      </c>
      <c r="R982" s="306">
        <f t="shared" ca="1" si="455"/>
        <v>0</v>
      </c>
      <c r="S982" s="307">
        <f t="shared" ca="1" si="456"/>
        <v>2.0842999999999985</v>
      </c>
      <c r="T982" s="304">
        <f t="shared" ca="1" si="436"/>
        <v>20.446982999999985</v>
      </c>
      <c r="U982" s="311">
        <f t="shared" ca="1" si="437"/>
        <v>0</v>
      </c>
      <c r="V982" s="306">
        <f t="shared" ca="1" si="438"/>
        <v>1.226765151565121</v>
      </c>
      <c r="W982" s="304">
        <f t="shared" ca="1" si="439"/>
        <v>20.362334146201331</v>
      </c>
      <c r="Y982" s="314" t="str">
        <f t="shared" ca="1" si="457"/>
        <v/>
      </c>
      <c r="Z982" s="315" t="str">
        <f t="shared" ca="1" si="458"/>
        <v/>
      </c>
      <c r="AA982" s="316" t="str">
        <f t="shared" ca="1" si="459"/>
        <v/>
      </c>
      <c r="AC982" s="310" t="e">
        <f t="shared" ca="1" si="460"/>
        <v>#N/A</v>
      </c>
      <c r="AD982" s="323" t="e">
        <f t="shared" ca="1" si="461"/>
        <v>#N/A</v>
      </c>
      <c r="AE982" s="324" t="e">
        <f t="shared" ca="1" si="440"/>
        <v>#N/A</v>
      </c>
      <c r="AG982" s="306">
        <f t="shared" ca="1" si="462"/>
        <v>3.5327349478242454E-2</v>
      </c>
      <c r="AH982" s="304">
        <f t="shared" ca="1" si="463"/>
        <v>-9.7693748603685151</v>
      </c>
    </row>
    <row r="983" spans="1:34" x14ac:dyDescent="0.25">
      <c r="A983" s="347">
        <f t="shared" ca="1" si="441"/>
        <v>1E-4</v>
      </c>
      <c r="B983" s="304">
        <f t="shared" ca="1" si="442"/>
        <v>47.138500000001649</v>
      </c>
      <c r="D983" s="306">
        <f t="shared" ca="1" si="443"/>
        <v>-0.32102073616958471</v>
      </c>
      <c r="E983" s="307">
        <f t="shared" ca="1" si="444"/>
        <v>-4.5888378899411109E-2</v>
      </c>
      <c r="F983" s="304">
        <f t="shared" ca="1" si="445"/>
        <v>0.3242839132132182</v>
      </c>
      <c r="G983" s="306">
        <f t="shared" ca="1" si="446"/>
        <v>4.0286737938447263</v>
      </c>
      <c r="H983" s="307">
        <f t="shared" ca="1" si="447"/>
        <v>-122.53643175456631</v>
      </c>
      <c r="I983" s="304">
        <f t="shared" ca="1" si="448"/>
        <v>122.6026399376404</v>
      </c>
      <c r="J983" s="306">
        <f t="shared" ca="1" si="449"/>
        <v>677.64536374242232</v>
      </c>
      <c r="K983" s="307">
        <f t="shared" ca="1" si="450"/>
        <v>-14.411280107567233</v>
      </c>
      <c r="L983" s="304">
        <f t="shared" ca="1" si="435"/>
        <v>677.79858659924821</v>
      </c>
      <c r="M983" s="306">
        <f t="shared" ca="1" si="451"/>
        <v>-1.5379308098364952</v>
      </c>
      <c r="N983" s="304">
        <f t="shared" ca="1" si="452"/>
        <v>-88.116944586767971</v>
      </c>
      <c r="P983" s="310">
        <f t="shared" ca="1" si="453"/>
        <v>23</v>
      </c>
      <c r="Q983" s="304">
        <f t="shared" ca="1" si="454"/>
        <v>0</v>
      </c>
      <c r="R983" s="306">
        <f t="shared" ca="1" si="455"/>
        <v>0</v>
      </c>
      <c r="S983" s="307">
        <f t="shared" ca="1" si="456"/>
        <v>2.0842999999999985</v>
      </c>
      <c r="T983" s="304">
        <f t="shared" ca="1" si="436"/>
        <v>20.446982999999985</v>
      </c>
      <c r="U983" s="311">
        <f t="shared" ca="1" si="437"/>
        <v>0</v>
      </c>
      <c r="V983" s="306">
        <f t="shared" ca="1" si="438"/>
        <v>1.2267666548010367</v>
      </c>
      <c r="W983" s="304">
        <f t="shared" ca="1" si="439"/>
        <v>20.362360270557499</v>
      </c>
      <c r="Y983" s="314" t="str">
        <f t="shared" ca="1" si="457"/>
        <v/>
      </c>
      <c r="Z983" s="315" t="str">
        <f t="shared" ca="1" si="458"/>
        <v/>
      </c>
      <c r="AA983" s="316" t="str">
        <f t="shared" ca="1" si="459"/>
        <v/>
      </c>
      <c r="AC983" s="310" t="e">
        <f t="shared" ca="1" si="460"/>
        <v>#N/A</v>
      </c>
      <c r="AD983" s="323" t="e">
        <f t="shared" ca="1" si="461"/>
        <v>#N/A</v>
      </c>
      <c r="AE983" s="324" t="e">
        <f t="shared" ca="1" si="440"/>
        <v>#N/A</v>
      </c>
      <c r="AG983" s="306">
        <f t="shared" ca="1" si="462"/>
        <v>3.531490017799932E-2</v>
      </c>
      <c r="AH983" s="304">
        <f t="shared" ca="1" si="463"/>
        <v>-9.7693873944256318</v>
      </c>
    </row>
    <row r="984" spans="1:34" x14ac:dyDescent="0.25">
      <c r="A984" s="347">
        <f t="shared" ca="1" si="441"/>
        <v>1E-4</v>
      </c>
      <c r="B984" s="304">
        <f t="shared" ca="1" si="442"/>
        <v>47.138600000001652</v>
      </c>
      <c r="D984" s="306">
        <f t="shared" ca="1" si="443"/>
        <v>-0.32101858078058415</v>
      </c>
      <c r="E984" s="307">
        <f t="shared" ca="1" si="444"/>
        <v>-4.5875767388109168E-2</v>
      </c>
      <c r="F984" s="304">
        <f t="shared" ca="1" si="445"/>
        <v>0.32427999512740274</v>
      </c>
      <c r="G984" s="306">
        <f t="shared" ca="1" si="446"/>
        <v>4.0286416919866479</v>
      </c>
      <c r="H984" s="307">
        <f t="shared" ca="1" si="447"/>
        <v>-122.53643634214305</v>
      </c>
      <c r="I984" s="304">
        <f t="shared" ca="1" si="448"/>
        <v>122.60264346788975</v>
      </c>
      <c r="J984" s="306">
        <f t="shared" ca="1" si="449"/>
        <v>677.64536374242232</v>
      </c>
      <c r="K984" s="307">
        <f t="shared" ca="1" si="450"/>
        <v>-14.423533750972068</v>
      </c>
      <c r="L984" s="304">
        <f t="shared" ca="1" si="435"/>
        <v>677.79884724560077</v>
      </c>
      <c r="M984" s="306">
        <f t="shared" ca="1" si="451"/>
        <v>-1.5379310727612363</v>
      </c>
      <c r="N984" s="304">
        <f t="shared" ca="1" si="452"/>
        <v>-88.116959651245963</v>
      </c>
      <c r="P984" s="310">
        <f t="shared" ca="1" si="453"/>
        <v>23</v>
      </c>
      <c r="Q984" s="304">
        <f t="shared" ca="1" si="454"/>
        <v>0</v>
      </c>
      <c r="R984" s="306">
        <f t="shared" ca="1" si="455"/>
        <v>0</v>
      </c>
      <c r="S984" s="307">
        <f t="shared" ca="1" si="456"/>
        <v>2.0842999999999985</v>
      </c>
      <c r="T984" s="304">
        <f t="shared" ca="1" si="436"/>
        <v>20.446982999999985</v>
      </c>
      <c r="U984" s="311">
        <f t="shared" ca="1" si="437"/>
        <v>0</v>
      </c>
      <c r="V984" s="306">
        <f t="shared" ca="1" si="438"/>
        <v>1.2267681580388514</v>
      </c>
      <c r="W984" s="304">
        <f t="shared" ca="1" si="439"/>
        <v>20.362386394534578</v>
      </c>
      <c r="Y984" s="314" t="str">
        <f t="shared" ca="1" si="457"/>
        <v/>
      </c>
      <c r="Z984" s="315" t="str">
        <f t="shared" ca="1" si="458"/>
        <v/>
      </c>
      <c r="AA984" s="316" t="str">
        <f t="shared" ca="1" si="459"/>
        <v/>
      </c>
      <c r="AC984" s="310" t="e">
        <f t="shared" ca="1" si="460"/>
        <v>#N/A</v>
      </c>
      <c r="AD984" s="323" t="e">
        <f t="shared" ca="1" si="461"/>
        <v>#N/A</v>
      </c>
      <c r="AE984" s="324" t="e">
        <f t="shared" ca="1" si="440"/>
        <v>#N/A</v>
      </c>
      <c r="AG984" s="306">
        <f t="shared" ca="1" si="462"/>
        <v>3.5302451058271345E-2</v>
      </c>
      <c r="AH984" s="304">
        <f t="shared" ca="1" si="463"/>
        <v>-9.7693999283008743</v>
      </c>
    </row>
    <row r="985" spans="1:34" x14ac:dyDescent="0.25">
      <c r="A985" s="347">
        <f t="shared" ca="1" si="441"/>
        <v>1E-4</v>
      </c>
      <c r="B985" s="304">
        <f t="shared" ca="1" si="442"/>
        <v>47.138700000001656</v>
      </c>
      <c r="D985" s="306">
        <f t="shared" ca="1" si="443"/>
        <v>-0.32101642539960284</v>
      </c>
      <c r="E985" s="307">
        <f t="shared" ca="1" si="444"/>
        <v>-4.5863156059722243E-2</v>
      </c>
      <c r="F985" s="304">
        <f t="shared" ca="1" si="445"/>
        <v>0.32427607753285964</v>
      </c>
      <c r="G985" s="306">
        <f t="shared" ca="1" si="446"/>
        <v>4.0286095903441081</v>
      </c>
      <c r="H985" s="307">
        <f t="shared" ca="1" si="447"/>
        <v>-122.53644092845866</v>
      </c>
      <c r="I985" s="304">
        <f t="shared" ca="1" si="448"/>
        <v>122.60264699689419</v>
      </c>
      <c r="J985" s="306">
        <f t="shared" ca="1" si="449"/>
        <v>677.64536374242232</v>
      </c>
      <c r="K985" s="307">
        <f t="shared" ca="1" si="450"/>
        <v>-14.435787394835598</v>
      </c>
      <c r="L985" s="304">
        <f t="shared" ca="1" si="435"/>
        <v>677.7991081133913</v>
      </c>
      <c r="M985" s="306">
        <f t="shared" ca="1" si="451"/>
        <v>-1.5379313356838673</v>
      </c>
      <c r="N985" s="304">
        <f t="shared" ca="1" si="452"/>
        <v>-88.116974715603064</v>
      </c>
      <c r="P985" s="310">
        <f t="shared" ca="1" si="453"/>
        <v>23</v>
      </c>
      <c r="Q985" s="304">
        <f t="shared" ca="1" si="454"/>
        <v>0</v>
      </c>
      <c r="R985" s="306">
        <f t="shared" ca="1" si="455"/>
        <v>0</v>
      </c>
      <c r="S985" s="307">
        <f t="shared" ca="1" si="456"/>
        <v>2.0842999999999985</v>
      </c>
      <c r="T985" s="304">
        <f t="shared" ca="1" si="436"/>
        <v>20.446982999999985</v>
      </c>
      <c r="U985" s="311">
        <f t="shared" ca="1" si="437"/>
        <v>0</v>
      </c>
      <c r="V985" s="306">
        <f t="shared" ca="1" si="438"/>
        <v>1.2267696612785663</v>
      </c>
      <c r="W985" s="304">
        <f t="shared" ca="1" si="439"/>
        <v>20.362412518132583</v>
      </c>
      <c r="Y985" s="314" t="str">
        <f t="shared" ca="1" si="457"/>
        <v/>
      </c>
      <c r="Z985" s="315" t="str">
        <f t="shared" ca="1" si="458"/>
        <v/>
      </c>
      <c r="AA985" s="316" t="str">
        <f t="shared" ca="1" si="459"/>
        <v/>
      </c>
      <c r="AC985" s="310" t="e">
        <f t="shared" ca="1" si="460"/>
        <v>#N/A</v>
      </c>
      <c r="AD985" s="323" t="e">
        <f t="shared" ca="1" si="461"/>
        <v>#N/A</v>
      </c>
      <c r="AE985" s="324" t="e">
        <f t="shared" ca="1" si="440"/>
        <v>#N/A</v>
      </c>
      <c r="AG985" s="306">
        <f t="shared" ca="1" si="462"/>
        <v>3.5290002119063857E-2</v>
      </c>
      <c r="AH985" s="304">
        <f t="shared" ca="1" si="463"/>
        <v>-9.7694124619942393</v>
      </c>
    </row>
    <row r="986" spans="1:34" x14ac:dyDescent="0.25">
      <c r="A986" s="347">
        <f t="shared" ca="1" si="441"/>
        <v>1E-4</v>
      </c>
      <c r="B986" s="304">
        <f t="shared" ca="1" si="442"/>
        <v>47.138800000001659</v>
      </c>
      <c r="D986" s="306">
        <f t="shared" ca="1" si="443"/>
        <v>-0.32101427002663929</v>
      </c>
      <c r="E986" s="307">
        <f t="shared" ca="1" si="444"/>
        <v>-4.5850544914245006E-2</v>
      </c>
      <c r="F986" s="304">
        <f t="shared" ca="1" si="445"/>
        <v>0.32427216042958312</v>
      </c>
      <c r="G986" s="306">
        <f t="shared" ca="1" si="446"/>
        <v>4.0285774889171053</v>
      </c>
      <c r="H986" s="307">
        <f t="shared" ca="1" si="447"/>
        <v>-122.53644551351316</v>
      </c>
      <c r="I986" s="304">
        <f t="shared" ca="1" si="448"/>
        <v>122.60265052465378</v>
      </c>
      <c r="J986" s="306">
        <f t="shared" ca="1" si="449"/>
        <v>677.64536374242232</v>
      </c>
      <c r="K986" s="307">
        <f t="shared" ca="1" si="450"/>
        <v>-14.448041039157697</v>
      </c>
      <c r="L986" s="304">
        <f t="shared" ca="1" si="435"/>
        <v>677.79936920261957</v>
      </c>
      <c r="M986" s="306">
        <f t="shared" ca="1" si="451"/>
        <v>-1.537931598604388</v>
      </c>
      <c r="N986" s="304">
        <f t="shared" ca="1" si="452"/>
        <v>-88.116989779839244</v>
      </c>
      <c r="P986" s="310">
        <f t="shared" ca="1" si="453"/>
        <v>23</v>
      </c>
      <c r="Q986" s="304">
        <f t="shared" ca="1" si="454"/>
        <v>0</v>
      </c>
      <c r="R986" s="306">
        <f t="shared" ca="1" si="455"/>
        <v>0</v>
      </c>
      <c r="S986" s="307">
        <f t="shared" ca="1" si="456"/>
        <v>2.0842999999999985</v>
      </c>
      <c r="T986" s="304">
        <f t="shared" ca="1" si="436"/>
        <v>20.446982999999985</v>
      </c>
      <c r="U986" s="311">
        <f t="shared" ca="1" si="437"/>
        <v>0</v>
      </c>
      <c r="V986" s="306">
        <f t="shared" ca="1" si="438"/>
        <v>1.2267711645201809</v>
      </c>
      <c r="W986" s="304">
        <f t="shared" ca="1" si="439"/>
        <v>20.362438641351527</v>
      </c>
      <c r="Y986" s="314" t="str">
        <f t="shared" ca="1" si="457"/>
        <v/>
      </c>
      <c r="Z986" s="315" t="str">
        <f t="shared" ca="1" si="458"/>
        <v/>
      </c>
      <c r="AA986" s="316" t="str">
        <f t="shared" ca="1" si="459"/>
        <v/>
      </c>
      <c r="AC986" s="310" t="e">
        <f t="shared" ca="1" si="460"/>
        <v>#N/A</v>
      </c>
      <c r="AD986" s="323" t="e">
        <f t="shared" ca="1" si="461"/>
        <v>#N/A</v>
      </c>
      <c r="AE986" s="324" t="e">
        <f t="shared" ca="1" si="440"/>
        <v>#N/A</v>
      </c>
      <c r="AG986" s="306">
        <f t="shared" ca="1" si="462"/>
        <v>3.5277553360369751E-2</v>
      </c>
      <c r="AH986" s="304">
        <f t="shared" ca="1" si="463"/>
        <v>-9.769424995505732</v>
      </c>
    </row>
    <row r="987" spans="1:34" x14ac:dyDescent="0.25">
      <c r="A987" s="347">
        <f t="shared" ca="1" si="441"/>
        <v>1E-4</v>
      </c>
      <c r="B987" s="304">
        <f t="shared" ca="1" si="442"/>
        <v>47.138900000001662</v>
      </c>
      <c r="D987" s="306">
        <f t="shared" ca="1" si="443"/>
        <v>-0.32101211466169594</v>
      </c>
      <c r="E987" s="307">
        <f t="shared" ca="1" si="444"/>
        <v>-4.5837933951670351E-2</v>
      </c>
      <c r="F987" s="304">
        <f t="shared" ca="1" si="445"/>
        <v>0.32426824381757074</v>
      </c>
      <c r="G987" s="306">
        <f t="shared" ca="1" si="446"/>
        <v>4.0285453877056394</v>
      </c>
      <c r="H987" s="307">
        <f t="shared" ca="1" si="447"/>
        <v>-122.53645009730656</v>
      </c>
      <c r="I987" s="304">
        <f t="shared" ca="1" si="448"/>
        <v>122.6026540511685</v>
      </c>
      <c r="J987" s="306">
        <f t="shared" ca="1" si="449"/>
        <v>677.64536374242232</v>
      </c>
      <c r="K987" s="307">
        <f t="shared" ca="1" si="450"/>
        <v>-14.460294683938239</v>
      </c>
      <c r="L987" s="304">
        <f t="shared" ca="1" si="435"/>
        <v>677.79963051328536</v>
      </c>
      <c r="M987" s="306">
        <f t="shared" ca="1" si="451"/>
        <v>-1.5379318615227984</v>
      </c>
      <c r="N987" s="304">
        <f t="shared" ca="1" si="452"/>
        <v>-88.117004843954504</v>
      </c>
      <c r="P987" s="310">
        <f t="shared" ca="1" si="453"/>
        <v>23</v>
      </c>
      <c r="Q987" s="304">
        <f t="shared" ca="1" si="454"/>
        <v>0</v>
      </c>
      <c r="R987" s="306">
        <f t="shared" ca="1" si="455"/>
        <v>0</v>
      </c>
      <c r="S987" s="307">
        <f t="shared" ca="1" si="456"/>
        <v>2.0842999999999985</v>
      </c>
      <c r="T987" s="304">
        <f t="shared" ca="1" si="436"/>
        <v>20.446982999999985</v>
      </c>
      <c r="U987" s="311">
        <f t="shared" ca="1" si="437"/>
        <v>0</v>
      </c>
      <c r="V987" s="306">
        <f t="shared" ca="1" si="438"/>
        <v>1.2267726677636943</v>
      </c>
      <c r="W987" s="304">
        <f t="shared" ca="1" si="439"/>
        <v>20.362464764191387</v>
      </c>
      <c r="Y987" s="314" t="str">
        <f t="shared" ca="1" si="457"/>
        <v/>
      </c>
      <c r="Z987" s="315" t="str">
        <f t="shared" ca="1" si="458"/>
        <v/>
      </c>
      <c r="AA987" s="316" t="str">
        <f t="shared" ca="1" si="459"/>
        <v/>
      </c>
      <c r="AC987" s="310" t="e">
        <f t="shared" ca="1" si="460"/>
        <v>#N/A</v>
      </c>
      <c r="AD987" s="323" t="e">
        <f t="shared" ca="1" si="461"/>
        <v>#N/A</v>
      </c>
      <c r="AE987" s="324" t="e">
        <f t="shared" ca="1" si="440"/>
        <v>#N/A</v>
      </c>
      <c r="AG987" s="306">
        <f t="shared" ca="1" si="462"/>
        <v>3.5265104782180146E-2</v>
      </c>
      <c r="AH987" s="304">
        <f t="shared" ca="1" si="463"/>
        <v>-9.7694375288353612</v>
      </c>
    </row>
    <row r="988" spans="1:34" x14ac:dyDescent="0.25">
      <c r="A988" s="347">
        <f t="shared" ca="1" si="441"/>
        <v>1E-4</v>
      </c>
      <c r="B988" s="304">
        <f t="shared" ca="1" si="442"/>
        <v>47.139000000001666</v>
      </c>
      <c r="D988" s="306">
        <f t="shared" ca="1" si="443"/>
        <v>-0.32100995930477266</v>
      </c>
      <c r="E988" s="307">
        <f t="shared" ca="1" si="444"/>
        <v>-4.5825323172010712E-2</v>
      </c>
      <c r="F988" s="304">
        <f t="shared" ca="1" si="445"/>
        <v>0.32426432769682056</v>
      </c>
      <c r="G988" s="306">
        <f t="shared" ca="1" si="446"/>
        <v>4.0285132867097087</v>
      </c>
      <c r="H988" s="307">
        <f t="shared" ca="1" si="447"/>
        <v>-122.53645467983887</v>
      </c>
      <c r="I988" s="304">
        <f t="shared" ca="1" si="448"/>
        <v>122.60265757643838</v>
      </c>
      <c r="J988" s="306">
        <f t="shared" ca="1" si="449"/>
        <v>677.64536374242232</v>
      </c>
      <c r="K988" s="307">
        <f t="shared" ca="1" si="450"/>
        <v>-14.472548329177096</v>
      </c>
      <c r="L988" s="304">
        <f t="shared" ca="1" si="435"/>
        <v>677.79989204538845</v>
      </c>
      <c r="M988" s="306">
        <f t="shared" ca="1" si="451"/>
        <v>-1.5379321244390989</v>
      </c>
      <c r="N988" s="304">
        <f t="shared" ca="1" si="452"/>
        <v>-88.117019907948901</v>
      </c>
      <c r="P988" s="310">
        <f t="shared" ca="1" si="453"/>
        <v>23</v>
      </c>
      <c r="Q988" s="304">
        <f t="shared" ca="1" si="454"/>
        <v>0</v>
      </c>
      <c r="R988" s="306">
        <f t="shared" ca="1" si="455"/>
        <v>0</v>
      </c>
      <c r="S988" s="307">
        <f t="shared" ca="1" si="456"/>
        <v>2.0842999999999985</v>
      </c>
      <c r="T988" s="304">
        <f t="shared" ca="1" si="436"/>
        <v>20.446982999999985</v>
      </c>
      <c r="U988" s="311">
        <f t="shared" ca="1" si="437"/>
        <v>0</v>
      </c>
      <c r="V988" s="306">
        <f t="shared" ca="1" si="438"/>
        <v>1.2267741710091078</v>
      </c>
      <c r="W988" s="304">
        <f t="shared" ca="1" si="439"/>
        <v>20.362490886652186</v>
      </c>
      <c r="Y988" s="314" t="str">
        <f t="shared" ca="1" si="457"/>
        <v/>
      </c>
      <c r="Z988" s="315" t="str">
        <f t="shared" ca="1" si="458"/>
        <v/>
      </c>
      <c r="AA988" s="316" t="str">
        <f t="shared" ca="1" si="459"/>
        <v/>
      </c>
      <c r="AC988" s="310" t="e">
        <f t="shared" ca="1" si="460"/>
        <v>#N/A</v>
      </c>
      <c r="AD988" s="323" t="e">
        <f t="shared" ca="1" si="461"/>
        <v>#N/A</v>
      </c>
      <c r="AE988" s="324" t="e">
        <f t="shared" ca="1" si="440"/>
        <v>#N/A</v>
      </c>
      <c r="AG988" s="306">
        <f t="shared" ca="1" si="462"/>
        <v>3.5252656384512804E-2</v>
      </c>
      <c r="AH988" s="304">
        <f t="shared" ca="1" si="463"/>
        <v>-9.7694500619831128</v>
      </c>
    </row>
    <row r="989" spans="1:34" x14ac:dyDescent="0.25">
      <c r="A989" s="347">
        <f t="shared" ca="1" si="441"/>
        <v>1E-4</v>
      </c>
      <c r="B989" s="304">
        <f t="shared" ca="1" si="442"/>
        <v>47.139100000001669</v>
      </c>
      <c r="D989" s="306">
        <f t="shared" ca="1" si="443"/>
        <v>-0.32100780395586576</v>
      </c>
      <c r="E989" s="307">
        <f t="shared" ca="1" si="444"/>
        <v>-4.5812712575251879E-2</v>
      </c>
      <c r="F989" s="304">
        <f t="shared" ca="1" si="445"/>
        <v>0.32426041206732309</v>
      </c>
      <c r="G989" s="306">
        <f t="shared" ca="1" si="446"/>
        <v>4.028481185929313</v>
      </c>
      <c r="H989" s="307">
        <f t="shared" ca="1" si="447"/>
        <v>-122.53645926111012</v>
      </c>
      <c r="I989" s="304">
        <f t="shared" ca="1" si="448"/>
        <v>122.60266110046342</v>
      </c>
      <c r="J989" s="306">
        <f t="shared" ca="1" si="449"/>
        <v>677.64536374242232</v>
      </c>
      <c r="K989" s="307">
        <f t="shared" ca="1" si="450"/>
        <v>-14.484801974874143</v>
      </c>
      <c r="L989" s="304">
        <f t="shared" ca="1" si="435"/>
        <v>677.80015379892859</v>
      </c>
      <c r="M989" s="306">
        <f t="shared" ca="1" si="451"/>
        <v>-1.5379323873532891</v>
      </c>
      <c r="N989" s="304">
        <f t="shared" ca="1" si="452"/>
        <v>-88.117034971822363</v>
      </c>
      <c r="P989" s="310">
        <f t="shared" ca="1" si="453"/>
        <v>23</v>
      </c>
      <c r="Q989" s="304">
        <f t="shared" ca="1" si="454"/>
        <v>0</v>
      </c>
      <c r="R989" s="306">
        <f t="shared" ca="1" si="455"/>
        <v>0</v>
      </c>
      <c r="S989" s="307">
        <f t="shared" ca="1" si="456"/>
        <v>2.0842999999999985</v>
      </c>
      <c r="T989" s="304">
        <f t="shared" ca="1" si="436"/>
        <v>20.446982999999985</v>
      </c>
      <c r="U989" s="311">
        <f t="shared" ca="1" si="437"/>
        <v>0</v>
      </c>
      <c r="V989" s="306">
        <f t="shared" ca="1" si="438"/>
        <v>1.2267756742564211</v>
      </c>
      <c r="W989" s="304">
        <f t="shared" ca="1" si="439"/>
        <v>20.362517008733928</v>
      </c>
      <c r="Y989" s="314" t="str">
        <f t="shared" ca="1" si="457"/>
        <v/>
      </c>
      <c r="Z989" s="315" t="str">
        <f t="shared" ca="1" si="458"/>
        <v/>
      </c>
      <c r="AA989" s="316" t="str">
        <f t="shared" ca="1" si="459"/>
        <v/>
      </c>
      <c r="AC989" s="310" t="e">
        <f t="shared" ca="1" si="460"/>
        <v>#N/A</v>
      </c>
      <c r="AD989" s="323" t="e">
        <f t="shared" ca="1" si="461"/>
        <v>#N/A</v>
      </c>
      <c r="AE989" s="324" t="e">
        <f t="shared" ca="1" si="440"/>
        <v>#N/A</v>
      </c>
      <c r="AG989" s="306">
        <f t="shared" ca="1" si="462"/>
        <v>3.5240208167351739E-2</v>
      </c>
      <c r="AH989" s="304">
        <f t="shared" ca="1" si="463"/>
        <v>-9.7694625949489993</v>
      </c>
    </row>
    <row r="990" spans="1:34" x14ac:dyDescent="0.25">
      <c r="A990" s="347">
        <f t="shared" ca="1" si="441"/>
        <v>1E-4</v>
      </c>
      <c r="B990" s="304">
        <f t="shared" ca="1" si="442"/>
        <v>47.139200000001672</v>
      </c>
      <c r="D990" s="306">
        <f t="shared" ca="1" si="443"/>
        <v>-0.32100564861497988</v>
      </c>
      <c r="E990" s="307">
        <f t="shared" ca="1" si="444"/>
        <v>-4.5800102161393852E-2</v>
      </c>
      <c r="F990" s="304">
        <f t="shared" ca="1" si="445"/>
        <v>0.32425649692907932</v>
      </c>
      <c r="G990" s="306">
        <f t="shared" ca="1" si="446"/>
        <v>4.0284490853644517</v>
      </c>
      <c r="H990" s="307">
        <f t="shared" ca="1" si="447"/>
        <v>-122.53646384112034</v>
      </c>
      <c r="I990" s="304">
        <f t="shared" ca="1" si="448"/>
        <v>122.60266462324367</v>
      </c>
      <c r="J990" s="306">
        <f t="shared" ca="1" si="449"/>
        <v>677.64536374242232</v>
      </c>
      <c r="K990" s="307">
        <f t="shared" ca="1" si="450"/>
        <v>-14.497055621029254</v>
      </c>
      <c r="L990" s="304">
        <f t="shared" ca="1" si="435"/>
        <v>677.80041577390546</v>
      </c>
      <c r="M990" s="306">
        <f t="shared" ca="1" si="451"/>
        <v>-1.5379326502653692</v>
      </c>
      <c r="N990" s="304">
        <f t="shared" ca="1" si="452"/>
        <v>-88.117050035574934</v>
      </c>
      <c r="P990" s="310">
        <f t="shared" ca="1" si="453"/>
        <v>23</v>
      </c>
      <c r="Q990" s="304">
        <f t="shared" ca="1" si="454"/>
        <v>0</v>
      </c>
      <c r="R990" s="306">
        <f t="shared" ca="1" si="455"/>
        <v>0</v>
      </c>
      <c r="S990" s="307">
        <f t="shared" ca="1" si="456"/>
        <v>2.0842999999999985</v>
      </c>
      <c r="T990" s="304">
        <f t="shared" ca="1" si="436"/>
        <v>20.446982999999985</v>
      </c>
      <c r="U990" s="311">
        <f t="shared" ca="1" si="437"/>
        <v>0</v>
      </c>
      <c r="V990" s="306">
        <f t="shared" ca="1" si="438"/>
        <v>1.2267771775056333</v>
      </c>
      <c r="W990" s="304">
        <f t="shared" ca="1" si="439"/>
        <v>20.362543130436602</v>
      </c>
      <c r="Y990" s="314" t="str">
        <f t="shared" ca="1" si="457"/>
        <v/>
      </c>
      <c r="Z990" s="315" t="str">
        <f t="shared" ca="1" si="458"/>
        <v/>
      </c>
      <c r="AA990" s="316" t="str">
        <f t="shared" ca="1" si="459"/>
        <v/>
      </c>
      <c r="AC990" s="310" t="e">
        <f t="shared" ca="1" si="460"/>
        <v>#N/A</v>
      </c>
      <c r="AD990" s="323" t="e">
        <f t="shared" ca="1" si="461"/>
        <v>#N/A</v>
      </c>
      <c r="AE990" s="324" t="e">
        <f t="shared" ca="1" si="440"/>
        <v>#N/A</v>
      </c>
      <c r="AG990" s="306">
        <f t="shared" ca="1" si="462"/>
        <v>3.5227760130693397E-2</v>
      </c>
      <c r="AH990" s="304">
        <f t="shared" ca="1" si="463"/>
        <v>-9.7694751277330241</v>
      </c>
    </row>
    <row r="991" spans="1:34" x14ac:dyDescent="0.25">
      <c r="A991" s="347">
        <f t="shared" ca="1" si="441"/>
        <v>1E-4</v>
      </c>
      <c r="B991" s="304">
        <f t="shared" ca="1" si="442"/>
        <v>47.139300000001676</v>
      </c>
      <c r="D991" s="306">
        <f t="shared" ca="1" si="443"/>
        <v>-0.32100349328211281</v>
      </c>
      <c r="E991" s="307">
        <f t="shared" ca="1" si="444"/>
        <v>-4.5787491930440183E-2</v>
      </c>
      <c r="F991" s="304">
        <f t="shared" ca="1" si="445"/>
        <v>0.32425258228208387</v>
      </c>
      <c r="G991" s="306">
        <f t="shared" ca="1" si="446"/>
        <v>4.0284169850151237</v>
      </c>
      <c r="H991" s="307">
        <f t="shared" ca="1" si="447"/>
        <v>-122.53646841986954</v>
      </c>
      <c r="I991" s="304">
        <f t="shared" ca="1" si="448"/>
        <v>122.60266814477914</v>
      </c>
      <c r="J991" s="306">
        <f t="shared" ca="1" si="449"/>
        <v>677.64536374242232</v>
      </c>
      <c r="K991" s="307">
        <f t="shared" ca="1" si="450"/>
        <v>-14.509309267642303</v>
      </c>
      <c r="L991" s="304">
        <f t="shared" ca="1" si="435"/>
        <v>677.80067797031893</v>
      </c>
      <c r="M991" s="306">
        <f t="shared" ca="1" si="451"/>
        <v>-1.5379329131753392</v>
      </c>
      <c r="N991" s="304">
        <f t="shared" ca="1" si="452"/>
        <v>-88.117065099206613</v>
      </c>
      <c r="P991" s="310">
        <f t="shared" ca="1" si="453"/>
        <v>23</v>
      </c>
      <c r="Q991" s="304">
        <f t="shared" ca="1" si="454"/>
        <v>0</v>
      </c>
      <c r="R991" s="306">
        <f t="shared" ca="1" si="455"/>
        <v>0</v>
      </c>
      <c r="S991" s="307">
        <f t="shared" ca="1" si="456"/>
        <v>2.0842999999999985</v>
      </c>
      <c r="T991" s="304">
        <f t="shared" ca="1" si="436"/>
        <v>20.446982999999985</v>
      </c>
      <c r="U991" s="311">
        <f t="shared" ca="1" si="437"/>
        <v>0</v>
      </c>
      <c r="V991" s="306">
        <f t="shared" ca="1" si="438"/>
        <v>1.2267786807567458</v>
      </c>
      <c r="W991" s="304">
        <f t="shared" ca="1" si="439"/>
        <v>20.362569251760245</v>
      </c>
      <c r="Y991" s="314" t="str">
        <f t="shared" ca="1" si="457"/>
        <v/>
      </c>
      <c r="Z991" s="315" t="str">
        <f t="shared" ca="1" si="458"/>
        <v/>
      </c>
      <c r="AA991" s="316" t="str">
        <f t="shared" ca="1" si="459"/>
        <v/>
      </c>
      <c r="AC991" s="310" t="e">
        <f t="shared" ca="1" si="460"/>
        <v>#N/A</v>
      </c>
      <c r="AD991" s="323" t="e">
        <f t="shared" ca="1" si="461"/>
        <v>#N/A</v>
      </c>
      <c r="AE991" s="324" t="e">
        <f t="shared" ca="1" si="440"/>
        <v>#N/A</v>
      </c>
      <c r="AG991" s="306">
        <f t="shared" ca="1" si="462"/>
        <v>3.5215312274544885E-2</v>
      </c>
      <c r="AH991" s="304">
        <f t="shared" ca="1" si="463"/>
        <v>-9.7694876603351801</v>
      </c>
    </row>
    <row r="992" spans="1:34" x14ac:dyDescent="0.25">
      <c r="A992" s="347">
        <f t="shared" ca="1" si="441"/>
        <v>1E-4</v>
      </c>
      <c r="B992" s="304">
        <f t="shared" ca="1" si="442"/>
        <v>47.139400000001679</v>
      </c>
      <c r="D992" s="306">
        <f t="shared" ca="1" si="443"/>
        <v>-0.32100133795726543</v>
      </c>
      <c r="E992" s="307">
        <f t="shared" ca="1" si="444"/>
        <v>-4.5774881882374885E-2</v>
      </c>
      <c r="F992" s="304">
        <f t="shared" ca="1" si="445"/>
        <v>0.32424866812633157</v>
      </c>
      <c r="G992" s="306">
        <f t="shared" ca="1" si="446"/>
        <v>4.0283848848813282</v>
      </c>
      <c r="H992" s="307">
        <f t="shared" ca="1" si="447"/>
        <v>-122.53647299735772</v>
      </c>
      <c r="I992" s="304">
        <f t="shared" ca="1" si="448"/>
        <v>122.60267166506985</v>
      </c>
      <c r="J992" s="306">
        <f t="shared" ca="1" si="449"/>
        <v>677.64536374242232</v>
      </c>
      <c r="K992" s="307">
        <f t="shared" ca="1" si="450"/>
        <v>-14.521562914713165</v>
      </c>
      <c r="L992" s="304">
        <f t="shared" ca="1" si="435"/>
        <v>677.80094038816867</v>
      </c>
      <c r="M992" s="306">
        <f t="shared" ca="1" si="451"/>
        <v>-1.5379331760831991</v>
      </c>
      <c r="N992" s="304">
        <f t="shared" ca="1" si="452"/>
        <v>-88.117080162717386</v>
      </c>
      <c r="P992" s="310">
        <f t="shared" ca="1" si="453"/>
        <v>23</v>
      </c>
      <c r="Q992" s="304">
        <f t="shared" ca="1" si="454"/>
        <v>0</v>
      </c>
      <c r="R992" s="306">
        <f t="shared" ca="1" si="455"/>
        <v>0</v>
      </c>
      <c r="S992" s="307">
        <f t="shared" ca="1" si="456"/>
        <v>2.0842999999999985</v>
      </c>
      <c r="T992" s="304">
        <f t="shared" ca="1" si="436"/>
        <v>20.446982999999985</v>
      </c>
      <c r="U992" s="311">
        <f t="shared" ca="1" si="437"/>
        <v>0</v>
      </c>
      <c r="V992" s="306">
        <f t="shared" ca="1" si="438"/>
        <v>1.2267801840097574</v>
      </c>
      <c r="W992" s="304">
        <f t="shared" ca="1" si="439"/>
        <v>20.362595372704831</v>
      </c>
      <c r="Y992" s="314" t="str">
        <f t="shared" ca="1" si="457"/>
        <v/>
      </c>
      <c r="Z992" s="315" t="str">
        <f t="shared" ca="1" si="458"/>
        <v/>
      </c>
      <c r="AA992" s="316" t="str">
        <f t="shared" ca="1" si="459"/>
        <v/>
      </c>
      <c r="AC992" s="310" t="e">
        <f t="shared" ca="1" si="460"/>
        <v>#N/A</v>
      </c>
      <c r="AD992" s="323" t="e">
        <f t="shared" ca="1" si="461"/>
        <v>#N/A</v>
      </c>
      <c r="AE992" s="324" t="e">
        <f t="shared" ca="1" si="440"/>
        <v>#N/A</v>
      </c>
      <c r="AG992" s="306">
        <f t="shared" ca="1" si="462"/>
        <v>3.5202864598890216E-2</v>
      </c>
      <c r="AH992" s="304">
        <f t="shared" ca="1" si="463"/>
        <v>-9.769500192755487</v>
      </c>
    </row>
    <row r="993" spans="1:34" x14ac:dyDescent="0.25">
      <c r="A993" s="347">
        <f t="shared" ca="1" si="441"/>
        <v>1E-4</v>
      </c>
      <c r="B993" s="304">
        <f t="shared" ca="1" si="442"/>
        <v>47.139500000001682</v>
      </c>
      <c r="D993" s="306">
        <f t="shared" ca="1" si="443"/>
        <v>-0.32099918264043747</v>
      </c>
      <c r="E993" s="307">
        <f t="shared" ca="1" si="444"/>
        <v>-4.5762272017212169E-2</v>
      </c>
      <c r="F993" s="304">
        <f t="shared" ca="1" si="445"/>
        <v>0.32424475446182049</v>
      </c>
      <c r="G993" s="306">
        <f t="shared" ca="1" si="446"/>
        <v>4.0283527849630643</v>
      </c>
      <c r="H993" s="307">
        <f t="shared" ca="1" si="447"/>
        <v>-122.53647757358492</v>
      </c>
      <c r="I993" s="304">
        <f t="shared" ca="1" si="448"/>
        <v>122.60267518411578</v>
      </c>
      <c r="J993" s="306">
        <f t="shared" ca="1" si="449"/>
        <v>677.64536374242232</v>
      </c>
      <c r="K993" s="307">
        <f t="shared" ca="1" si="450"/>
        <v>-14.533816562241713</v>
      </c>
      <c r="L993" s="304">
        <f t="shared" ca="1" si="435"/>
        <v>677.80120302745456</v>
      </c>
      <c r="M993" s="306">
        <f t="shared" ca="1" si="451"/>
        <v>-1.537933438988949</v>
      </c>
      <c r="N993" s="304">
        <f t="shared" ca="1" si="452"/>
        <v>-88.117095226107267</v>
      </c>
      <c r="P993" s="310">
        <f t="shared" ca="1" si="453"/>
        <v>23</v>
      </c>
      <c r="Q993" s="304">
        <f t="shared" ca="1" si="454"/>
        <v>0</v>
      </c>
      <c r="R993" s="306">
        <f t="shared" ca="1" si="455"/>
        <v>0</v>
      </c>
      <c r="S993" s="307">
        <f t="shared" ca="1" si="456"/>
        <v>2.0842999999999985</v>
      </c>
      <c r="T993" s="304">
        <f t="shared" ca="1" si="436"/>
        <v>20.446982999999985</v>
      </c>
      <c r="U993" s="311">
        <f t="shared" ca="1" si="437"/>
        <v>0</v>
      </c>
      <c r="V993" s="306">
        <f t="shared" ca="1" si="438"/>
        <v>1.2267816872646684</v>
      </c>
      <c r="W993" s="304">
        <f t="shared" ca="1" si="439"/>
        <v>20.362621493270364</v>
      </c>
      <c r="Y993" s="314" t="str">
        <f t="shared" ca="1" si="457"/>
        <v/>
      </c>
      <c r="Z993" s="315" t="str">
        <f t="shared" ca="1" si="458"/>
        <v/>
      </c>
      <c r="AA993" s="316" t="str">
        <f t="shared" ca="1" si="459"/>
        <v/>
      </c>
      <c r="AC993" s="310" t="e">
        <f t="shared" ca="1" si="460"/>
        <v>#N/A</v>
      </c>
      <c r="AD993" s="323" t="e">
        <f t="shared" ca="1" si="461"/>
        <v>#N/A</v>
      </c>
      <c r="AE993" s="324" t="e">
        <f t="shared" ca="1" si="440"/>
        <v>#N/A</v>
      </c>
      <c r="AG993" s="306">
        <f t="shared" ca="1" si="462"/>
        <v>3.5190417103741822E-2</v>
      </c>
      <c r="AH993" s="304">
        <f t="shared" ca="1" si="463"/>
        <v>-9.7695127249939286</v>
      </c>
    </row>
    <row r="994" spans="1:34" x14ac:dyDescent="0.25">
      <c r="A994" s="347">
        <f t="shared" ca="1" si="441"/>
        <v>1E-4</v>
      </c>
      <c r="B994" s="304">
        <f t="shared" ca="1" si="442"/>
        <v>47.139600000001685</v>
      </c>
      <c r="D994" s="306">
        <f t="shared" ca="1" si="443"/>
        <v>-0.32099702733162933</v>
      </c>
      <c r="E994" s="307">
        <f t="shared" ca="1" si="444"/>
        <v>-4.5749662334948482E-2</v>
      </c>
      <c r="F994" s="304">
        <f t="shared" ca="1" si="445"/>
        <v>0.3242408412885468</v>
      </c>
      <c r="G994" s="306">
        <f t="shared" ca="1" si="446"/>
        <v>4.028320685260331</v>
      </c>
      <c r="H994" s="307">
        <f t="shared" ca="1" si="447"/>
        <v>-122.53648214855116</v>
      </c>
      <c r="I994" s="304">
        <f t="shared" ca="1" si="448"/>
        <v>122.602678701917</v>
      </c>
      <c r="J994" s="306">
        <f t="shared" ca="1" si="449"/>
        <v>677.64536374242232</v>
      </c>
      <c r="K994" s="307">
        <f t="shared" ca="1" si="450"/>
        <v>-14.546070210227819</v>
      </c>
      <c r="L994" s="304">
        <f t="shared" ca="1" si="435"/>
        <v>677.80146588817638</v>
      </c>
      <c r="M994" s="306">
        <f t="shared" ca="1" si="451"/>
        <v>-1.5379337018925889</v>
      </c>
      <c r="N994" s="304">
        <f t="shared" ca="1" si="452"/>
        <v>-88.117110289376257</v>
      </c>
      <c r="P994" s="310">
        <f t="shared" ca="1" si="453"/>
        <v>23</v>
      </c>
      <c r="Q994" s="304">
        <f t="shared" ca="1" si="454"/>
        <v>0</v>
      </c>
      <c r="R994" s="306">
        <f t="shared" ca="1" si="455"/>
        <v>0</v>
      </c>
      <c r="S994" s="307">
        <f t="shared" ca="1" si="456"/>
        <v>2.0842999999999985</v>
      </c>
      <c r="T994" s="304">
        <f t="shared" ca="1" si="436"/>
        <v>20.446982999999985</v>
      </c>
      <c r="U994" s="311">
        <f t="shared" ca="1" si="437"/>
        <v>0</v>
      </c>
      <c r="V994" s="306">
        <f t="shared" ca="1" si="438"/>
        <v>1.2267831905214792</v>
      </c>
      <c r="W994" s="304">
        <f t="shared" ca="1" si="439"/>
        <v>20.362647613456868</v>
      </c>
      <c r="Y994" s="314" t="str">
        <f t="shared" ca="1" si="457"/>
        <v/>
      </c>
      <c r="Z994" s="315" t="str">
        <f t="shared" ca="1" si="458"/>
        <v/>
      </c>
      <c r="AA994" s="316" t="str">
        <f t="shared" ca="1" si="459"/>
        <v/>
      </c>
      <c r="AC994" s="310" t="e">
        <f t="shared" ca="1" si="460"/>
        <v>#N/A</v>
      </c>
      <c r="AD994" s="323" t="e">
        <f t="shared" ca="1" si="461"/>
        <v>#N/A</v>
      </c>
      <c r="AE994" s="324" t="e">
        <f t="shared" ca="1" si="440"/>
        <v>#N/A</v>
      </c>
      <c r="AG994" s="306">
        <f t="shared" ca="1" si="462"/>
        <v>3.5177969789094377E-2</v>
      </c>
      <c r="AH994" s="304">
        <f t="shared" ca="1" si="463"/>
        <v>-9.7695252570505104</v>
      </c>
    </row>
    <row r="995" spans="1:34" x14ac:dyDescent="0.25">
      <c r="A995" s="347">
        <f t="shared" ca="1" si="441"/>
        <v>1E-4</v>
      </c>
      <c r="B995" s="304">
        <f t="shared" ca="1" si="442"/>
        <v>47.139700000001689</v>
      </c>
      <c r="D995" s="306">
        <f t="shared" ca="1" si="443"/>
        <v>-0.32099487203083943</v>
      </c>
      <c r="E995" s="307">
        <f t="shared" ca="1" si="444"/>
        <v>-4.5737052835569614E-2</v>
      </c>
      <c r="F995" s="304">
        <f t="shared" ca="1" si="445"/>
        <v>0.32423692860650322</v>
      </c>
      <c r="G995" s="306">
        <f t="shared" ca="1" si="446"/>
        <v>4.0282885857731277</v>
      </c>
      <c r="H995" s="307">
        <f t="shared" ca="1" si="447"/>
        <v>-122.53648672225644</v>
      </c>
      <c r="I995" s="304">
        <f t="shared" ca="1" si="448"/>
        <v>122.6026822184735</v>
      </c>
      <c r="J995" s="306">
        <f t="shared" ca="1" si="449"/>
        <v>677.64536374242232</v>
      </c>
      <c r="K995" s="307">
        <f t="shared" ca="1" si="450"/>
        <v>-14.558323858671359</v>
      </c>
      <c r="L995" s="304">
        <f t="shared" ca="1" si="435"/>
        <v>677.80172897033378</v>
      </c>
      <c r="M995" s="306">
        <f t="shared" ca="1" si="451"/>
        <v>-1.5379339647941188</v>
      </c>
      <c r="N995" s="304">
        <f t="shared" ca="1" si="452"/>
        <v>-88.11712535252434</v>
      </c>
      <c r="P995" s="310">
        <f t="shared" ca="1" si="453"/>
        <v>23</v>
      </c>
      <c r="Q995" s="304">
        <f t="shared" ca="1" si="454"/>
        <v>0</v>
      </c>
      <c r="R995" s="306">
        <f t="shared" ca="1" si="455"/>
        <v>0</v>
      </c>
      <c r="S995" s="307">
        <f t="shared" ca="1" si="456"/>
        <v>2.0842999999999985</v>
      </c>
      <c r="T995" s="304">
        <f t="shared" ca="1" si="436"/>
        <v>20.446982999999985</v>
      </c>
      <c r="U995" s="311">
        <f t="shared" ca="1" si="437"/>
        <v>0</v>
      </c>
      <c r="V995" s="306">
        <f t="shared" ca="1" si="438"/>
        <v>1.2267846937801892</v>
      </c>
      <c r="W995" s="304">
        <f t="shared" ca="1" si="439"/>
        <v>20.362673733264334</v>
      </c>
      <c r="Y995" s="314" t="str">
        <f t="shared" ca="1" si="457"/>
        <v/>
      </c>
      <c r="Z995" s="315" t="str">
        <f t="shared" ca="1" si="458"/>
        <v/>
      </c>
      <c r="AA995" s="316" t="str">
        <f t="shared" ca="1" si="459"/>
        <v/>
      </c>
      <c r="AC995" s="310" t="e">
        <f t="shared" ca="1" si="460"/>
        <v>#N/A</v>
      </c>
      <c r="AD995" s="323" t="e">
        <f t="shared" ca="1" si="461"/>
        <v>#N/A</v>
      </c>
      <c r="AE995" s="324" t="e">
        <f t="shared" ca="1" si="440"/>
        <v>#N/A</v>
      </c>
      <c r="AG995" s="306">
        <f t="shared" ca="1" si="462"/>
        <v>3.5165522654940773E-2</v>
      </c>
      <c r="AH995" s="304">
        <f t="shared" ca="1" si="463"/>
        <v>-9.769537788925243</v>
      </c>
    </row>
    <row r="996" spans="1:34" x14ac:dyDescent="0.25">
      <c r="A996" s="347">
        <f t="shared" ca="1" si="441"/>
        <v>1E-4</v>
      </c>
      <c r="B996" s="304">
        <f t="shared" ca="1" si="442"/>
        <v>47.139800000001692</v>
      </c>
      <c r="D996" s="306">
        <f t="shared" ca="1" si="443"/>
        <v>-0.32099271673806989</v>
      </c>
      <c r="E996" s="307">
        <f t="shared" ca="1" si="444"/>
        <v>-4.5724443519082669E-2</v>
      </c>
      <c r="F996" s="304">
        <f t="shared" ca="1" si="445"/>
        <v>0.32423301641568919</v>
      </c>
      <c r="G996" s="306">
        <f t="shared" ca="1" si="446"/>
        <v>4.0282564865014541</v>
      </c>
      <c r="H996" s="307">
        <f t="shared" ca="1" si="447"/>
        <v>-122.5364912947008</v>
      </c>
      <c r="I996" s="304">
        <f t="shared" ca="1" si="448"/>
        <v>122.60268573378531</v>
      </c>
      <c r="J996" s="306">
        <f t="shared" ca="1" si="449"/>
        <v>677.64536374242232</v>
      </c>
      <c r="K996" s="307">
        <f t="shared" ca="1" si="450"/>
        <v>-14.570577507572207</v>
      </c>
      <c r="L996" s="304">
        <f t="shared" ca="1" si="435"/>
        <v>677.80199227392654</v>
      </c>
      <c r="M996" s="306">
        <f t="shared" ca="1" si="451"/>
        <v>-1.5379342276935386</v>
      </c>
      <c r="N996" s="304">
        <f t="shared" ca="1" si="452"/>
        <v>-88.117140415551532</v>
      </c>
      <c r="P996" s="310">
        <f t="shared" ca="1" si="453"/>
        <v>23</v>
      </c>
      <c r="Q996" s="304">
        <f t="shared" ca="1" si="454"/>
        <v>0</v>
      </c>
      <c r="R996" s="306">
        <f t="shared" ca="1" si="455"/>
        <v>0</v>
      </c>
      <c r="S996" s="307">
        <f t="shared" ca="1" si="456"/>
        <v>2.0842999999999985</v>
      </c>
      <c r="T996" s="304">
        <f t="shared" ca="1" si="436"/>
        <v>20.446982999999985</v>
      </c>
      <c r="U996" s="311">
        <f t="shared" ca="1" si="437"/>
        <v>0</v>
      </c>
      <c r="V996" s="306">
        <f t="shared" ca="1" si="438"/>
        <v>1.2267861970407992</v>
      </c>
      <c r="W996" s="304">
        <f t="shared" ca="1" si="439"/>
        <v>20.362699852692771</v>
      </c>
      <c r="Y996" s="314" t="str">
        <f t="shared" ca="1" si="457"/>
        <v/>
      </c>
      <c r="Z996" s="315" t="str">
        <f t="shared" ca="1" si="458"/>
        <v/>
      </c>
      <c r="AA996" s="316" t="str">
        <f t="shared" ca="1" si="459"/>
        <v/>
      </c>
      <c r="AC996" s="310" t="e">
        <f t="shared" ca="1" si="460"/>
        <v>#N/A</v>
      </c>
      <c r="AD996" s="323" t="e">
        <f t="shared" ca="1" si="461"/>
        <v>#N/A</v>
      </c>
      <c r="AE996" s="324" t="e">
        <f t="shared" ca="1" si="440"/>
        <v>#N/A</v>
      </c>
      <c r="AG996" s="306">
        <f t="shared" ca="1" si="462"/>
        <v>3.5153075701282788E-2</v>
      </c>
      <c r="AH996" s="304">
        <f t="shared" ca="1" si="463"/>
        <v>-9.7695503206181211</v>
      </c>
    </row>
    <row r="997" spans="1:34" x14ac:dyDescent="0.25">
      <c r="A997" s="347">
        <f t="shared" ca="1" si="441"/>
        <v>1E-4</v>
      </c>
      <c r="B997" s="304">
        <f t="shared" ca="1" si="442"/>
        <v>47.139900000001695</v>
      </c>
      <c r="D997" s="306">
        <f t="shared" ca="1" si="443"/>
        <v>-0.32099056145332117</v>
      </c>
      <c r="E997" s="307">
        <f t="shared" ca="1" si="444"/>
        <v>-4.5711834385482319E-2</v>
      </c>
      <c r="F997" s="304">
        <f t="shared" ca="1" si="445"/>
        <v>0.32422910471610061</v>
      </c>
      <c r="G997" s="306">
        <f t="shared" ca="1" si="446"/>
        <v>4.0282243874453085</v>
      </c>
      <c r="H997" s="307">
        <f t="shared" ca="1" si="447"/>
        <v>-122.53649586588423</v>
      </c>
      <c r="I997" s="304">
        <f t="shared" ca="1" si="448"/>
        <v>122.60268924785244</v>
      </c>
      <c r="J997" s="306">
        <f t="shared" ca="1" si="449"/>
        <v>677.64536374242232</v>
      </c>
      <c r="K997" s="307">
        <f t="shared" ca="1" si="450"/>
        <v>-14.582831156930236</v>
      </c>
      <c r="L997" s="304">
        <f t="shared" ca="1" si="435"/>
        <v>677.80225579895455</v>
      </c>
      <c r="M997" s="306">
        <f t="shared" ca="1" si="451"/>
        <v>-1.5379344905908485</v>
      </c>
      <c r="N997" s="304">
        <f t="shared" ca="1" si="452"/>
        <v>-88.117155478457832</v>
      </c>
      <c r="P997" s="310">
        <f t="shared" ca="1" si="453"/>
        <v>23</v>
      </c>
      <c r="Q997" s="304">
        <f t="shared" ca="1" si="454"/>
        <v>0</v>
      </c>
      <c r="R997" s="306">
        <f t="shared" ca="1" si="455"/>
        <v>0</v>
      </c>
      <c r="S997" s="307">
        <f t="shared" ca="1" si="456"/>
        <v>2.0842999999999985</v>
      </c>
      <c r="T997" s="304">
        <f t="shared" ca="1" si="436"/>
        <v>20.446982999999985</v>
      </c>
      <c r="U997" s="311">
        <f t="shared" ca="1" si="437"/>
        <v>0</v>
      </c>
      <c r="V997" s="306">
        <f t="shared" ca="1" si="438"/>
        <v>1.2267877003033083</v>
      </c>
      <c r="W997" s="304">
        <f t="shared" ca="1" si="439"/>
        <v>20.362725971742183</v>
      </c>
      <c r="Y997" s="314" t="str">
        <f t="shared" ca="1" si="457"/>
        <v/>
      </c>
      <c r="Z997" s="315" t="str">
        <f t="shared" ca="1" si="458"/>
        <v/>
      </c>
      <c r="AA997" s="316" t="str">
        <f t="shared" ca="1" si="459"/>
        <v/>
      </c>
      <c r="AC997" s="310" t="e">
        <f t="shared" ca="1" si="460"/>
        <v>#N/A</v>
      </c>
      <c r="AD997" s="323" t="e">
        <f t="shared" ca="1" si="461"/>
        <v>#N/A</v>
      </c>
      <c r="AE997" s="324" t="e">
        <f t="shared" ca="1" si="440"/>
        <v>#N/A</v>
      </c>
      <c r="AG997" s="306">
        <f t="shared" ca="1" si="462"/>
        <v>3.5140628928115092E-2</v>
      </c>
      <c r="AH997" s="304">
        <f t="shared" ca="1" si="463"/>
        <v>-9.76956285212915</v>
      </c>
    </row>
    <row r="998" spans="1:34" x14ac:dyDescent="0.25">
      <c r="A998" s="347">
        <f t="shared" ca="1" si="441"/>
        <v>1E-4</v>
      </c>
      <c r="B998" s="304">
        <f t="shared" ca="1" si="442"/>
        <v>47.140000000001699</v>
      </c>
      <c r="D998" s="306">
        <f t="shared" ca="1" si="443"/>
        <v>-0.32098840617659136</v>
      </c>
      <c r="E998" s="307">
        <f t="shared" ca="1" si="444"/>
        <v>-4.5699225434768564E-2</v>
      </c>
      <c r="F998" s="304">
        <f t="shared" ca="1" si="445"/>
        <v>0.32422519350773188</v>
      </c>
      <c r="G998" s="306">
        <f t="shared" ca="1" si="446"/>
        <v>4.028192288604691</v>
      </c>
      <c r="H998" s="307">
        <f t="shared" ca="1" si="447"/>
        <v>-122.53650043580677</v>
      </c>
      <c r="I998" s="304">
        <f t="shared" ca="1" si="448"/>
        <v>122.60269276067491</v>
      </c>
      <c r="J998" s="306">
        <f t="shared" ca="1" si="449"/>
        <v>677.64536374242232</v>
      </c>
      <c r="K998" s="307">
        <f t="shared" ca="1" si="450"/>
        <v>-14.595084806745321</v>
      </c>
      <c r="L998" s="304">
        <f t="shared" ca="1" si="435"/>
        <v>677.80251954541745</v>
      </c>
      <c r="M998" s="306">
        <f t="shared" ca="1" si="451"/>
        <v>-1.5379347534860484</v>
      </c>
      <c r="N998" s="304">
        <f t="shared" ca="1" si="452"/>
        <v>-88.11717054124324</v>
      </c>
      <c r="P998" s="310">
        <f t="shared" ca="1" si="453"/>
        <v>23</v>
      </c>
      <c r="Q998" s="304">
        <f t="shared" ca="1" si="454"/>
        <v>0</v>
      </c>
      <c r="R998" s="306">
        <f t="shared" ca="1" si="455"/>
        <v>0</v>
      </c>
      <c r="S998" s="307">
        <f t="shared" ca="1" si="456"/>
        <v>2.0842999999999985</v>
      </c>
      <c r="T998" s="304">
        <f t="shared" ca="1" si="436"/>
        <v>20.446982999999985</v>
      </c>
      <c r="U998" s="311">
        <f t="shared" ca="1" si="437"/>
        <v>0</v>
      </c>
      <c r="V998" s="306">
        <f t="shared" ca="1" si="438"/>
        <v>1.2267892035677166</v>
      </c>
      <c r="W998" s="304">
        <f t="shared" ca="1" si="439"/>
        <v>20.362752090412567</v>
      </c>
      <c r="Y998" s="314" t="str">
        <f t="shared" ca="1" si="457"/>
        <v/>
      </c>
      <c r="Z998" s="315" t="str">
        <f t="shared" ca="1" si="458"/>
        <v/>
      </c>
      <c r="AA998" s="316" t="str">
        <f t="shared" ca="1" si="459"/>
        <v/>
      </c>
      <c r="AC998" s="310" t="e">
        <f t="shared" ca="1" si="460"/>
        <v>#N/A</v>
      </c>
      <c r="AD998" s="323" t="e">
        <f t="shared" ca="1" si="461"/>
        <v>#N/A</v>
      </c>
      <c r="AE998" s="324" t="e">
        <f t="shared" ca="1" si="440"/>
        <v>#N/A</v>
      </c>
      <c r="AG998" s="306">
        <f t="shared" ca="1" si="462"/>
        <v>3.5128182335439462E-2</v>
      </c>
      <c r="AH998" s="304">
        <f t="shared" ca="1" si="463"/>
        <v>-9.7695753834583297</v>
      </c>
    </row>
    <row r="999" spans="1:34" x14ac:dyDescent="0.25">
      <c r="A999" s="347">
        <f t="shared" ca="1" si="441"/>
        <v>1E-4</v>
      </c>
      <c r="B999" s="304">
        <f t="shared" ca="1" si="442"/>
        <v>47.140100000001702</v>
      </c>
      <c r="D999" s="306">
        <f t="shared" ca="1" si="443"/>
        <v>-0.32098625090788291</v>
      </c>
      <c r="E999" s="307">
        <f t="shared" ca="1" si="444"/>
        <v>-4.5686616666941404E-2</v>
      </c>
      <c r="F999" s="304">
        <f t="shared" ca="1" si="445"/>
        <v>0.32422128279058177</v>
      </c>
      <c r="G999" s="306">
        <f t="shared" ca="1" si="446"/>
        <v>4.0281601899796007</v>
      </c>
      <c r="H999" s="307">
        <f t="shared" ca="1" si="447"/>
        <v>-122.53650500446844</v>
      </c>
      <c r="I999" s="304">
        <f t="shared" ca="1" si="448"/>
        <v>122.60269627225273</v>
      </c>
      <c r="J999" s="306">
        <f t="shared" ca="1" si="449"/>
        <v>677.64536374242232</v>
      </c>
      <c r="K999" s="307">
        <f t="shared" ca="1" si="450"/>
        <v>-14.607338457017335</v>
      </c>
      <c r="L999" s="304">
        <f t="shared" ca="1" si="435"/>
        <v>677.80278351331492</v>
      </c>
      <c r="M999" s="306">
        <f t="shared" ca="1" si="451"/>
        <v>-1.5379350163791383</v>
      </c>
      <c r="N999" s="304">
        <f t="shared" ca="1" si="452"/>
        <v>-88.117185603907757</v>
      </c>
      <c r="P999" s="310">
        <f t="shared" ca="1" si="453"/>
        <v>23</v>
      </c>
      <c r="Q999" s="304">
        <f t="shared" ca="1" si="454"/>
        <v>0</v>
      </c>
      <c r="R999" s="306">
        <f t="shared" ca="1" si="455"/>
        <v>0</v>
      </c>
      <c r="S999" s="307">
        <f t="shared" ca="1" si="456"/>
        <v>2.0842999999999985</v>
      </c>
      <c r="T999" s="304">
        <f t="shared" ca="1" si="436"/>
        <v>20.446982999999985</v>
      </c>
      <c r="U999" s="311">
        <f t="shared" ca="1" si="437"/>
        <v>0</v>
      </c>
      <c r="V999" s="306">
        <f t="shared" ca="1" si="438"/>
        <v>1.2267907068340249</v>
      </c>
      <c r="W999" s="304">
        <f t="shared" ca="1" si="439"/>
        <v>20.362778208703933</v>
      </c>
      <c r="Y999" s="314" t="str">
        <f t="shared" ca="1" si="457"/>
        <v/>
      </c>
      <c r="Z999" s="315" t="str">
        <f t="shared" ca="1" si="458"/>
        <v/>
      </c>
      <c r="AA999" s="316" t="str">
        <f t="shared" ca="1" si="459"/>
        <v/>
      </c>
      <c r="AC999" s="310" t="e">
        <f t="shared" ca="1" si="460"/>
        <v>#N/A</v>
      </c>
      <c r="AD999" s="323" t="e">
        <f t="shared" ca="1" si="461"/>
        <v>#N/A</v>
      </c>
      <c r="AE999" s="324" t="e">
        <f t="shared" ca="1" si="440"/>
        <v>#N/A</v>
      </c>
      <c r="AG999" s="306">
        <f t="shared" ca="1" si="462"/>
        <v>3.5115735923254121E-2</v>
      </c>
      <c r="AH999" s="304">
        <f t="shared" ca="1" si="463"/>
        <v>-9.7695879146056619</v>
      </c>
    </row>
    <row r="1000" spans="1:34" x14ac:dyDescent="0.25">
      <c r="A1000" s="347">
        <f t="shared" ca="1" si="441"/>
        <v>1E-4</v>
      </c>
      <c r="B1000" s="304">
        <f t="shared" ca="1" si="442"/>
        <v>47.140200000001705</v>
      </c>
      <c r="D1000" s="306">
        <f t="shared" ca="1" si="443"/>
        <v>-0.32098409564719388</v>
      </c>
      <c r="E1000" s="307">
        <f t="shared" ca="1" si="444"/>
        <v>-4.5674008081993733E-2</v>
      </c>
      <c r="F1000" s="304">
        <f t="shared" ca="1" si="445"/>
        <v>0.32421737256464361</v>
      </c>
      <c r="G1000" s="306">
        <f t="shared" ca="1" si="446"/>
        <v>4.0281280915700357</v>
      </c>
      <c r="H1000" s="307">
        <f t="shared" ca="1" si="447"/>
        <v>-122.53650957186925</v>
      </c>
      <c r="I1000" s="304">
        <f t="shared" ca="1" si="448"/>
        <v>122.60269978258594</v>
      </c>
      <c r="J1000" s="306">
        <f t="shared" ca="1" si="449"/>
        <v>677.64536374242232</v>
      </c>
      <c r="K1000" s="307">
        <f t="shared" ca="1" si="450"/>
        <v>-14.619592107746151</v>
      </c>
      <c r="L1000" s="304">
        <f t="shared" ca="1" si="435"/>
        <v>677.80304770264695</v>
      </c>
      <c r="M1000" s="306">
        <f t="shared" ca="1" si="451"/>
        <v>-1.5379352792701184</v>
      </c>
      <c r="N1000" s="304">
        <f t="shared" ca="1" si="452"/>
        <v>-88.117200666451396</v>
      </c>
      <c r="P1000" s="310">
        <f t="shared" ca="1" si="453"/>
        <v>23</v>
      </c>
      <c r="Q1000" s="304">
        <f t="shared" ca="1" si="454"/>
        <v>0</v>
      </c>
      <c r="R1000" s="306">
        <f t="shared" ca="1" si="455"/>
        <v>0</v>
      </c>
      <c r="S1000" s="307">
        <f t="shared" ca="1" si="456"/>
        <v>2.0842999999999985</v>
      </c>
      <c r="T1000" s="304">
        <f t="shared" ca="1" si="436"/>
        <v>20.446982999999985</v>
      </c>
      <c r="U1000" s="311">
        <f t="shared" ca="1" si="437"/>
        <v>0</v>
      </c>
      <c r="V1000" s="306">
        <f t="shared" ca="1" si="438"/>
        <v>1.2267922101022322</v>
      </c>
      <c r="W1000" s="304">
        <f t="shared" ca="1" si="439"/>
        <v>20.362804326616292</v>
      </c>
      <c r="Y1000" s="314" t="str">
        <f t="shared" ca="1" si="457"/>
        <v/>
      </c>
      <c r="Z1000" s="315" t="str">
        <f t="shared" ca="1" si="458"/>
        <v/>
      </c>
      <c r="AA1000" s="316" t="str">
        <f t="shared" ca="1" si="459"/>
        <v/>
      </c>
      <c r="AC1000" s="310" t="e">
        <f t="shared" ca="1" si="460"/>
        <v>#N/A</v>
      </c>
      <c r="AD1000" s="323" t="e">
        <f t="shared" ca="1" si="461"/>
        <v>#N/A</v>
      </c>
      <c r="AE1000" s="324" t="e">
        <f t="shared" ca="1" si="440"/>
        <v>#N/A</v>
      </c>
      <c r="AG1000" s="306">
        <f t="shared" ca="1" si="462"/>
        <v>3.5103289691555517E-2</v>
      </c>
      <c r="AH1000" s="304">
        <f t="shared" ca="1" si="463"/>
        <v>-9.7696004455711503</v>
      </c>
    </row>
    <row r="1001" spans="1:34" x14ac:dyDescent="0.25">
      <c r="A1001" s="347">
        <f t="shared" ca="1" si="441"/>
        <v>1E-4</v>
      </c>
      <c r="B1001" s="304">
        <f t="shared" ca="1" si="442"/>
        <v>47.140300000001709</v>
      </c>
      <c r="D1001" s="306">
        <f t="shared" ca="1" si="443"/>
        <v>-0.32098194039452477</v>
      </c>
      <c r="E1001" s="307">
        <f t="shared" ca="1" si="444"/>
        <v>-4.5661399679923775E-2</v>
      </c>
      <c r="F1001" s="304">
        <f t="shared" ca="1" si="445"/>
        <v>0.32421346282991392</v>
      </c>
      <c r="G1001" s="306">
        <f t="shared" ca="1" si="446"/>
        <v>4.0280959933759961</v>
      </c>
      <c r="H1001" s="307">
        <f t="shared" ca="1" si="447"/>
        <v>-122.53651413800921</v>
      </c>
      <c r="I1001" s="304">
        <f t="shared" ca="1" si="448"/>
        <v>122.60270329167454</v>
      </c>
      <c r="J1001" s="306">
        <f t="shared" ca="1" si="449"/>
        <v>677.64536374242232</v>
      </c>
      <c r="K1001" s="307">
        <f t="shared" ca="1" si="450"/>
        <v>-14.631845758931645</v>
      </c>
      <c r="L1001" s="304">
        <f t="shared" ca="1" si="435"/>
        <v>677.8033121134132</v>
      </c>
      <c r="M1001" s="306">
        <f t="shared" ca="1" si="451"/>
        <v>-1.5379355421589884</v>
      </c>
      <c r="N1001" s="304">
        <f t="shared" ca="1" si="452"/>
        <v>-88.117215728874129</v>
      </c>
      <c r="P1001" s="310">
        <f t="shared" ca="1" si="453"/>
        <v>23</v>
      </c>
      <c r="Q1001" s="304">
        <f t="shared" ca="1" si="454"/>
        <v>0</v>
      </c>
      <c r="R1001" s="306">
        <f t="shared" ca="1" si="455"/>
        <v>0</v>
      </c>
      <c r="S1001" s="307">
        <f t="shared" ca="1" si="456"/>
        <v>2.0842999999999985</v>
      </c>
      <c r="T1001" s="304">
        <f t="shared" ca="1" si="436"/>
        <v>20.446982999999985</v>
      </c>
      <c r="U1001" s="311">
        <f t="shared" ca="1" si="437"/>
        <v>0</v>
      </c>
      <c r="V1001" s="306">
        <f t="shared" ca="1" si="438"/>
        <v>1.2267937133723394</v>
      </c>
      <c r="W1001" s="304">
        <f t="shared" ca="1" si="439"/>
        <v>20.362830444149644</v>
      </c>
      <c r="Y1001" s="314" t="str">
        <f t="shared" ca="1" si="457"/>
        <v/>
      </c>
      <c r="Z1001" s="315" t="str">
        <f t="shared" ca="1" si="458"/>
        <v/>
      </c>
      <c r="AA1001" s="316" t="str">
        <f t="shared" ca="1" si="459"/>
        <v/>
      </c>
      <c r="AC1001" s="310" t="e">
        <f t="shared" ca="1" si="460"/>
        <v>#N/A</v>
      </c>
      <c r="AD1001" s="323" t="e">
        <f t="shared" ca="1" si="461"/>
        <v>#N/A</v>
      </c>
      <c r="AE1001" s="324" t="e">
        <f t="shared" ca="1" si="440"/>
        <v>#N/A</v>
      </c>
      <c r="AG1001" s="306">
        <f t="shared" ca="1" si="462"/>
        <v>3.5090843640338321E-2</v>
      </c>
      <c r="AH1001" s="304">
        <f t="shared" ca="1" si="463"/>
        <v>-9.7696129763547983</v>
      </c>
    </row>
    <row r="1002" spans="1:34" x14ac:dyDescent="0.25">
      <c r="A1002" s="347">
        <f t="shared" ca="1" si="441"/>
        <v>1E-4</v>
      </c>
      <c r="B1002" s="304">
        <f t="shared" ca="1" si="442"/>
        <v>47.140400000001712</v>
      </c>
      <c r="D1002" s="306">
        <f t="shared" ca="1" si="443"/>
        <v>-0.32097978514987791</v>
      </c>
      <c r="E1002" s="307">
        <f t="shared" ca="1" si="444"/>
        <v>-4.564879146073153E-2</v>
      </c>
      <c r="F1002" s="304">
        <f t="shared" ca="1" si="445"/>
        <v>0.32420955358639131</v>
      </c>
      <c r="G1002" s="306">
        <f t="shared" ca="1" si="446"/>
        <v>4.028063895397481</v>
      </c>
      <c r="H1002" s="307">
        <f t="shared" ca="1" si="447"/>
        <v>-122.53651870288836</v>
      </c>
      <c r="I1002" s="304">
        <f t="shared" ca="1" si="448"/>
        <v>122.60270679951856</v>
      </c>
      <c r="J1002" s="306">
        <f t="shared" ca="1" si="449"/>
        <v>677.64536374242232</v>
      </c>
      <c r="K1002" s="307">
        <f t="shared" ca="1" si="450"/>
        <v>-14.644099410573689</v>
      </c>
      <c r="L1002" s="304">
        <f t="shared" ca="1" si="435"/>
        <v>677.80357674561333</v>
      </c>
      <c r="M1002" s="306">
        <f t="shared" ca="1" si="451"/>
        <v>-1.5379358050457488</v>
      </c>
      <c r="N1002" s="304">
        <f t="shared" ca="1" si="452"/>
        <v>-88.117230791175984</v>
      </c>
      <c r="P1002" s="310">
        <f t="shared" ca="1" si="453"/>
        <v>23</v>
      </c>
      <c r="Q1002" s="304">
        <f t="shared" ca="1" si="454"/>
        <v>0</v>
      </c>
      <c r="R1002" s="306">
        <f t="shared" ca="1" si="455"/>
        <v>0</v>
      </c>
      <c r="S1002" s="307">
        <f t="shared" ca="1" si="456"/>
        <v>2.0842999999999985</v>
      </c>
      <c r="T1002" s="304">
        <f t="shared" ca="1" si="436"/>
        <v>20.446982999999985</v>
      </c>
      <c r="U1002" s="311">
        <f t="shared" ca="1" si="437"/>
        <v>0</v>
      </c>
      <c r="V1002" s="306">
        <f t="shared" ca="1" si="438"/>
        <v>1.2267952166443454</v>
      </c>
      <c r="W1002" s="304">
        <f t="shared" ca="1" si="439"/>
        <v>20.362856561303982</v>
      </c>
      <c r="Y1002" s="314" t="str">
        <f t="shared" ca="1" si="457"/>
        <v/>
      </c>
      <c r="Z1002" s="315" t="str">
        <f t="shared" ca="1" si="458"/>
        <v/>
      </c>
      <c r="AA1002" s="316" t="str">
        <f t="shared" ca="1" si="459"/>
        <v/>
      </c>
      <c r="AC1002" s="310" t="e">
        <f t="shared" ca="1" si="460"/>
        <v>#N/A</v>
      </c>
      <c r="AD1002" s="323" t="e">
        <f t="shared" ca="1" si="461"/>
        <v>#N/A</v>
      </c>
      <c r="AE1002" s="324" t="e">
        <f t="shared" ca="1" si="440"/>
        <v>#N/A</v>
      </c>
      <c r="AG1002" s="306">
        <f t="shared" ca="1" si="462"/>
        <v>3.5078397769602532E-2</v>
      </c>
      <c r="AH1002" s="304">
        <f t="shared" ca="1" si="463"/>
        <v>-9.7696255069566078</v>
      </c>
    </row>
    <row r="1003" spans="1:34" x14ac:dyDescent="0.25">
      <c r="A1003" s="347">
        <f t="shared" ca="1" si="441"/>
        <v>1E-4</v>
      </c>
      <c r="B1003" s="304">
        <f t="shared" ca="1" si="442"/>
        <v>47.140500000001715</v>
      </c>
      <c r="D1003" s="306">
        <f t="shared" ca="1" si="443"/>
        <v>-0.32097762991324907</v>
      </c>
      <c r="E1003" s="307">
        <f t="shared" ca="1" si="444"/>
        <v>-4.5636183424416998E-2</v>
      </c>
      <c r="F1003" s="304">
        <f t="shared" ca="1" si="445"/>
        <v>0.32420564483406783</v>
      </c>
      <c r="G1003" s="306">
        <f t="shared" ca="1" si="446"/>
        <v>4.0280317976344895</v>
      </c>
      <c r="H1003" s="307">
        <f t="shared" ca="1" si="447"/>
        <v>-122.53652326650671</v>
      </c>
      <c r="I1003" s="304">
        <f t="shared" ca="1" si="448"/>
        <v>122.602710306118</v>
      </c>
      <c r="J1003" s="306">
        <f t="shared" ca="1" si="449"/>
        <v>677.64536374242232</v>
      </c>
      <c r="K1003" s="307">
        <f t="shared" ca="1" si="450"/>
        <v>-14.65635306267216</v>
      </c>
      <c r="L1003" s="304">
        <f t="shared" ca="1" si="435"/>
        <v>677.80384159924733</v>
      </c>
      <c r="M1003" s="306">
        <f t="shared" ca="1" si="451"/>
        <v>-1.5379360679303993</v>
      </c>
      <c r="N1003" s="304">
        <f t="shared" ca="1" si="452"/>
        <v>-88.117245853356948</v>
      </c>
      <c r="P1003" s="310">
        <f t="shared" ca="1" si="453"/>
        <v>23</v>
      </c>
      <c r="Q1003" s="304">
        <f t="shared" ca="1" si="454"/>
        <v>0</v>
      </c>
      <c r="R1003" s="306">
        <f t="shared" ca="1" si="455"/>
        <v>0</v>
      </c>
      <c r="S1003" s="307">
        <f t="shared" ca="1" si="456"/>
        <v>2.0842999999999985</v>
      </c>
      <c r="T1003" s="304">
        <f t="shared" ca="1" si="436"/>
        <v>20.446982999999985</v>
      </c>
      <c r="U1003" s="311">
        <f t="shared" ca="1" si="437"/>
        <v>0</v>
      </c>
      <c r="V1003" s="306">
        <f ca="1">Rho_moyen*(20000-Alt_rampe-pos_z)/(20000+Alt_rampe+pos_z)</f>
        <v>1.2267967199182515</v>
      </c>
      <c r="W1003" s="304">
        <f t="shared" ca="1" si="439"/>
        <v>20.362882678079327</v>
      </c>
      <c r="Y1003" s="314" t="str">
        <f t="shared" ca="1" si="457"/>
        <v/>
      </c>
      <c r="Z1003" s="315" t="str">
        <f t="shared" ca="1" si="458"/>
        <v/>
      </c>
      <c r="AA1003" s="316" t="str">
        <f t="shared" ca="1" si="459"/>
        <v/>
      </c>
      <c r="AC1003" s="310" t="e">
        <f t="shared" ca="1" si="460"/>
        <v>#N/A</v>
      </c>
      <c r="AD1003" s="323" t="e">
        <f t="shared" ca="1" si="461"/>
        <v>#N/A</v>
      </c>
      <c r="AE1003" s="324" t="e">
        <f t="shared" ca="1" si="440"/>
        <v>#N/A</v>
      </c>
      <c r="AG1003" s="306">
        <f t="shared" ca="1" si="462"/>
        <v>3.5065952079351703E-2</v>
      </c>
      <c r="AH1003" s="304">
        <f t="shared" ca="1" si="463"/>
        <v>-9.7696380373765752</v>
      </c>
    </row>
    <row r="1004" spans="1:34" x14ac:dyDescent="0.25">
      <c r="A1004" s="348">
        <f t="shared" ca="1" si="441"/>
        <v>1E-4</v>
      </c>
      <c r="B1004" s="305">
        <f t="shared" ca="1" si="442"/>
        <v>47.140600000001719</v>
      </c>
      <c r="D1004" s="308">
        <f t="shared" ca="1" si="443"/>
        <v>-0.3209754746846411</v>
      </c>
      <c r="E1004" s="309">
        <f t="shared" ca="1" si="444"/>
        <v>-4.5623575570971298E-2</v>
      </c>
      <c r="F1004" s="305">
        <f t="shared" ca="1" si="445"/>
        <v>0.32420173657294132</v>
      </c>
      <c r="G1004" s="308">
        <f t="shared" ca="1" si="446"/>
        <v>4.0279997000870207</v>
      </c>
      <c r="H1004" s="309">
        <f t="shared" ca="1" si="447"/>
        <v>-122.53652782886427</v>
      </c>
      <c r="I1004" s="305">
        <f t="shared" ca="1" si="448"/>
        <v>122.6027138114729</v>
      </c>
      <c r="J1004" s="308">
        <f t="shared" ca="1" si="449"/>
        <v>677.64536374242232</v>
      </c>
      <c r="K1004" s="309">
        <f t="shared" ca="1" si="450"/>
        <v>-14.668606715226929</v>
      </c>
      <c r="L1004" s="305">
        <f t="shared" ca="1" si="435"/>
        <v>677.80410667431477</v>
      </c>
      <c r="M1004" s="308">
        <f t="shared" ca="1" si="451"/>
        <v>-1.5379363308129397</v>
      </c>
      <c r="N1004" s="305">
        <f t="shared" ca="1" si="452"/>
        <v>-88.11726091541702</v>
      </c>
      <c r="P1004" s="312">
        <f t="shared" ca="1" si="453"/>
        <v>23</v>
      </c>
      <c r="Q1004" s="305">
        <f t="shared" ca="1" si="454"/>
        <v>0</v>
      </c>
      <c r="R1004" s="308">
        <f t="shared" ca="1" si="455"/>
        <v>0</v>
      </c>
      <c r="S1004" s="309">
        <f t="shared" ca="1" si="456"/>
        <v>2.0842999999999985</v>
      </c>
      <c r="T1004" s="305">
        <f t="shared" ca="1" si="436"/>
        <v>20.446982999999985</v>
      </c>
      <c r="U1004" s="313">
        <f t="shared" ca="1" si="437"/>
        <v>0</v>
      </c>
      <c r="V1004" s="308">
        <f t="shared" ca="1" si="438"/>
        <v>1.2267982231940562</v>
      </c>
      <c r="W1004" s="305">
        <f ca="1">1/2*Rho*Sref*Cx*vit_xz^2</f>
        <v>20.362908794475665</v>
      </c>
      <c r="Y1004" s="317" t="str">
        <f ca="1">IF(AND(pos_z&lt;=0,K1003&gt;0),"Impact balistique","") &amp; IF(AND(H1005&lt;0,vit_z&gt;=0),"Apogée","") &amp; IF(AND(Poussee=0,Q1003&gt;0),"Fin de propulsion","") &amp; IF(AND(L1005&gt;L_rampe,pos_xz&lt;=L_rampe),"Sortie de rampe","")</f>
        <v/>
      </c>
      <c r="Z1004" s="318" t="str">
        <f t="shared" ca="1" si="458"/>
        <v/>
      </c>
      <c r="AA1004" s="319" t="str">
        <f t="shared" ca="1" si="459"/>
        <v/>
      </c>
      <c r="AC1004" s="312" t="e">
        <f t="shared" ca="1" si="460"/>
        <v>#N/A</v>
      </c>
      <c r="AD1004" s="325" t="e">
        <f t="shared" ca="1" si="461"/>
        <v>#N/A</v>
      </c>
      <c r="AE1004" s="326" t="e">
        <f t="shared" ca="1" si="440"/>
        <v>#N/A</v>
      </c>
      <c r="AG1004" s="308">
        <f t="shared" ca="1" si="462"/>
        <v>3.50535065695734E-2</v>
      </c>
      <c r="AH1004" s="305">
        <f t="shared" ca="1" si="463"/>
        <v>-9.7696505676147112</v>
      </c>
    </row>
    <row r="1005" spans="1:34" x14ac:dyDescent="0.25">
      <c r="Y1005" s="303"/>
    </row>
    <row r="1010" spans="12:12" x14ac:dyDescent="0.25">
      <c r="L1010"/>
    </row>
    <row r="1034" spans="5:25" x14ac:dyDescent="0.25">
      <c r="E1034" s="300" t="s">
        <v>255</v>
      </c>
      <c r="J1034" s="301" t="s">
        <v>247</v>
      </c>
      <c r="T1034" s="300" t="s">
        <v>246</v>
      </c>
      <c r="Y1034" s="302" t="s">
        <v>249</v>
      </c>
    </row>
    <row r="1035" spans="5:25" x14ac:dyDescent="0.25">
      <c r="E1035" s="299" t="s">
        <v>259</v>
      </c>
    </row>
    <row r="1036" spans="5:25" x14ac:dyDescent="0.25">
      <c r="E1036" s="299"/>
      <c r="T1036" s="299" t="s">
        <v>252</v>
      </c>
    </row>
    <row r="1037" spans="5:25" x14ac:dyDescent="0.25">
      <c r="E1037" s="299"/>
      <c r="T1037" s="299" t="s">
        <v>256</v>
      </c>
    </row>
    <row r="1038" spans="5:25" x14ac:dyDescent="0.25">
      <c r="E1038" s="299"/>
      <c r="T1038" s="299" t="s">
        <v>257</v>
      </c>
    </row>
    <row r="1039" spans="5:25" x14ac:dyDescent="0.25">
      <c r="E1039" s="299"/>
      <c r="T1039" s="299" t="s">
        <v>263</v>
      </c>
    </row>
    <row r="1040" spans="5:25" x14ac:dyDescent="0.25">
      <c r="E1040" s="299" t="s">
        <v>258</v>
      </c>
      <c r="T1040" s="299" t="s">
        <v>248</v>
      </c>
    </row>
    <row r="1041" spans="5:20" x14ac:dyDescent="0.25">
      <c r="E1041" s="299"/>
      <c r="T1041" s="299" t="s">
        <v>264</v>
      </c>
    </row>
    <row r="1042" spans="5:20" x14ac:dyDescent="0.25">
      <c r="E1042" s="299"/>
      <c r="R1042" s="303"/>
      <c r="T1042" s="299"/>
    </row>
    <row r="1043" spans="5:20" x14ac:dyDescent="0.25">
      <c r="E1043" s="299"/>
    </row>
    <row r="1044" spans="5:20" x14ac:dyDescent="0.25">
      <c r="E1044" s="299"/>
    </row>
    <row r="1045" spans="5:20" x14ac:dyDescent="0.25">
      <c r="E1045" s="299" t="s">
        <v>261</v>
      </c>
      <c r="R1045" s="303"/>
      <c r="T1045" s="299"/>
    </row>
    <row r="1046" spans="5:20" x14ac:dyDescent="0.25">
      <c r="E1046" s="299"/>
    </row>
    <row r="1047" spans="5:20" x14ac:dyDescent="0.25">
      <c r="E1047" s="299"/>
    </row>
    <row r="1048" spans="5:20" x14ac:dyDescent="0.25">
      <c r="E1048" s="299"/>
      <c r="T1048" s="298" t="s">
        <v>254</v>
      </c>
    </row>
    <row r="1049" spans="5:20" x14ac:dyDescent="0.25">
      <c r="E1049" s="299"/>
    </row>
    <row r="1050" spans="5:20" x14ac:dyDescent="0.25">
      <c r="E1050" s="299" t="s">
        <v>262</v>
      </c>
    </row>
    <row r="1053" spans="5:20" x14ac:dyDescent="0.25">
      <c r="T1053" s="298" t="s">
        <v>267</v>
      </c>
    </row>
    <row r="1055" spans="5:20" x14ac:dyDescent="0.25">
      <c r="E1055" s="299" t="s">
        <v>251</v>
      </c>
    </row>
    <row r="1058" spans="5:20" x14ac:dyDescent="0.25">
      <c r="T1058" s="299" t="s">
        <v>268</v>
      </c>
    </row>
    <row r="1060" spans="5:20" x14ac:dyDescent="0.25">
      <c r="E1060" s="299" t="s">
        <v>260</v>
      </c>
    </row>
    <row r="1061" spans="5:20" x14ac:dyDescent="0.25">
      <c r="E1061" s="299"/>
    </row>
    <row r="1062" spans="5:20" x14ac:dyDescent="0.25">
      <c r="E1062" s="299"/>
    </row>
    <row r="1063" spans="5:20" x14ac:dyDescent="0.25">
      <c r="E1063" s="299"/>
    </row>
    <row r="1064" spans="5:20" x14ac:dyDescent="0.25">
      <c r="E1064" s="299"/>
    </row>
    <row r="1065" spans="5:20" x14ac:dyDescent="0.25">
      <c r="E1065" s="299" t="s">
        <v>250</v>
      </c>
    </row>
    <row r="1066" spans="5:20" x14ac:dyDescent="0.25">
      <c r="E1066" s="299"/>
    </row>
    <row r="1067" spans="5:20" x14ac:dyDescent="0.25">
      <c r="E1067" s="299"/>
    </row>
    <row r="1068" spans="5:20" x14ac:dyDescent="0.25">
      <c r="E1068" s="299"/>
    </row>
    <row r="1069" spans="5:20" x14ac:dyDescent="0.25">
      <c r="E1069" s="299"/>
    </row>
    <row r="1070" spans="5:20" x14ac:dyDescent="0.25">
      <c r="E1070" s="299" t="s">
        <v>253</v>
      </c>
    </row>
    <row r="1071" spans="5:20" x14ac:dyDescent="0.25">
      <c r="E1071" s="299"/>
    </row>
    <row r="1072" spans="5:20" x14ac:dyDescent="0.25">
      <c r="E1072" s="299"/>
    </row>
    <row r="1073" spans="5:5" x14ac:dyDescent="0.25">
      <c r="E1073" s="299"/>
    </row>
    <row r="1074" spans="5:5" x14ac:dyDescent="0.25">
      <c r="E1074" s="299"/>
    </row>
    <row r="1075" spans="5:5" x14ac:dyDescent="0.25">
      <c r="E1075" s="299" t="s">
        <v>265</v>
      </c>
    </row>
  </sheetData>
  <sheetProtection password="C6AC" sheet="1"/>
  <mergeCells count="5">
    <mergeCell ref="D1:N1"/>
    <mergeCell ref="P1:W1"/>
    <mergeCell ref="AG1:AH1"/>
    <mergeCell ref="Y2:AA2"/>
    <mergeCell ref="AC1:AE1"/>
  </mergeCells>
  <phoneticPr fontId="8" type="noConversion"/>
  <conditionalFormatting sqref="A4:XFD1004">
    <cfRule type="expression" dxfId="5" priority="7" stopIfTrue="1">
      <formula>OR($Y4="Sortie de rampe",$Z4="Para")</formula>
    </cfRule>
    <cfRule type="expression" dxfId="4" priority="8" stopIfTrue="1">
      <formula>OR($Y4="Fin de propulsion",$Y4="Impact balistique",$AA4="Satellite")</formula>
    </cfRule>
    <cfRule type="expression" dxfId="3" priority="9" stopIfTrue="1">
      <formula>$Y4="Apogée"</formula>
    </cfRule>
  </conditionalFormatting>
  <hyperlinks>
    <hyperlink ref="J1034" r:id="rId1" xr:uid="{00000000-0004-0000-0400-000000000000}"/>
    <hyperlink ref="Y1034" r:id="rId2" xr:uid="{00000000-0004-0000-0400-000001000000}"/>
  </hyperlinks>
  <pageMargins left="0.39370078740157483" right="0.39370078740157483" top="0.39370078740157483" bottom="0.39370078740157483" header="0" footer="0"/>
  <pageSetup paperSize="9" scale="29" firstPageNumber="0" fitToHeight="5" orientation="portrait" horizontalDpi="300" verticalDpi="3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8">
    <pageSetUpPr fitToPage="1"/>
  </sheetPr>
  <dimension ref="A1:M79"/>
  <sheetViews>
    <sheetView showGridLines="0" workbookViewId="0">
      <selection activeCell="B80" sqref="B80"/>
    </sheetView>
  </sheetViews>
  <sheetFormatPr baseColWidth="10" defaultRowHeight="12.5" x14ac:dyDescent="0.25"/>
  <cols>
    <col min="1" max="1" width="2.1796875" customWidth="1"/>
    <col min="2" max="2" width="16.36328125" customWidth="1"/>
    <col min="3" max="4" width="11.453125" customWidth="1"/>
  </cols>
  <sheetData>
    <row r="1" spans="1:13" ht="13" x14ac:dyDescent="0.3">
      <c r="A1" s="51"/>
      <c r="B1" s="52"/>
      <c r="C1" s="53"/>
      <c r="D1" s="52"/>
      <c r="E1" s="72"/>
      <c r="F1" s="72"/>
      <c r="G1" s="72"/>
      <c r="H1" s="72"/>
      <c r="I1" s="72"/>
      <c r="J1" s="72"/>
      <c r="K1" s="72"/>
      <c r="L1" s="72"/>
      <c r="M1" s="73"/>
    </row>
    <row r="2" spans="1:13" ht="12.75" customHeight="1" x14ac:dyDescent="0.3">
      <c r="A2" s="56"/>
      <c r="B2" s="2"/>
      <c r="C2" s="625" t="s">
        <v>280</v>
      </c>
      <c r="D2" s="625"/>
      <c r="M2" s="75"/>
    </row>
    <row r="3" spans="1:13" ht="12.75" customHeight="1" x14ac:dyDescent="0.3">
      <c r="A3" s="56"/>
      <c r="B3" s="2"/>
      <c r="C3" s="625"/>
      <c r="D3" s="625"/>
      <c r="M3" s="75"/>
    </row>
    <row r="4" spans="1:13" ht="13" x14ac:dyDescent="0.3">
      <c r="A4" s="56"/>
      <c r="B4" s="2"/>
      <c r="C4" s="628" t="str">
        <f>IF(Lang="Français","Abaques de performance",IF(Lang="English","Performance charts",""))</f>
        <v>Abaques de performance</v>
      </c>
      <c r="D4" s="628"/>
      <c r="M4" s="75"/>
    </row>
    <row r="5" spans="1:13" ht="13" x14ac:dyDescent="0.3">
      <c r="A5" s="56"/>
      <c r="B5" s="2"/>
      <c r="C5" s="628" t="str">
        <f>IF(Lang="Français","Calcul analytique simple",IF(Lang="English","Analytical computation",""))</f>
        <v>Calcul analytique simple</v>
      </c>
      <c r="D5" s="628"/>
      <c r="M5" s="75"/>
    </row>
    <row r="6" spans="1:13" ht="13" x14ac:dyDescent="0.3">
      <c r="A6" s="56"/>
      <c r="B6" s="87"/>
      <c r="C6" s="1"/>
      <c r="D6" s="1"/>
      <c r="M6" s="75"/>
    </row>
    <row r="7" spans="1:13" ht="13" x14ac:dyDescent="0.3">
      <c r="A7" s="59"/>
      <c r="B7" s="6"/>
      <c r="C7" s="607" t="str">
        <f>IF(Lang="Français","Fusée",IF(Lang="English","Rocket",""))</f>
        <v>Fusée</v>
      </c>
      <c r="D7" s="607"/>
      <c r="M7" s="75"/>
    </row>
    <row r="8" spans="1:13" ht="15.5" x14ac:dyDescent="0.35">
      <c r="A8" s="59"/>
      <c r="B8" s="140" t="str">
        <f>IF(Lang="Français","Nom",IF(Lang="English","Name",""))</f>
        <v>Nom</v>
      </c>
      <c r="C8" s="626" t="str">
        <f>Nom</f>
        <v>SP-02-beta</v>
      </c>
      <c r="D8" s="626"/>
      <c r="M8" s="75"/>
    </row>
    <row r="9" spans="1:13" ht="15.5" x14ac:dyDescent="0.35">
      <c r="A9" s="59"/>
      <c r="B9" s="140" t="s">
        <v>4</v>
      </c>
      <c r="C9" s="626" t="str">
        <f>Club</f>
        <v>l'AeroIPSA</v>
      </c>
      <c r="D9" s="626"/>
      <c r="M9" s="75"/>
    </row>
    <row r="10" spans="1:13" ht="13" x14ac:dyDescent="0.25">
      <c r="A10" s="59"/>
      <c r="B10" s="140" t="str">
        <f>IF(Lang="Français","Masse sans propu",IF(Lang="English","Mass without M",""))</f>
        <v>Masse sans propu</v>
      </c>
      <c r="C10" s="654">
        <f>MasseSans</f>
        <v>2</v>
      </c>
      <c r="D10" s="654"/>
      <c r="M10" s="75"/>
    </row>
    <row r="11" spans="1:13" ht="13" x14ac:dyDescent="0.25">
      <c r="A11" s="59"/>
      <c r="B11" s="140" t="str">
        <f>IF(Lang="Français","Masse totale",IF(Lang="English","Total mass",""))</f>
        <v>Masse totale</v>
      </c>
      <c r="C11" s="657" t="str">
        <f ca="1">MassePlein &amp; " kg ±" &amp; MasseSans &amp; " kg"</f>
        <v>2,1599 kg ±2 kg</v>
      </c>
      <c r="D11" s="657"/>
      <c r="M11" s="75"/>
    </row>
    <row r="12" spans="1:13" ht="13" x14ac:dyDescent="0.3">
      <c r="A12" s="59"/>
      <c r="B12" s="227" t="str">
        <f>IF(Lang="Français","Propulseur",IF(Lang="English","Motor",""))</f>
        <v>Propulseur</v>
      </c>
      <c r="C12" s="605" t="str">
        <f>Propu</f>
        <v>Pandora (Pro24-6G BS)</v>
      </c>
      <c r="D12" s="606"/>
      <c r="M12" s="75"/>
    </row>
    <row r="13" spans="1:13" x14ac:dyDescent="0.25">
      <c r="A13" s="59"/>
      <c r="B13" s="1"/>
      <c r="C13" s="1"/>
      <c r="D13" s="1"/>
      <c r="M13" s="75"/>
    </row>
    <row r="14" spans="1:13" ht="13" x14ac:dyDescent="0.3">
      <c r="A14" s="74"/>
      <c r="C14" s="607" t="str">
        <f>IF(Lang="Français","Traînée Aérdynamique",IF(Lang="English","Drag",""))</f>
        <v>Traînée Aérdynamique</v>
      </c>
      <c r="D14" s="607"/>
      <c r="M14" s="75"/>
    </row>
    <row r="15" spans="1:13" ht="13" x14ac:dyDescent="0.3">
      <c r="A15" s="74"/>
      <c r="B15" s="139" t="str">
        <f>IF(Lang="Français","Diamètre Ø",IF(Lang="English","Diameter Ø",""))</f>
        <v>Diamètre Ø</v>
      </c>
      <c r="C15" s="655">
        <f>D_ref</f>
        <v>64</v>
      </c>
      <c r="D15" s="655"/>
      <c r="M15" s="75"/>
    </row>
    <row r="16" spans="1:13" ht="13" x14ac:dyDescent="0.25">
      <c r="A16" s="74"/>
      <c r="B16" s="140" t="s">
        <v>5</v>
      </c>
      <c r="C16" s="656">
        <f>Cx</f>
        <v>0.5</v>
      </c>
      <c r="D16" s="656"/>
      <c r="M16" s="75"/>
    </row>
    <row r="17" spans="1:13" x14ac:dyDescent="0.25">
      <c r="A17" s="74"/>
      <c r="M17" s="75"/>
    </row>
    <row r="18" spans="1:13" x14ac:dyDescent="0.25">
      <c r="A18" s="74"/>
      <c r="M18" s="75"/>
    </row>
    <row r="19" spans="1:13" x14ac:dyDescent="0.25">
      <c r="A19" s="74"/>
      <c r="M19" s="75"/>
    </row>
    <row r="20" spans="1:13" x14ac:dyDescent="0.25">
      <c r="A20" s="74"/>
      <c r="M20" s="75"/>
    </row>
    <row r="21" spans="1:13" x14ac:dyDescent="0.25">
      <c r="A21" s="74"/>
      <c r="M21" s="75"/>
    </row>
    <row r="22" spans="1:13" x14ac:dyDescent="0.25">
      <c r="A22" s="74"/>
      <c r="M22" s="75"/>
    </row>
    <row r="23" spans="1:13" x14ac:dyDescent="0.25">
      <c r="A23" s="74"/>
      <c r="M23" s="75"/>
    </row>
    <row r="24" spans="1:13" x14ac:dyDescent="0.25">
      <c r="A24" s="74"/>
      <c r="M24" s="75"/>
    </row>
    <row r="25" spans="1:13" x14ac:dyDescent="0.25">
      <c r="A25" s="74"/>
      <c r="M25" s="75"/>
    </row>
    <row r="26" spans="1:13" x14ac:dyDescent="0.25">
      <c r="A26" s="74"/>
      <c r="M26" s="75"/>
    </row>
    <row r="27" spans="1:13" x14ac:dyDescent="0.25">
      <c r="A27" s="74"/>
      <c r="M27" s="75"/>
    </row>
    <row r="28" spans="1:13" x14ac:dyDescent="0.25">
      <c r="A28" s="74"/>
      <c r="M28" s="75"/>
    </row>
    <row r="29" spans="1:13" x14ac:dyDescent="0.25">
      <c r="A29" s="74"/>
      <c r="M29" s="75"/>
    </row>
    <row r="30" spans="1:13" x14ac:dyDescent="0.25">
      <c r="A30" s="74"/>
      <c r="M30" s="75"/>
    </row>
    <row r="31" spans="1:13" x14ac:dyDescent="0.25">
      <c r="A31" s="74"/>
      <c r="M31" s="75"/>
    </row>
    <row r="32" spans="1:13" x14ac:dyDescent="0.25">
      <c r="A32" s="74"/>
      <c r="M32" s="75"/>
    </row>
    <row r="33" spans="1:13" x14ac:dyDescent="0.25">
      <c r="A33" s="74"/>
      <c r="M33" s="75"/>
    </row>
    <row r="34" spans="1:13" x14ac:dyDescent="0.25">
      <c r="A34" s="74"/>
      <c r="M34" s="75"/>
    </row>
    <row r="35" spans="1:13" ht="13" thickBot="1" x14ac:dyDescent="0.3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</row>
    <row r="39" spans="1:13" ht="13" x14ac:dyDescent="0.25">
      <c r="B39" s="419" t="s">
        <v>62</v>
      </c>
      <c r="C39" s="170" t="s">
        <v>284</v>
      </c>
      <c r="D39" s="134" t="s">
        <v>281</v>
      </c>
      <c r="E39" s="134" t="s">
        <v>285</v>
      </c>
      <c r="F39" s="134" t="s">
        <v>286</v>
      </c>
      <c r="G39" s="134" t="s">
        <v>13</v>
      </c>
      <c r="H39" s="134" t="s">
        <v>282</v>
      </c>
      <c r="I39" s="134" t="s">
        <v>283</v>
      </c>
      <c r="J39" s="134" t="s">
        <v>298</v>
      </c>
      <c r="K39" s="134" t="s">
        <v>299</v>
      </c>
      <c r="L39" s="134" t="s">
        <v>301</v>
      </c>
      <c r="M39" s="134" t="s">
        <v>289</v>
      </c>
    </row>
    <row r="40" spans="1:13" ht="13" x14ac:dyDescent="0.25">
      <c r="B40" s="420" t="s">
        <v>290</v>
      </c>
      <c r="C40" s="170" t="s">
        <v>291</v>
      </c>
      <c r="D40" s="134" t="s">
        <v>292</v>
      </c>
      <c r="E40" s="134" t="s">
        <v>293</v>
      </c>
      <c r="F40" s="134" t="s">
        <v>294</v>
      </c>
      <c r="G40" s="134" t="s">
        <v>295</v>
      </c>
      <c r="H40" s="134" t="s">
        <v>296</v>
      </c>
      <c r="I40" s="134" t="s">
        <v>297</v>
      </c>
      <c r="J40" s="134" t="s">
        <v>287</v>
      </c>
      <c r="K40" s="134" t="s">
        <v>288</v>
      </c>
      <c r="L40" s="134"/>
      <c r="M40" s="134"/>
    </row>
    <row r="41" spans="1:13" x14ac:dyDescent="0.25">
      <c r="B41" s="425">
        <f t="shared" ref="B41:B49" ca="1" si="0">MAX(D_ref*0.5, Diam_propu)</f>
        <v>32</v>
      </c>
      <c r="C41" s="403">
        <f t="shared" ref="C41:C67" ca="1" si="1">1/2*Rho_moyen*PI()*D_var^2/4*Cx/10^6</f>
        <v>2.4630086404143982E-4</v>
      </c>
      <c r="D41" s="400">
        <f ca="1">MpropuPlein+0*MasseSans</f>
        <v>0.15989999999999999</v>
      </c>
      <c r="E41" s="400">
        <f t="shared" ref="E41:E67" ca="1" si="2">m_var - 0.5*m_poudre</f>
        <v>0.12209999999999999</v>
      </c>
      <c r="F41" s="400">
        <f t="shared" ref="F41:F67" ca="1" si="3">m_var - m_poudre</f>
        <v>8.43E-2</v>
      </c>
      <c r="G41" s="407">
        <f t="shared" ref="G41:G67" ca="1" si="4">MAX(0, (I_total/Temps_fin_propu)/m_prop-g)</f>
        <v>573.48238329238336</v>
      </c>
      <c r="H41" s="406">
        <f t="shared" ref="H41:H67" ca="1" si="5">Q_var/m_prop</f>
        <v>2.0172060937054862E-3</v>
      </c>
      <c r="I41" s="403">
        <f t="shared" ref="I41:I67" ca="1" si="6">Q_var/m_bal</f>
        <v>2.9217184346552768E-3</v>
      </c>
      <c r="J41" s="403">
        <f t="shared" ref="J41:J67" ca="1" si="7">1/(2*b_prop)*LN(  ((EXP(2*SQRT(a_prop*b_prop)*Temps_fin_propu)+1)^2)  /  (((1+1)^2)*EXP(2*SQRT(a_prop*b_prop)*Temps_fin_propu)))</f>
        <v>729.43601299763338</v>
      </c>
      <c r="K41" s="410">
        <f t="shared" ref="K41:K67" ca="1" si="8">SQRT(a_prop/b_prop)  *  (EXP(2*SQRT(a_prop*b_prop)*Temps_fin_propu)-1)/(EXP(2*SQRT(a_prop*b_prop)*Temps_fin_propu)+1)</f>
        <v>518.94952416597778</v>
      </c>
      <c r="L41" s="413">
        <f t="shared" ref="L41:L67" ca="1" si="9">alt_prop + 1/(2*b_bal) * LN(1+b_bal/g*V_prop^2)</f>
        <v>1481.9072365242646</v>
      </c>
      <c r="M41" s="416">
        <f t="shared" ref="M41:M67" ca="1" si="10">Temps_fin_propu + ATAN(SQRT(b_bal/g)*V_prop)/SQRT(b_bal*g)</f>
        <v>10.621440228038505</v>
      </c>
    </row>
    <row r="42" spans="1:13" x14ac:dyDescent="0.25">
      <c r="B42" s="426">
        <f t="shared" ca="1" si="0"/>
        <v>32</v>
      </c>
      <c r="C42" s="404">
        <f t="shared" ca="1" si="1"/>
        <v>2.4630086404143982E-4</v>
      </c>
      <c r="D42" s="401">
        <f ca="1">MpropuPlein+0.25*MasseSans</f>
        <v>0.65989999999999993</v>
      </c>
      <c r="E42" s="401">
        <f t="shared" ca="1" si="2"/>
        <v>0.62209999999999999</v>
      </c>
      <c r="F42" s="401">
        <f t="shared" ca="1" si="3"/>
        <v>0.58429999999999993</v>
      </c>
      <c r="G42" s="408">
        <f t="shared" ca="1" si="4"/>
        <v>104.67320205754702</v>
      </c>
      <c r="H42" s="404">
        <f t="shared" ca="1" si="5"/>
        <v>3.9591844404668033E-4</v>
      </c>
      <c r="I42" s="404">
        <f t="shared" ca="1" si="6"/>
        <v>4.215315147038163E-4</v>
      </c>
      <c r="J42" s="404">
        <f t="shared" ca="1" si="7"/>
        <v>203.80603654341118</v>
      </c>
      <c r="K42" s="411">
        <f t="shared" ca="1" si="8"/>
        <v>198.49753990043649</v>
      </c>
      <c r="L42" s="414">
        <f t="shared" ca="1" si="9"/>
        <v>1378.8979794910933</v>
      </c>
      <c r="M42" s="417">
        <f t="shared" ca="1" si="10"/>
        <v>16.237261476387317</v>
      </c>
    </row>
    <row r="43" spans="1:13" x14ac:dyDescent="0.25">
      <c r="B43" s="426">
        <f t="shared" ca="1" si="0"/>
        <v>32</v>
      </c>
      <c r="C43" s="404">
        <f t="shared" ca="1" si="1"/>
        <v>2.4630086404143982E-4</v>
      </c>
      <c r="D43" s="401">
        <f ca="1">MpropuPlein+0.5*MasseSans</f>
        <v>1.1598999999999999</v>
      </c>
      <c r="E43" s="401">
        <f t="shared" ca="1" si="2"/>
        <v>1.1220999999999999</v>
      </c>
      <c r="F43" s="401">
        <f t="shared" ca="1" si="3"/>
        <v>1.0843</v>
      </c>
      <c r="G43" s="408">
        <f t="shared" ca="1" si="4"/>
        <v>53.660278941270832</v>
      </c>
      <c r="H43" s="404">
        <f t="shared" ca="1" si="5"/>
        <v>2.194999233949201E-4</v>
      </c>
      <c r="I43" s="404">
        <f t="shared" ca="1" si="6"/>
        <v>2.2715195429442019E-4</v>
      </c>
      <c r="J43" s="404">
        <f t="shared" ca="1" si="7"/>
        <v>106.48828469079935</v>
      </c>
      <c r="K43" s="411">
        <f t="shared" ca="1" si="8"/>
        <v>105.66630297739793</v>
      </c>
      <c r="L43" s="414">
        <f t="shared" ca="1" si="9"/>
        <v>612.64481520796915</v>
      </c>
      <c r="M43" s="417">
        <f t="shared" ca="1" si="10"/>
        <v>11.964850339807267</v>
      </c>
    </row>
    <row r="44" spans="1:13" x14ac:dyDescent="0.25">
      <c r="B44" s="426">
        <f t="shared" ca="1" si="0"/>
        <v>32</v>
      </c>
      <c r="C44" s="404">
        <f t="shared" ca="1" si="1"/>
        <v>2.4630086404143982E-4</v>
      </c>
      <c r="D44" s="401">
        <f ca="1">MpropuPlein+0.75*MasseSans</f>
        <v>1.6598999999999999</v>
      </c>
      <c r="E44" s="401">
        <f t="shared" ca="1" si="2"/>
        <v>1.6220999999999999</v>
      </c>
      <c r="F44" s="401">
        <f t="shared" ca="1" si="3"/>
        <v>1.5843</v>
      </c>
      <c r="G44" s="408">
        <f t="shared" ca="1" si="4"/>
        <v>34.096047715923802</v>
      </c>
      <c r="H44" s="404">
        <f t="shared" ca="1" si="5"/>
        <v>1.5184073980731142E-4</v>
      </c>
      <c r="I44" s="404">
        <f t="shared" ca="1" si="6"/>
        <v>1.5546352587353393E-4</v>
      </c>
      <c r="J44" s="404">
        <f t="shared" ca="1" si="7"/>
        <v>67.958025714589496</v>
      </c>
      <c r="K44" s="411">
        <f t="shared" ca="1" si="8"/>
        <v>67.725239557747287</v>
      </c>
      <c r="L44" s="414">
        <f t="shared" ca="1" si="9"/>
        <v>293.62934511904984</v>
      </c>
      <c r="M44" s="417">
        <f t="shared" ca="1" si="10"/>
        <v>8.7433596295815299</v>
      </c>
    </row>
    <row r="45" spans="1:13" x14ac:dyDescent="0.25">
      <c r="B45" s="426">
        <f t="shared" ca="1" si="0"/>
        <v>32</v>
      </c>
      <c r="C45" s="404">
        <f t="shared" ca="1" si="1"/>
        <v>2.4630086404143982E-4</v>
      </c>
      <c r="D45" s="401">
        <f ca="1">MpropuPlein+1*MasseSans</f>
        <v>2.1598999999999999</v>
      </c>
      <c r="E45" s="401">
        <f t="shared" ca="1" si="2"/>
        <v>2.1221000000000001</v>
      </c>
      <c r="F45" s="401">
        <f t="shared" ca="1" si="3"/>
        <v>2.0842999999999998</v>
      </c>
      <c r="G45" s="408">
        <f t="shared" ca="1" si="4"/>
        <v>23.751095141605006</v>
      </c>
      <c r="H45" s="404">
        <f t="shared" ca="1" si="5"/>
        <v>1.1606468311646002E-4</v>
      </c>
      <c r="I45" s="404">
        <f t="shared" ca="1" si="6"/>
        <v>1.1816958405289058E-4</v>
      </c>
      <c r="J45" s="404">
        <f t="shared" ca="1" si="7"/>
        <v>47.415147758620058</v>
      </c>
      <c r="K45" s="411">
        <f t="shared" ca="1" si="8"/>
        <v>47.328360220362292</v>
      </c>
      <c r="L45" s="414">
        <f t="shared" ca="1" si="9"/>
        <v>160.06992086835291</v>
      </c>
      <c r="M45" s="417">
        <f t="shared" ca="1" si="10"/>
        <v>6.7817986685975225</v>
      </c>
    </row>
    <row r="46" spans="1:13" x14ac:dyDescent="0.25">
      <c r="B46" s="426">
        <f t="shared" ca="1" si="0"/>
        <v>32</v>
      </c>
      <c r="C46" s="404">
        <f t="shared" ca="1" si="1"/>
        <v>2.4630086404143982E-4</v>
      </c>
      <c r="D46" s="401">
        <f ca="1">MpropuPlein+1.25*MasseSans</f>
        <v>2.6598999999999999</v>
      </c>
      <c r="E46" s="401">
        <f t="shared" ca="1" si="2"/>
        <v>2.6221000000000001</v>
      </c>
      <c r="F46" s="401">
        <f t="shared" ca="1" si="3"/>
        <v>2.5842999999999998</v>
      </c>
      <c r="G46" s="408">
        <f t="shared" ca="1" si="4"/>
        <v>17.351435490637272</v>
      </c>
      <c r="H46" s="404">
        <f t="shared" ca="1" si="5"/>
        <v>9.3932673826871519E-5</v>
      </c>
      <c r="I46" s="404">
        <f t="shared" ca="1" si="6"/>
        <v>9.5306606834129101E-5</v>
      </c>
      <c r="J46" s="404">
        <f t="shared" ca="1" si="7"/>
        <v>34.665229037085886</v>
      </c>
      <c r="K46" s="411">
        <f t="shared" ca="1" si="8"/>
        <v>34.627652389421009</v>
      </c>
      <c r="L46" s="414">
        <f t="shared" ca="1" si="9"/>
        <v>95.426895124649832</v>
      </c>
      <c r="M46" s="417">
        <f t="shared" ca="1" si="10"/>
        <v>5.516220362636842</v>
      </c>
    </row>
    <row r="47" spans="1:13" x14ac:dyDescent="0.25">
      <c r="B47" s="426">
        <f t="shared" ca="1" si="0"/>
        <v>32</v>
      </c>
      <c r="C47" s="404">
        <f t="shared" ca="1" si="1"/>
        <v>2.4630086404143982E-4</v>
      </c>
      <c r="D47" s="401">
        <f ca="1">MpropuPlein+1.5*MasseSans</f>
        <v>3.1598999999999999</v>
      </c>
      <c r="E47" s="401">
        <f t="shared" ca="1" si="2"/>
        <v>3.1221000000000001</v>
      </c>
      <c r="F47" s="401">
        <f t="shared" ca="1" si="3"/>
        <v>3.0842999999999998</v>
      </c>
      <c r="G47" s="408">
        <f t="shared" ca="1" si="4"/>
        <v>13.001569136158354</v>
      </c>
      <c r="H47" s="404">
        <f t="shared" ca="1" si="5"/>
        <v>7.8889485936209548E-5</v>
      </c>
      <c r="I47" s="404">
        <f t="shared" ca="1" si="6"/>
        <v>7.985632527362443E-5</v>
      </c>
      <c r="J47" s="404">
        <f t="shared" ca="1" si="7"/>
        <v>25.985376978989876</v>
      </c>
      <c r="K47" s="411">
        <f t="shared" ca="1" si="8"/>
        <v>25.967635090589273</v>
      </c>
      <c r="L47" s="414">
        <f t="shared" ca="1" si="9"/>
        <v>60.260305644996478</v>
      </c>
      <c r="M47" s="417">
        <f t="shared" ca="1" si="10"/>
        <v>4.6422301272473749</v>
      </c>
    </row>
    <row r="48" spans="1:13" x14ac:dyDescent="0.25">
      <c r="B48" s="426">
        <f t="shared" ca="1" si="0"/>
        <v>32</v>
      </c>
      <c r="C48" s="404">
        <f t="shared" ca="1" si="1"/>
        <v>2.4630086404143982E-4</v>
      </c>
      <c r="D48" s="401">
        <f ca="1">MpropuPlein+1.75*MasseSans</f>
        <v>3.6598999999999999</v>
      </c>
      <c r="E48" s="401">
        <f t="shared" ca="1" si="2"/>
        <v>3.6221000000000001</v>
      </c>
      <c r="F48" s="401">
        <f t="shared" ca="1" si="3"/>
        <v>3.5842999999999998</v>
      </c>
      <c r="G48" s="408">
        <f t="shared" ca="1" si="4"/>
        <v>9.8526266530465723</v>
      </c>
      <c r="H48" s="404">
        <f t="shared" ca="1" si="5"/>
        <v>6.7999465514878053E-5</v>
      </c>
      <c r="I48" s="404">
        <f t="shared" ca="1" si="6"/>
        <v>6.8716587350790899E-5</v>
      </c>
      <c r="J48" s="404">
        <f t="shared" ca="1" si="7"/>
        <v>19.69645826108226</v>
      </c>
      <c r="K48" s="411">
        <f t="shared" ca="1" si="8"/>
        <v>19.68766949561736</v>
      </c>
      <c r="L48" s="414">
        <f t="shared" ca="1" si="9"/>
        <v>39.425260198496034</v>
      </c>
      <c r="M48" s="417">
        <f t="shared" ca="1" si="10"/>
        <v>4.0050846746559721</v>
      </c>
    </row>
    <row r="49" spans="2:13" x14ac:dyDescent="0.25">
      <c r="B49" s="427">
        <f t="shared" ca="1" si="0"/>
        <v>32</v>
      </c>
      <c r="C49" s="405">
        <f t="shared" ca="1" si="1"/>
        <v>2.4630086404143982E-4</v>
      </c>
      <c r="D49" s="402">
        <f ca="1">MpropuPlein+2*MasseSans</f>
        <v>4.1599000000000004</v>
      </c>
      <c r="E49" s="402">
        <f t="shared" ca="1" si="2"/>
        <v>4.1221000000000005</v>
      </c>
      <c r="F49" s="402">
        <f t="shared" ca="1" si="3"/>
        <v>4.0843000000000007</v>
      </c>
      <c r="G49" s="409">
        <f t="shared" ca="1" si="4"/>
        <v>7.4676012226777591</v>
      </c>
      <c r="H49" s="405">
        <f t="shared" ca="1" si="5"/>
        <v>5.9751307353397491E-5</v>
      </c>
      <c r="I49" s="405">
        <f t="shared" ca="1" si="6"/>
        <v>6.0304302828254481E-5</v>
      </c>
      <c r="J49" s="405">
        <f t="shared" ca="1" si="7"/>
        <v>14.930761844408865</v>
      </c>
      <c r="K49" s="412">
        <f t="shared" ca="1" si="8"/>
        <v>14.926323355662507</v>
      </c>
      <c r="L49" s="415">
        <f t="shared" ca="1" si="9"/>
        <v>26.278503997816205</v>
      </c>
      <c r="M49" s="418">
        <f t="shared" ca="1" si="10"/>
        <v>3.5208475762553997</v>
      </c>
    </row>
    <row r="50" spans="2:13" x14ac:dyDescent="0.25">
      <c r="B50" s="425">
        <f t="shared" ref="B50:B58" si="11">D_ref</f>
        <v>64</v>
      </c>
      <c r="C50" s="403">
        <f t="shared" si="1"/>
        <v>9.8520345616575928E-4</v>
      </c>
      <c r="D50" s="400">
        <f ca="1">MpropuPlein+0*MasseSans</f>
        <v>0.15989999999999999</v>
      </c>
      <c r="E50" s="400">
        <f t="shared" ca="1" si="2"/>
        <v>0.12209999999999999</v>
      </c>
      <c r="F50" s="400">
        <f t="shared" ca="1" si="3"/>
        <v>8.43E-2</v>
      </c>
      <c r="G50" s="407">
        <f t="shared" ca="1" si="4"/>
        <v>573.48238329238336</v>
      </c>
      <c r="H50" s="403">
        <f t="shared" ca="1" si="5"/>
        <v>8.0688243748219448E-3</v>
      </c>
      <c r="I50" s="403">
        <f t="shared" ca="1" si="6"/>
        <v>1.1686873738621107E-2</v>
      </c>
      <c r="J50" s="403">
        <f t="shared" ca="1" si="7"/>
        <v>447.3119261776659</v>
      </c>
      <c r="K50" s="410">
        <f t="shared" ca="1" si="8"/>
        <v>266.49907966284059</v>
      </c>
      <c r="L50" s="413">
        <f t="shared" ca="1" si="9"/>
        <v>637.68790256291891</v>
      </c>
      <c r="M50" s="416">
        <f t="shared" ca="1" si="10"/>
        <v>6.3193077495453549</v>
      </c>
    </row>
    <row r="51" spans="2:13" x14ac:dyDescent="0.25">
      <c r="B51" s="426">
        <f t="shared" si="11"/>
        <v>64</v>
      </c>
      <c r="C51" s="404">
        <f t="shared" si="1"/>
        <v>9.8520345616575928E-4</v>
      </c>
      <c r="D51" s="401">
        <f ca="1">MpropuPlein+0.25*MasseSans</f>
        <v>0.65989999999999993</v>
      </c>
      <c r="E51" s="401">
        <f t="shared" ca="1" si="2"/>
        <v>0.62209999999999999</v>
      </c>
      <c r="F51" s="401">
        <f t="shared" ca="1" si="3"/>
        <v>0.58429999999999993</v>
      </c>
      <c r="G51" s="408">
        <f t="shared" ca="1" si="4"/>
        <v>104.67320205754702</v>
      </c>
      <c r="H51" s="404">
        <f t="shared" ca="1" si="5"/>
        <v>1.5836737761867213E-3</v>
      </c>
      <c r="I51" s="404">
        <f t="shared" ca="1" si="6"/>
        <v>1.6861260588152652E-3</v>
      </c>
      <c r="J51" s="404">
        <f t="shared" ca="1" si="7"/>
        <v>189.62318837495599</v>
      </c>
      <c r="K51" s="411">
        <f t="shared" ca="1" si="8"/>
        <v>172.7519194218907</v>
      </c>
      <c r="L51" s="414">
        <f t="shared" ca="1" si="9"/>
        <v>727.27495427687541</v>
      </c>
      <c r="M51" s="417">
        <f t="shared" ca="1" si="10"/>
        <v>10.980562782866897</v>
      </c>
    </row>
    <row r="52" spans="2:13" x14ac:dyDescent="0.25">
      <c r="B52" s="426">
        <f t="shared" si="11"/>
        <v>64</v>
      </c>
      <c r="C52" s="404">
        <f t="shared" si="1"/>
        <v>9.8520345616575928E-4</v>
      </c>
      <c r="D52" s="401">
        <f ca="1">MpropuPlein+0.5*MasseSans</f>
        <v>1.1598999999999999</v>
      </c>
      <c r="E52" s="401">
        <f t="shared" ca="1" si="2"/>
        <v>1.1220999999999999</v>
      </c>
      <c r="F52" s="401">
        <f t="shared" ca="1" si="3"/>
        <v>1.0843</v>
      </c>
      <c r="G52" s="408">
        <f t="shared" ca="1" si="4"/>
        <v>53.660278941270832</v>
      </c>
      <c r="H52" s="404">
        <f t="shared" ca="1" si="5"/>
        <v>8.7799969357968042E-4</v>
      </c>
      <c r="I52" s="404">
        <f t="shared" ca="1" si="6"/>
        <v>9.0860781717768074E-4</v>
      </c>
      <c r="J52" s="404">
        <f t="shared" ca="1" si="7"/>
        <v>104.10997755759723</v>
      </c>
      <c r="K52" s="411">
        <f t="shared" ca="1" si="8"/>
        <v>101.05105211477053</v>
      </c>
      <c r="L52" s="414">
        <f t="shared" ca="1" si="9"/>
        <v>470.41863669464141</v>
      </c>
      <c r="M52" s="417">
        <f t="shared" ca="1" si="10"/>
        <v>10.171323546835652</v>
      </c>
    </row>
    <row r="53" spans="2:13" x14ac:dyDescent="0.25">
      <c r="B53" s="426">
        <f t="shared" si="11"/>
        <v>64</v>
      </c>
      <c r="C53" s="404">
        <f t="shared" si="1"/>
        <v>9.8520345616575928E-4</v>
      </c>
      <c r="D53" s="401">
        <f ca="1">MpropuPlein+0.75*MasseSans</f>
        <v>1.6598999999999999</v>
      </c>
      <c r="E53" s="401">
        <f t="shared" ca="1" si="2"/>
        <v>1.6220999999999999</v>
      </c>
      <c r="F53" s="401">
        <f t="shared" ca="1" si="3"/>
        <v>1.5843</v>
      </c>
      <c r="G53" s="408">
        <f t="shared" ca="1" si="4"/>
        <v>34.096047715923802</v>
      </c>
      <c r="H53" s="404">
        <f t="shared" ca="1" si="5"/>
        <v>6.0736295922924569E-4</v>
      </c>
      <c r="I53" s="404">
        <f t="shared" ca="1" si="6"/>
        <v>6.2185410349413571E-4</v>
      </c>
      <c r="J53" s="404">
        <f t="shared" ca="1" si="7"/>
        <v>67.270936622178709</v>
      </c>
      <c r="K53" s="411">
        <f t="shared" ca="1" si="8"/>
        <v>66.369568376303889</v>
      </c>
      <c r="L53" s="414">
        <f t="shared" ca="1" si="9"/>
        <v>265.2723848354745</v>
      </c>
      <c r="M53" s="417">
        <f t="shared" ca="1" si="10"/>
        <v>8.2239789477948388</v>
      </c>
    </row>
    <row r="54" spans="2:13" x14ac:dyDescent="0.25">
      <c r="B54" s="426">
        <f t="shared" si="11"/>
        <v>64</v>
      </c>
      <c r="C54" s="404">
        <f t="shared" si="1"/>
        <v>9.8520345616575928E-4</v>
      </c>
      <c r="D54" s="401">
        <f ca="1">MpropuPlein+1*MasseSans</f>
        <v>2.1598999999999999</v>
      </c>
      <c r="E54" s="401">
        <f t="shared" ca="1" si="2"/>
        <v>2.1221000000000001</v>
      </c>
      <c r="F54" s="401">
        <f t="shared" ca="1" si="3"/>
        <v>2.0842999999999998</v>
      </c>
      <c r="G54" s="408">
        <f t="shared" ca="1" si="4"/>
        <v>23.751095141605006</v>
      </c>
      <c r="H54" s="404">
        <f t="shared" ca="1" si="5"/>
        <v>4.642587324658401E-4</v>
      </c>
      <c r="I54" s="404">
        <f t="shared" ca="1" si="6"/>
        <v>4.7267833621156231E-4</v>
      </c>
      <c r="J54" s="404">
        <f t="shared" ca="1" si="7"/>
        <v>47.157049740103574</v>
      </c>
      <c r="K54" s="411">
        <f t="shared" ca="1" si="8"/>
        <v>46.815908655918143</v>
      </c>
      <c r="L54" s="414">
        <f t="shared" ca="1" si="9"/>
        <v>153.35242205713561</v>
      </c>
      <c r="M54" s="417">
        <f t="shared" ca="1" si="10"/>
        <v>6.6141747765814536</v>
      </c>
    </row>
    <row r="55" spans="2:13" x14ac:dyDescent="0.25">
      <c r="B55" s="426">
        <f t="shared" si="11"/>
        <v>64</v>
      </c>
      <c r="C55" s="404">
        <f t="shared" si="1"/>
        <v>9.8520345616575928E-4</v>
      </c>
      <c r="D55" s="401">
        <f ca="1">MpropuPlein+1.25*MasseSans</f>
        <v>2.6598999999999999</v>
      </c>
      <c r="E55" s="401">
        <f t="shared" ca="1" si="2"/>
        <v>2.6221000000000001</v>
      </c>
      <c r="F55" s="401">
        <f t="shared" ca="1" si="3"/>
        <v>2.5842999999999998</v>
      </c>
      <c r="G55" s="408">
        <f t="shared" ca="1" si="4"/>
        <v>17.351435490637272</v>
      </c>
      <c r="H55" s="404">
        <f t="shared" ca="1" si="5"/>
        <v>3.7573069530748608E-4</v>
      </c>
      <c r="I55" s="404">
        <f t="shared" ca="1" si="6"/>
        <v>3.8122642733651641E-4</v>
      </c>
      <c r="J55" s="404">
        <f t="shared" ca="1" si="7"/>
        <v>34.553082150743364</v>
      </c>
      <c r="K55" s="411">
        <f t="shared" ca="1" si="8"/>
        <v>34.404325804395008</v>
      </c>
      <c r="L55" s="414">
        <f t="shared" ca="1" si="9"/>
        <v>93.535836807904303</v>
      </c>
      <c r="M55" s="417">
        <f t="shared" ca="1" si="10"/>
        <v>5.4547310121187502</v>
      </c>
    </row>
    <row r="56" spans="2:13" x14ac:dyDescent="0.25">
      <c r="B56" s="426">
        <f t="shared" si="11"/>
        <v>64</v>
      </c>
      <c r="C56" s="404">
        <f t="shared" si="1"/>
        <v>9.8520345616575928E-4</v>
      </c>
      <c r="D56" s="401">
        <f ca="1">MpropuPlein+1.5*MasseSans</f>
        <v>3.1598999999999999</v>
      </c>
      <c r="E56" s="401">
        <f t="shared" ca="1" si="2"/>
        <v>3.1221000000000001</v>
      </c>
      <c r="F56" s="401">
        <f t="shared" ca="1" si="3"/>
        <v>3.0842999999999998</v>
      </c>
      <c r="G56" s="408">
        <f t="shared" ca="1" si="4"/>
        <v>13.001569136158354</v>
      </c>
      <c r="H56" s="404">
        <f t="shared" ca="1" si="5"/>
        <v>3.1555794374483819E-4</v>
      </c>
      <c r="I56" s="404">
        <f t="shared" ca="1" si="6"/>
        <v>3.1942530109449772E-4</v>
      </c>
      <c r="J56" s="404">
        <f t="shared" ca="1" si="7"/>
        <v>25.932325092823557</v>
      </c>
      <c r="K56" s="411">
        <f t="shared" ca="1" si="8"/>
        <v>25.861820089244752</v>
      </c>
      <c r="L56" s="414">
        <f t="shared" ca="1" si="9"/>
        <v>59.655813409674863</v>
      </c>
      <c r="M56" s="417">
        <f t="shared" ca="1" si="10"/>
        <v>4.6173798106553683</v>
      </c>
    </row>
    <row r="57" spans="2:13" x14ac:dyDescent="0.25">
      <c r="B57" s="426">
        <f t="shared" si="11"/>
        <v>64</v>
      </c>
      <c r="C57" s="404">
        <f t="shared" si="1"/>
        <v>9.8520345616575928E-4</v>
      </c>
      <c r="D57" s="401">
        <f ca="1">MpropuPlein+1.75*MasseSans</f>
        <v>3.6598999999999999</v>
      </c>
      <c r="E57" s="401">
        <f t="shared" ca="1" si="2"/>
        <v>3.6221000000000001</v>
      </c>
      <c r="F57" s="401">
        <f t="shared" ca="1" si="3"/>
        <v>3.5842999999999998</v>
      </c>
      <c r="G57" s="408">
        <f t="shared" ca="1" si="4"/>
        <v>9.8526266530465723</v>
      </c>
      <c r="H57" s="404">
        <f t="shared" ca="1" si="5"/>
        <v>2.7199786205951221E-4</v>
      </c>
      <c r="I57" s="404">
        <f t="shared" ca="1" si="6"/>
        <v>2.748663494031636E-4</v>
      </c>
      <c r="J57" s="404">
        <f t="shared" ca="1" si="7"/>
        <v>19.670148297347918</v>
      </c>
      <c r="K57" s="411">
        <f t="shared" ca="1" si="8"/>
        <v>19.635143273295299</v>
      </c>
      <c r="L57" s="414">
        <f t="shared" ca="1" si="9"/>
        <v>39.215069433599183</v>
      </c>
      <c r="M57" s="417">
        <f t="shared" ca="1" si="10"/>
        <v>3.9943828461786604</v>
      </c>
    </row>
    <row r="58" spans="2:13" x14ac:dyDescent="0.25">
      <c r="B58" s="427">
        <f t="shared" si="11"/>
        <v>64</v>
      </c>
      <c r="C58" s="405">
        <f t="shared" si="1"/>
        <v>9.8520345616575928E-4</v>
      </c>
      <c r="D58" s="402">
        <f ca="1">MpropuPlein+2*MasseSans</f>
        <v>4.1599000000000004</v>
      </c>
      <c r="E58" s="402">
        <f t="shared" ca="1" si="2"/>
        <v>4.1221000000000005</v>
      </c>
      <c r="F58" s="402">
        <f t="shared" ca="1" si="3"/>
        <v>4.0843000000000007</v>
      </c>
      <c r="G58" s="409">
        <f t="shared" ca="1" si="4"/>
        <v>7.4676012226777591</v>
      </c>
      <c r="H58" s="405">
        <f t="shared" ca="1" si="5"/>
        <v>2.3900522941358997E-4</v>
      </c>
      <c r="I58" s="405">
        <f t="shared" ca="1" si="6"/>
        <v>2.4121721131301792E-4</v>
      </c>
      <c r="J58" s="405">
        <f t="shared" ca="1" si="7"/>
        <v>14.917465346874671</v>
      </c>
      <c r="K58" s="412">
        <f t="shared" ca="1" si="8"/>
        <v>14.899761934098844</v>
      </c>
      <c r="L58" s="415">
        <f t="shared" ca="1" si="9"/>
        <v>26.201826510846224</v>
      </c>
      <c r="M58" s="418">
        <f t="shared" ca="1" si="10"/>
        <v>3.5160793815929843</v>
      </c>
    </row>
    <row r="59" spans="2:13" x14ac:dyDescent="0.25">
      <c r="B59" s="425">
        <f t="shared" ref="B59:B67" si="12">D_ref*1.5</f>
        <v>96</v>
      </c>
      <c r="C59" s="403">
        <f t="shared" si="1"/>
        <v>2.2167077763729586E-3</v>
      </c>
      <c r="D59" s="400">
        <f ca="1">MpropuPlein+0*MasseSans</f>
        <v>0.15989999999999999</v>
      </c>
      <c r="E59" s="400">
        <f t="shared" ca="1" si="2"/>
        <v>0.12209999999999999</v>
      </c>
      <c r="F59" s="400">
        <f t="shared" ca="1" si="3"/>
        <v>8.43E-2</v>
      </c>
      <c r="G59" s="407">
        <f t="shared" ca="1" si="4"/>
        <v>573.48238329238336</v>
      </c>
      <c r="H59" s="403">
        <f t="shared" ca="1" si="5"/>
        <v>1.8154854843349378E-2</v>
      </c>
      <c r="I59" s="403">
        <f t="shared" ca="1" si="6"/>
        <v>2.6295465911897492E-2</v>
      </c>
      <c r="J59" s="403">
        <f t="shared" ca="1" si="7"/>
        <v>317.28280312504063</v>
      </c>
      <c r="K59" s="410">
        <f t="shared" ca="1" si="8"/>
        <v>177.73030863759445</v>
      </c>
      <c r="L59" s="413">
        <f t="shared" ca="1" si="9"/>
        <v>401.90793900567917</v>
      </c>
      <c r="M59" s="416">
        <f t="shared" ca="1" si="10"/>
        <v>4.8796149823077659</v>
      </c>
    </row>
    <row r="60" spans="2:13" x14ac:dyDescent="0.25">
      <c r="B60" s="426">
        <f t="shared" si="12"/>
        <v>96</v>
      </c>
      <c r="C60" s="404">
        <f t="shared" si="1"/>
        <v>2.2167077763729586E-3</v>
      </c>
      <c r="D60" s="401">
        <f ca="1">MpropuPlein+0.25*MasseSans</f>
        <v>0.65989999999999993</v>
      </c>
      <c r="E60" s="401">
        <f t="shared" ca="1" si="2"/>
        <v>0.62209999999999999</v>
      </c>
      <c r="F60" s="401">
        <f t="shared" ca="1" si="3"/>
        <v>0.58429999999999993</v>
      </c>
      <c r="G60" s="408">
        <f t="shared" ca="1" si="4"/>
        <v>104.67320205754702</v>
      </c>
      <c r="H60" s="404">
        <f t="shared" ca="1" si="5"/>
        <v>3.5632659964201234E-3</v>
      </c>
      <c r="I60" s="404">
        <f t="shared" ca="1" si="6"/>
        <v>3.793783632334347E-3</v>
      </c>
      <c r="J60" s="404">
        <f t="shared" ca="1" si="7"/>
        <v>171.64903601359413</v>
      </c>
      <c r="K60" s="411">
        <f t="shared" ca="1" si="8"/>
        <v>143.98370867252873</v>
      </c>
      <c r="L60" s="414">
        <f t="shared" ca="1" si="9"/>
        <v>461.4849259497006</v>
      </c>
      <c r="M60" s="417">
        <f t="shared" ca="1" si="10"/>
        <v>8.3825307162962446</v>
      </c>
    </row>
    <row r="61" spans="2:13" x14ac:dyDescent="0.25">
      <c r="B61" s="426">
        <f t="shared" si="12"/>
        <v>96</v>
      </c>
      <c r="C61" s="404">
        <f t="shared" si="1"/>
        <v>2.2167077763729586E-3</v>
      </c>
      <c r="D61" s="401">
        <f ca="1">MpropuPlein+0.5*MasseSans</f>
        <v>1.1598999999999999</v>
      </c>
      <c r="E61" s="401">
        <f t="shared" ca="1" si="2"/>
        <v>1.1220999999999999</v>
      </c>
      <c r="F61" s="401">
        <f t="shared" ca="1" si="3"/>
        <v>1.0843</v>
      </c>
      <c r="G61" s="408">
        <f t="shared" ca="1" si="4"/>
        <v>53.660278941270832</v>
      </c>
      <c r="H61" s="404">
        <f t="shared" ca="1" si="5"/>
        <v>1.975499310554281E-3</v>
      </c>
      <c r="I61" s="404">
        <f t="shared" ca="1" si="6"/>
        <v>2.0443675886497818E-3</v>
      </c>
      <c r="J61" s="404">
        <f t="shared" ca="1" si="7"/>
        <v>100.49663364003062</v>
      </c>
      <c r="K61" s="411">
        <f t="shared" ca="1" si="8"/>
        <v>94.347705743316638</v>
      </c>
      <c r="L61" s="414">
        <f t="shared" ca="1" si="9"/>
        <v>357.07596526753775</v>
      </c>
      <c r="M61" s="417">
        <f t="shared" ca="1" si="10"/>
        <v>8.6198051594425351</v>
      </c>
    </row>
    <row r="62" spans="2:13" x14ac:dyDescent="0.25">
      <c r="B62" s="426">
        <f t="shared" si="12"/>
        <v>96</v>
      </c>
      <c r="C62" s="404">
        <f t="shared" si="1"/>
        <v>2.2167077763729586E-3</v>
      </c>
      <c r="D62" s="401">
        <f ca="1">MpropuPlein+0.75*MasseSans</f>
        <v>1.6598999999999999</v>
      </c>
      <c r="E62" s="401">
        <f t="shared" ca="1" si="2"/>
        <v>1.6220999999999999</v>
      </c>
      <c r="F62" s="401">
        <f t="shared" ca="1" si="3"/>
        <v>1.5843</v>
      </c>
      <c r="G62" s="408">
        <f t="shared" ca="1" si="4"/>
        <v>34.096047715923802</v>
      </c>
      <c r="H62" s="404">
        <f t="shared" ca="1" si="5"/>
        <v>1.3665666582658028E-3</v>
      </c>
      <c r="I62" s="404">
        <f t="shared" ca="1" si="6"/>
        <v>1.3991717328618056E-3</v>
      </c>
      <c r="J62" s="404">
        <f t="shared" ca="1" si="7"/>
        <v>66.173504285543345</v>
      </c>
      <c r="K62" s="411">
        <f t="shared" ca="1" si="8"/>
        <v>64.249274729196827</v>
      </c>
      <c r="L62" s="414">
        <f t="shared" ca="1" si="9"/>
        <v>231.61209145488274</v>
      </c>
      <c r="M62" s="417">
        <f t="shared" ca="1" si="10"/>
        <v>7.5863781327156259</v>
      </c>
    </row>
    <row r="63" spans="2:13" x14ac:dyDescent="0.25">
      <c r="B63" s="426">
        <f t="shared" si="12"/>
        <v>96</v>
      </c>
      <c r="C63" s="404">
        <f t="shared" si="1"/>
        <v>2.2167077763729586E-3</v>
      </c>
      <c r="D63" s="401">
        <f ca="1">MpropuPlein+1*MasseSans</f>
        <v>2.1598999999999999</v>
      </c>
      <c r="E63" s="401">
        <f t="shared" ca="1" si="2"/>
        <v>2.1221000000000001</v>
      </c>
      <c r="F63" s="401">
        <f t="shared" ca="1" si="3"/>
        <v>2.0842999999999998</v>
      </c>
      <c r="G63" s="408">
        <f t="shared" ca="1" si="4"/>
        <v>23.751095141605006</v>
      </c>
      <c r="H63" s="404">
        <f t="shared" ca="1" si="5"/>
        <v>1.0445821480481402E-3</v>
      </c>
      <c r="I63" s="404">
        <f t="shared" ca="1" si="6"/>
        <v>1.0635262564760153E-3</v>
      </c>
      <c r="J63" s="404">
        <f t="shared" ca="1" si="7"/>
        <v>46.736690457544157</v>
      </c>
      <c r="K63" s="411">
        <f t="shared" ca="1" si="8"/>
        <v>45.99078805211267</v>
      </c>
      <c r="L63" s="414">
        <f t="shared" ca="1" si="9"/>
        <v>143.7968901897458</v>
      </c>
      <c r="M63" s="417">
        <f t="shared" ca="1" si="10"/>
        <v>6.3722500004324294</v>
      </c>
    </row>
    <row r="64" spans="2:13" x14ac:dyDescent="0.25">
      <c r="B64" s="426">
        <f t="shared" si="12"/>
        <v>96</v>
      </c>
      <c r="C64" s="404">
        <f t="shared" si="1"/>
        <v>2.2167077763729586E-3</v>
      </c>
      <c r="D64" s="401">
        <f ca="1">MpropuPlein+1.25*MasseSans</f>
        <v>2.6598999999999999</v>
      </c>
      <c r="E64" s="401">
        <f t="shared" ca="1" si="2"/>
        <v>2.6221000000000001</v>
      </c>
      <c r="F64" s="401">
        <f t="shared" ca="1" si="3"/>
        <v>2.5842999999999998</v>
      </c>
      <c r="G64" s="408">
        <f t="shared" ca="1" si="4"/>
        <v>17.351435490637272</v>
      </c>
      <c r="H64" s="404">
        <f t="shared" ca="1" si="5"/>
        <v>8.4539406444184375E-4</v>
      </c>
      <c r="I64" s="404">
        <f t="shared" ca="1" si="6"/>
        <v>8.5775946150716195E-4</v>
      </c>
      <c r="J64" s="404">
        <f t="shared" ca="1" si="7"/>
        <v>34.368721804597158</v>
      </c>
      <c r="K64" s="411">
        <f t="shared" ca="1" si="8"/>
        <v>34.039698692662668</v>
      </c>
      <c r="L64" s="414">
        <f t="shared" ca="1" si="9"/>
        <v>90.622071913923605</v>
      </c>
      <c r="M64" s="417">
        <f t="shared" ca="1" si="10"/>
        <v>5.3593606129293381</v>
      </c>
    </row>
    <row r="65" spans="2:13" x14ac:dyDescent="0.25">
      <c r="B65" s="426">
        <f t="shared" si="12"/>
        <v>96</v>
      </c>
      <c r="C65" s="404">
        <f t="shared" si="1"/>
        <v>2.2167077763729586E-3</v>
      </c>
      <c r="D65" s="401">
        <f ca="1">MpropuPlein+1.5*MasseSans</f>
        <v>3.1598999999999999</v>
      </c>
      <c r="E65" s="401">
        <f t="shared" ca="1" si="2"/>
        <v>3.1221000000000001</v>
      </c>
      <c r="F65" s="401">
        <f t="shared" ca="1" si="3"/>
        <v>3.0842999999999998</v>
      </c>
      <c r="G65" s="408">
        <f t="shared" ca="1" si="4"/>
        <v>13.001569136158354</v>
      </c>
      <c r="H65" s="404">
        <f t="shared" ca="1" si="5"/>
        <v>7.1000537342588591E-4</v>
      </c>
      <c r="I65" s="404">
        <f t="shared" ca="1" si="6"/>
        <v>7.1870692746262E-4</v>
      </c>
      <c r="J65" s="404">
        <f t="shared" ca="1" si="7"/>
        <v>25.844670033046402</v>
      </c>
      <c r="K65" s="411">
        <f t="shared" ca="1" si="8"/>
        <v>25.687742808690167</v>
      </c>
      <c r="L65" s="414">
        <f t="shared" ca="1" si="9"/>
        <v>58.689031873749073</v>
      </c>
      <c r="M65" s="417">
        <f t="shared" ca="1" si="10"/>
        <v>4.577513561415735</v>
      </c>
    </row>
    <row r="66" spans="2:13" x14ac:dyDescent="0.25">
      <c r="B66" s="426">
        <f t="shared" si="12"/>
        <v>96</v>
      </c>
      <c r="C66" s="404">
        <f t="shared" si="1"/>
        <v>2.2167077763729586E-3</v>
      </c>
      <c r="D66" s="401">
        <f ca="1">MpropuPlein+1.75*MasseSans</f>
        <v>3.6598999999999999</v>
      </c>
      <c r="E66" s="401">
        <f t="shared" ca="1" si="2"/>
        <v>3.6221000000000001</v>
      </c>
      <c r="F66" s="401">
        <f t="shared" ca="1" si="3"/>
        <v>3.5842999999999998</v>
      </c>
      <c r="G66" s="408">
        <f t="shared" ca="1" si="4"/>
        <v>9.8526266530465723</v>
      </c>
      <c r="H66" s="404">
        <f t="shared" ca="1" si="5"/>
        <v>6.119951896339026E-4</v>
      </c>
      <c r="I66" s="404">
        <f t="shared" ca="1" si="6"/>
        <v>6.1844928615711816E-4</v>
      </c>
      <c r="J66" s="404">
        <f t="shared" ca="1" si="7"/>
        <v>19.62654710887006</v>
      </c>
      <c r="K66" s="411">
        <f t="shared" ca="1" si="8"/>
        <v>19.548343008766757</v>
      </c>
      <c r="L66" s="414">
        <f t="shared" ca="1" si="9"/>
        <v>38.872586369444846</v>
      </c>
      <c r="M66" s="417">
        <f t="shared" ca="1" si="10"/>
        <v>3.9769208963065146</v>
      </c>
    </row>
    <row r="67" spans="2:13" x14ac:dyDescent="0.25">
      <c r="B67" s="427">
        <f t="shared" si="12"/>
        <v>96</v>
      </c>
      <c r="C67" s="405">
        <f t="shared" si="1"/>
        <v>2.2167077763729586E-3</v>
      </c>
      <c r="D67" s="402">
        <f ca="1">MpropuPlein+2*MasseSans</f>
        <v>4.1599000000000004</v>
      </c>
      <c r="E67" s="402">
        <f t="shared" ca="1" si="2"/>
        <v>4.1221000000000005</v>
      </c>
      <c r="F67" s="402">
        <f t="shared" ca="1" si="3"/>
        <v>4.0843000000000007</v>
      </c>
      <c r="G67" s="409">
        <f t="shared" ca="1" si="4"/>
        <v>7.4676012226777591</v>
      </c>
      <c r="H67" s="405">
        <f t="shared" ca="1" si="5"/>
        <v>5.3776176618057741E-4</v>
      </c>
      <c r="I67" s="405">
        <f t="shared" ca="1" si="6"/>
        <v>5.4273872545429036E-4</v>
      </c>
      <c r="J67" s="405">
        <f t="shared" ca="1" si="7"/>
        <v>14.895388459560738</v>
      </c>
      <c r="K67" s="412">
        <f t="shared" ca="1" si="8"/>
        <v>14.855744090041446</v>
      </c>
      <c r="L67" s="415">
        <f t="shared" ca="1" si="9"/>
        <v>26.075647588144506</v>
      </c>
      <c r="M67" s="418">
        <f t="shared" ca="1" si="10"/>
        <v>3.5082284431786976</v>
      </c>
    </row>
    <row r="71" spans="2:13" ht="13" x14ac:dyDescent="0.3">
      <c r="B71" s="24" t="str">
        <f>IF(Lang="Français","Textes pour les graphiques :","Texts for graphics :")</f>
        <v>Textes pour les graphiques :</v>
      </c>
    </row>
    <row r="73" spans="2:13" x14ac:dyDescent="0.25">
      <c r="B73" t="str">
        <f>IF(Lang="Français","Masse totale",IF(Lang="English","Total Mass",""))</f>
        <v>Masse totale</v>
      </c>
    </row>
    <row r="74" spans="2:13" x14ac:dyDescent="0.25">
      <c r="B74" t="str">
        <f>IF(Lang="Français","Vitesse max",IF(Lang="English","Max Velocity",""))</f>
        <v>Vitesse max</v>
      </c>
    </row>
    <row r="75" spans="2:13" x14ac:dyDescent="0.25">
      <c r="B75" t="str">
        <f>Abaco!$B$74 &amp; " / " &amp; Abaco!$B$73</f>
        <v>Vitesse max / Masse totale</v>
      </c>
    </row>
    <row r="76" spans="2:13" x14ac:dyDescent="0.25">
      <c r="B76" t="str">
        <f>IF(Lang="Français","Altitude max",IF(Lang="English","Max Altitude",""))</f>
        <v>Altitude max</v>
      </c>
    </row>
    <row r="77" spans="2:13" x14ac:dyDescent="0.25">
      <c r="B77" t="str">
        <f>Abaco!$B$76 &amp; " / " &amp; Abaco!$B$73</f>
        <v>Altitude max / Masse totale</v>
      </c>
    </row>
    <row r="78" spans="2:13" x14ac:dyDescent="0.25">
      <c r="B78" t="str">
        <f>IF(Lang="Français","Temps de culmination",IF(Lang="English","Apogee time",""))</f>
        <v>Temps de culmination</v>
      </c>
    </row>
    <row r="79" spans="2:13" x14ac:dyDescent="0.25">
      <c r="B79" t="str">
        <f>Abaco!$B$78 &amp; " / " &amp; Abaco!$B$73</f>
        <v>Temps de culmination / Masse totale</v>
      </c>
    </row>
  </sheetData>
  <sheetProtection password="C6AC" sheet="1"/>
  <mergeCells count="12">
    <mergeCell ref="C10:D10"/>
    <mergeCell ref="C12:D12"/>
    <mergeCell ref="C14:D14"/>
    <mergeCell ref="C15:D15"/>
    <mergeCell ref="C16:D16"/>
    <mergeCell ref="C11:D11"/>
    <mergeCell ref="C9:D9"/>
    <mergeCell ref="C2:D3"/>
    <mergeCell ref="C4:D4"/>
    <mergeCell ref="C5:D5"/>
    <mergeCell ref="C7:D7"/>
    <mergeCell ref="C8:D8"/>
  </mergeCells>
  <dataValidations count="3">
    <dataValidation type="decimal" errorStyle="warning" showErrorMessage="1" errorTitle="Cx" error="Le Cx est souvent compris entre 0 et 1._x000a_Cx may be between 0 &amp; 1." sqref="C16:D16" xr:uid="{00000000-0002-0000-0500-000000000000}">
      <formula1>0</formula1>
      <formula2>1</formula2>
    </dataValidation>
    <dataValidation operator="greaterThanOrEqual" sqref="C10:D11" xr:uid="{00000000-0002-0000-0500-000001000000}"/>
    <dataValidation sqref="C12:D12" xr:uid="{00000000-0002-0000-0500-000002000000}"/>
  </dataValidations>
  <hyperlinks>
    <hyperlink ref="B12" location="Stabilito!C17" display="Stabilito!C17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04063" r:id="rId4" name="Spinner 31">
              <controlPr defaultSize="0" print="0" autoPict="0">
                <anchor moveWithCells="1" sizeWithCells="1">
                  <from>
                    <xdr:col>3</xdr:col>
                    <xdr:colOff>635000</xdr:colOff>
                    <xdr:row>9</xdr:row>
                    <xdr:rowOff>12700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202" r:id="rId5" name="Spinner 170">
              <controlPr defaultSize="0" print="0" autoPict="0">
                <anchor moveWithCells="1" sizeWithCells="1">
                  <from>
                    <xdr:col>3</xdr:col>
                    <xdr:colOff>635000</xdr:colOff>
                    <xdr:row>10</xdr:row>
                    <xdr:rowOff>12700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pageSetUpPr fitToPage="1"/>
  </sheetPr>
  <dimension ref="C2:H59"/>
  <sheetViews>
    <sheetView showGridLines="0" workbookViewId="0">
      <selection activeCell="G29" sqref="G29"/>
    </sheetView>
  </sheetViews>
  <sheetFormatPr baseColWidth="10" defaultRowHeight="12.5" x14ac:dyDescent="0.25"/>
  <cols>
    <col min="1" max="1" width="2.1796875" customWidth="1"/>
    <col min="2" max="2" width="16.36328125" customWidth="1"/>
    <col min="3" max="4" width="13.453125" customWidth="1"/>
  </cols>
  <sheetData>
    <row r="2" spans="3:8" x14ac:dyDescent="0.25">
      <c r="C2" s="625" t="s">
        <v>179</v>
      </c>
      <c r="D2" s="625"/>
    </row>
    <row r="3" spans="3:8" x14ac:dyDescent="0.25">
      <c r="C3" s="625"/>
      <c r="D3" s="625"/>
    </row>
    <row r="5" spans="3:8" ht="13" x14ac:dyDescent="0.3">
      <c r="C5" s="13" t="str">
        <f>IF(Lang="Français","Stabilité de fusée à ailerons","Stability of finned rocket")</f>
        <v>Stabilité de fusée à ailerons</v>
      </c>
    </row>
    <row r="6" spans="3:8" ht="13" x14ac:dyDescent="0.3">
      <c r="C6" s="2" t="str">
        <f>IF(Lang="Français","Calculs de Stabilité basés sur les équations de Barrowman","Stability calculs are based on Barrowman equations")</f>
        <v>Calculs de Stabilité basés sur les équations de Barrowman</v>
      </c>
    </row>
    <row r="7" spans="3:8" ht="13" x14ac:dyDescent="0.3">
      <c r="C7" s="13" t="str">
        <f>IF(Lang="Français","Trajectographie de fusée","Rocket Trajectography")</f>
        <v>Trajectographie de fusée</v>
      </c>
    </row>
    <row r="8" spans="3:8" ht="13" x14ac:dyDescent="0.3">
      <c r="C8" s="2" t="str">
        <f>IF(Lang="Français","Trajectoire dans un plan par calcul pas à pas","Trajectory in a plane, step by step computation")</f>
        <v>Trajectoire dans un plan par calcul pas à pas</v>
      </c>
    </row>
    <row r="9" spans="3:8" ht="13" x14ac:dyDescent="0.3">
      <c r="C9" s="2"/>
    </row>
    <row r="10" spans="3:8" x14ac:dyDescent="0.25">
      <c r="C10" s="14" t="str">
        <f>IF(Lang="Français","Documentation et équations :","Documentation and equations are aviable in french:")</f>
        <v>Documentation et équations :</v>
      </c>
    </row>
    <row r="11" spans="3:8" x14ac:dyDescent="0.25">
      <c r="C11" t="str">
        <f>IF(Lang="Français","voir le dossier technique Planète-Sciences ''Le Vol de la Fusée, Stabilité &amp; Trajectographie''","dossier technique Planète-Sciences ''Le Vol de la Fusée, Stabilité &amp; Trajectographie''")</f>
        <v>voir le dossier technique Planète-Sciences ''Le Vol de la Fusée, Stabilité &amp; Trajectographie''</v>
      </c>
    </row>
    <row r="12" spans="3:8" x14ac:dyDescent="0.25">
      <c r="C12" t="str">
        <f>IF(Lang="Français","Néanmoins, les équations d'intégration du mouvement utilisées sont légèrement différentes !","")</f>
        <v>Néanmoins, les équations d'intégration du mouvement utilisées sont légèrement différentes !</v>
      </c>
    </row>
    <row r="13" spans="3:8" x14ac:dyDescent="0.25">
      <c r="C13" t="str">
        <f>IF(Lang="Français","Logiciels et dossier technique téléchargeables sur :","Softwares and french documentation can be downloaded at:")</f>
        <v>Logiciels et dossier technique téléchargeables sur :</v>
      </c>
      <c r="H13" s="15" t="s">
        <v>40</v>
      </c>
    </row>
    <row r="15" spans="3:8" x14ac:dyDescent="0.25">
      <c r="C15" s="14" t="str">
        <f>IF(Lang="Français","Pour les experts :","For experts:")</f>
        <v>Pour les experts :</v>
      </c>
    </row>
    <row r="16" spans="3:8" x14ac:dyDescent="0.25">
      <c r="C16" t="str">
        <f>IF(Lang="Français","Pour les curieux et les experts, vous pouvez déprotéger les feuilles de calcul (mot de passe : anstj),","Curious people can unlock excel sheets with this password : anstj")</f>
        <v>Pour les curieux et les experts, vous pouvez déprotéger les feuilles de calcul (mot de passe : anstj),</v>
      </c>
    </row>
    <row r="17" spans="3:8" x14ac:dyDescent="0.25">
      <c r="C17" t="str">
        <f>IF(Lang="Français","et faire vos modifications personnelles (ajout de moteur...).","and do your personal modification (adding a motor...)")</f>
        <v>et faire vos modifications personnelles (ajout de moteur...).</v>
      </c>
    </row>
    <row r="18" spans="3:8" x14ac:dyDescent="0.25">
      <c r="C18" t="s">
        <v>419</v>
      </c>
    </row>
    <row r="19" spans="3:8" x14ac:dyDescent="0.25">
      <c r="C19" t="str">
        <f>IF(Lang="Français","Merci néanmoins de diffuser uniquement la version officielle protégée (fichier initial).","Please avoid distributing unlocked version.")</f>
        <v>Merci néanmoins de diffuser uniquement la version officielle protégée (fichier initial).</v>
      </c>
    </row>
    <row r="20" spans="3:8" x14ac:dyDescent="0.25">
      <c r="C20" t="str">
        <f>IF(Lang="Français","Aucune Macro. Mise en forme conditionnelle, Noms de zone.","No macro. Conditionnal formating, named zones.")</f>
        <v>Aucune Macro. Mise en forme conditionnelle, Noms de zone.</v>
      </c>
    </row>
    <row r="21" spans="3:8" x14ac:dyDescent="0.25">
      <c r="C21" s="48" t="str">
        <f>IF(Lang="Français","Pour changer les choix des menus déroulants et les restrictions des cellules jaunes, cf. Données&gt; Validations…", "To change choices menu &amp; yellow cells restrictions, go to data validation.")</f>
        <v>Pour changer les choix des menus déroulants et les restrictions des cellules jaunes, cf. Données&gt; Validations…</v>
      </c>
    </row>
    <row r="22" spans="3:8" x14ac:dyDescent="0.25">
      <c r="C22" s="48" t="str">
        <f>IF(Lang="Français","Les unités sont réglés dans le Format de la cellule.","Units are set in cell number Format")</f>
        <v>Les unités sont réglés dans le Format de la cellule.</v>
      </c>
      <c r="H22" s="15" t="s">
        <v>38</v>
      </c>
    </row>
    <row r="23" spans="3:8" x14ac:dyDescent="0.25">
      <c r="C23" t="str">
        <f>IF(Lang="Français","Vous pouvez proposer vos améliorations en envoyant votre fichier à : ","Send all remarks and improvements proposals to:")</f>
        <v xml:space="preserve">Vous pouvez proposer vos améliorations en envoyant votre fichier à : </v>
      </c>
      <c r="H23" s="15"/>
    </row>
    <row r="25" spans="3:8" x14ac:dyDescent="0.25">
      <c r="C25" s="14" t="str">
        <f>IF(Lang="Français","Licence :","License:")</f>
        <v>Licence :</v>
      </c>
      <c r="D25" s="16"/>
    </row>
    <row r="26" spans="3:8" x14ac:dyDescent="0.25">
      <c r="C26" t="str">
        <f>IF(Lang="Français","Ce logiciel est placé sous la licence Creative Commons BY-SA","This software is placed under Creative Commons licence BY-SA")</f>
        <v>Ce logiciel est placé sous la licence Creative Commons BY-SA</v>
      </c>
      <c r="H26" s="68" t="s">
        <v>123</v>
      </c>
    </row>
    <row r="28" spans="3:8" x14ac:dyDescent="0.25">
      <c r="C28" s="14" t="str">
        <f>IF(Lang="Français","Compatibilité :","Compatibility:")</f>
        <v>Compatibilité :</v>
      </c>
    </row>
    <row r="29" spans="3:8" x14ac:dyDescent="0.25">
      <c r="C29" t="s">
        <v>153</v>
      </c>
    </row>
    <row r="30" spans="3:8" x14ac:dyDescent="0.25">
      <c r="C30" t="s">
        <v>300</v>
      </c>
    </row>
    <row r="31" spans="3:8" x14ac:dyDescent="0.25">
      <c r="C31" s="49" t="s">
        <v>111</v>
      </c>
    </row>
    <row r="33" spans="3:6" x14ac:dyDescent="0.25">
      <c r="C33" s="14" t="str">
        <f>IF(Lang="Français","Historique :","History:")</f>
        <v>Historique :</v>
      </c>
    </row>
    <row r="34" spans="3:6" x14ac:dyDescent="0.25">
      <c r="C34" t="s">
        <v>103</v>
      </c>
      <c r="D34" t="s">
        <v>43</v>
      </c>
      <c r="E34" s="47" t="s">
        <v>102</v>
      </c>
      <c r="F34" t="str">
        <f>IF(Lang="Français","Essais personnels, héritage d'une feuille de calcul de Vincent Girard, ESO","Personnel tests")</f>
        <v>Essais personnels, héritage d'une feuille de calcul de Vincent Girard, ESO</v>
      </c>
    </row>
    <row r="35" spans="3:6" x14ac:dyDescent="0.25">
      <c r="C35" t="s">
        <v>104</v>
      </c>
      <c r="D35" t="s">
        <v>43</v>
      </c>
      <c r="E35" s="16">
        <v>39483</v>
      </c>
      <c r="F35" t="str">
        <f>IF(Lang="Français","Equations de Barrowman généralisées (D_ref), masquage inter-ailerons, bilingue fr-en","Generalized Barrowman equations (D_ref), fin-fin interaction, english translation")</f>
        <v>Equations de Barrowman généralisées (D_ref), masquage inter-ailerons, bilingue fr-en</v>
      </c>
    </row>
    <row r="36" spans="3:6" x14ac:dyDescent="0.25">
      <c r="C36" t="s">
        <v>105</v>
      </c>
      <c r="D36" t="s">
        <v>43</v>
      </c>
      <c r="E36" s="16">
        <v>39507</v>
      </c>
      <c r="F36" t="str">
        <f>IF(Lang="Français","Schéma de la fusée, estimation analytique de la trajecto, diagramme des critères","Rocket schematic, analytical trajecto, criterions diagram")</f>
        <v>Schéma de la fusée, estimation analytique de la trajecto, diagramme des critères</v>
      </c>
    </row>
    <row r="37" spans="3:6" x14ac:dyDescent="0.25">
      <c r="C37" t="s">
        <v>106</v>
      </c>
      <c r="D37" t="s">
        <v>43</v>
      </c>
      <c r="E37" s="16">
        <v>39694</v>
      </c>
      <c r="F37" t="str">
        <f>IF(Lang="Français","Mise en forme","Formatting")</f>
        <v>Mise en forme</v>
      </c>
    </row>
    <row r="38" spans="3:6" x14ac:dyDescent="0.25">
      <c r="C38" t="s">
        <v>107</v>
      </c>
      <c r="D38" t="s">
        <v>43</v>
      </c>
      <c r="E38" s="16">
        <v>39643</v>
      </c>
      <c r="F38" t="str">
        <f>IF(Lang="Français","Essais personnels, héritage d'une feuille de calcul de Félicien Roux, ESO","Personal tests")</f>
        <v>Essais personnels, héritage d'une feuille de calcul de Félicien Roux, ESO</v>
      </c>
    </row>
    <row r="39" spans="3:6" x14ac:dyDescent="0.25">
      <c r="C39" t="s">
        <v>108</v>
      </c>
      <c r="D39" t="s">
        <v>43</v>
      </c>
      <c r="E39" s="16">
        <v>39755</v>
      </c>
      <c r="F39" t="str">
        <f>IF(Lang="Français","Réécriture équations, traduction, érgonomie","Equations, traduction, ergonomy")</f>
        <v>Réécriture équations, traduction, érgonomie</v>
      </c>
    </row>
    <row r="40" spans="3:6" x14ac:dyDescent="0.25">
      <c r="C40" t="s">
        <v>109</v>
      </c>
      <c r="D40" t="s">
        <v>43</v>
      </c>
      <c r="E40" s="16">
        <v>39756</v>
      </c>
      <c r="F40" t="str">
        <f>IF(Lang="Français","Conditions Initiales pour vol 2e étage, 1ère publication","Initial Conditions, 1st publication")</f>
        <v>Conditions Initiales pour vol 2e étage, 1ère publication</v>
      </c>
    </row>
    <row r="41" spans="3:6" x14ac:dyDescent="0.25">
      <c r="C41" t="s">
        <v>110</v>
      </c>
      <c r="D41" t="s">
        <v>43</v>
      </c>
      <c r="E41" s="16">
        <v>40658</v>
      </c>
      <c r="F41" t="s">
        <v>53</v>
      </c>
    </row>
    <row r="42" spans="3:6" x14ac:dyDescent="0.25">
      <c r="C42" t="s">
        <v>180</v>
      </c>
      <c r="D42" t="s">
        <v>43</v>
      </c>
      <c r="E42" s="16">
        <v>40868</v>
      </c>
      <c r="F42" t="str">
        <f>IF(Lang="Français","Fusion Stabilito+Trajecto, mise en forme, Ctrl, RC, H2O, Abaco","Merge Stabilito+Trajecto, formatting, Ctrl, RC, H2O, Abaco")</f>
        <v>Fusion Stabilito+Trajecto, mise en forme, Ctrl, RC, H2O, Abaco</v>
      </c>
    </row>
    <row r="43" spans="3:6" x14ac:dyDescent="0.25">
      <c r="C43" t="s">
        <v>327</v>
      </c>
      <c r="D43" t="s">
        <v>43</v>
      </c>
      <c r="E43" s="16">
        <v>41194</v>
      </c>
      <c r="F43" t="s">
        <v>331</v>
      </c>
    </row>
    <row r="44" spans="3:6" x14ac:dyDescent="0.25">
      <c r="C44" t="s">
        <v>328</v>
      </c>
      <c r="D44" t="s">
        <v>43</v>
      </c>
      <c r="E44" s="16">
        <v>41329</v>
      </c>
      <c r="F44" t="s">
        <v>332</v>
      </c>
    </row>
    <row r="45" spans="3:6" x14ac:dyDescent="0.25">
      <c r="C45" t="s">
        <v>416</v>
      </c>
      <c r="D45" t="s">
        <v>395</v>
      </c>
      <c r="E45" s="16">
        <v>41947</v>
      </c>
      <c r="F45" t="s">
        <v>415</v>
      </c>
    </row>
    <row r="46" spans="3:6" x14ac:dyDescent="0.25">
      <c r="C46" t="s">
        <v>420</v>
      </c>
      <c r="D46" t="s">
        <v>395</v>
      </c>
      <c r="E46" s="16">
        <v>41965</v>
      </c>
      <c r="F46" t="s">
        <v>418</v>
      </c>
    </row>
    <row r="47" spans="3:6" x14ac:dyDescent="0.25">
      <c r="C47" t="s">
        <v>542</v>
      </c>
      <c r="D47" t="s">
        <v>395</v>
      </c>
      <c r="E47" s="16">
        <v>43048</v>
      </c>
      <c r="F47" t="s">
        <v>543</v>
      </c>
    </row>
    <row r="48" spans="3:6" x14ac:dyDescent="0.25">
      <c r="C48" t="s">
        <v>547</v>
      </c>
      <c r="D48" t="s">
        <v>395</v>
      </c>
      <c r="E48" s="16">
        <v>44160</v>
      </c>
      <c r="F48" t="s">
        <v>548</v>
      </c>
    </row>
    <row r="49" spans="3:6" x14ac:dyDescent="0.25">
      <c r="E49" s="16"/>
    </row>
    <row r="51" spans="3:6" x14ac:dyDescent="0.25">
      <c r="C51" s="14" t="str">
        <f>IF(Lang="Français","Paramètres de référence :","Reference parameters:")</f>
        <v>Paramètres de référence :</v>
      </c>
    </row>
    <row r="52" spans="3:6" x14ac:dyDescent="0.25">
      <c r="C52" s="62" t="str">
        <f>IF(Lang="Français","Gravité g :","Gravity g")</f>
        <v>Gravité g :</v>
      </c>
      <c r="E52" s="62">
        <v>9.81</v>
      </c>
      <c r="F52" s="62" t="s">
        <v>7</v>
      </c>
    </row>
    <row r="53" spans="3:6" x14ac:dyDescent="0.25">
      <c r="C53" s="62" t="str">
        <f>IF(Lang="Français","Masse volumique de l'air ρ :","Air density ρ")</f>
        <v>Masse volumique de l'air ρ :</v>
      </c>
      <c r="E53" s="63">
        <v>1.2250000000000001</v>
      </c>
      <c r="F53" s="62" t="s">
        <v>8</v>
      </c>
    </row>
    <row r="54" spans="3:6" x14ac:dyDescent="0.25">
      <c r="C54" s="48"/>
    </row>
    <row r="55" spans="3:6" x14ac:dyDescent="0.25">
      <c r="C55" s="48"/>
    </row>
    <row r="56" spans="3:6" x14ac:dyDescent="0.25">
      <c r="C56" s="48"/>
    </row>
    <row r="57" spans="3:6" x14ac:dyDescent="0.25">
      <c r="C57" s="48"/>
    </row>
    <row r="58" spans="3:6" x14ac:dyDescent="0.25">
      <c r="C58" s="48"/>
    </row>
    <row r="59" spans="3:6" x14ac:dyDescent="0.25">
      <c r="C59" s="48"/>
    </row>
  </sheetData>
  <sheetProtection password="C6AC" sheet="1" objects="1" scenarios="1"/>
  <mergeCells count="1">
    <mergeCell ref="C2:D3"/>
  </mergeCells>
  <phoneticPr fontId="8" type="noConversion"/>
  <hyperlinks>
    <hyperlink ref="H13" r:id="rId1" xr:uid="{00000000-0004-0000-0600-000000000000}"/>
    <hyperlink ref="H22" r:id="rId2" xr:uid="{00000000-0004-0000-0600-000001000000}"/>
    <hyperlink ref="H26" r:id="rId3" xr:uid="{00000000-0004-0000-0600-000002000000}"/>
  </hyperlinks>
  <pageMargins left="0.39370078740157483" right="0.39370078740157483" top="0.39370078740157483" bottom="0.39370078740157483" header="0" footer="0"/>
  <pageSetup scale="73" firstPageNumber="0" orientation="portrait" horizontalDpi="300" verticalDpi="300" r:id="rId4"/>
  <headerFooter alignWithMargins="0"/>
  <drawing r:id="rId5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>
    <pageSetUpPr fitToPage="1"/>
  </sheetPr>
  <dimension ref="B1:U134"/>
  <sheetViews>
    <sheetView showGridLines="0" topLeftCell="D1" zoomScaleNormal="100" workbookViewId="0">
      <selection activeCell="H4" sqref="H4"/>
    </sheetView>
  </sheetViews>
  <sheetFormatPr baseColWidth="10" defaultColWidth="11.453125" defaultRowHeight="12.5" x14ac:dyDescent="0.25"/>
  <cols>
    <col min="1" max="2" width="2.1796875" customWidth="1"/>
    <col min="3" max="3" width="12.453125" customWidth="1"/>
    <col min="4" max="4" width="21" customWidth="1"/>
    <col min="7" max="7" width="26.453125" customWidth="1"/>
    <col min="8" max="9" width="6.6328125" customWidth="1"/>
    <col min="10" max="10" width="10" customWidth="1"/>
    <col min="11" max="11" width="13" customWidth="1"/>
    <col min="12" max="12" width="21.36328125" customWidth="1"/>
    <col min="14" max="14" width="2.1796875" customWidth="1"/>
    <col min="18" max="19" width="16.36328125" customWidth="1"/>
  </cols>
  <sheetData>
    <row r="1" spans="2:21" ht="13.5" thickBot="1" x14ac:dyDescent="0.35">
      <c r="O1" s="6"/>
      <c r="P1" s="48"/>
      <c r="Q1" s="48"/>
      <c r="R1" s="48"/>
      <c r="S1" s="48"/>
      <c r="T1" s="48"/>
      <c r="U1" s="48"/>
    </row>
    <row r="2" spans="2:21" ht="13.5" thickBot="1" x14ac:dyDescent="0.35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6"/>
      <c r="P2" s="48"/>
      <c r="Q2" s="48"/>
      <c r="R2" s="48"/>
      <c r="S2" s="48"/>
      <c r="T2" s="48"/>
      <c r="U2" s="48"/>
    </row>
    <row r="3" spans="2:21" ht="15.75" customHeight="1" thickBot="1" x14ac:dyDescent="0.35">
      <c r="B3" s="74"/>
      <c r="D3" s="2" t="s">
        <v>429</v>
      </c>
      <c r="N3" s="75"/>
      <c r="O3" s="6"/>
      <c r="P3" s="273" t="s">
        <v>340</v>
      </c>
      <c r="Q3" s="441">
        <f>Long_ogive</f>
        <v>280</v>
      </c>
      <c r="R3" s="48"/>
      <c r="S3" s="48"/>
      <c r="T3" s="48"/>
      <c r="U3" s="48"/>
    </row>
    <row r="4" spans="2:21" ht="15.75" customHeight="1" x14ac:dyDescent="0.3">
      <c r="B4" s="74"/>
      <c r="D4" s="2"/>
      <c r="N4" s="75"/>
      <c r="O4" s="6"/>
      <c r="P4" s="273"/>
      <c r="Q4" s="436"/>
      <c r="R4" s="48"/>
      <c r="S4" s="48"/>
      <c r="T4" s="48"/>
      <c r="U4" s="48"/>
    </row>
    <row r="5" spans="2:21" ht="15.75" customHeight="1" x14ac:dyDescent="0.3">
      <c r="B5" s="74"/>
      <c r="D5" t="s">
        <v>462</v>
      </c>
      <c r="E5" t="str">
        <f>Propu</f>
        <v>Pandora (Pro24-6G BS)</v>
      </c>
      <c r="G5" t="s">
        <v>459</v>
      </c>
      <c r="H5">
        <f>MasseSans</f>
        <v>2</v>
      </c>
      <c r="N5" s="75"/>
      <c r="O5" s="6"/>
      <c r="P5" s="273"/>
      <c r="Q5" s="436"/>
      <c r="R5" s="48"/>
      <c r="S5" s="48"/>
      <c r="T5" s="48"/>
      <c r="U5" s="48"/>
    </row>
    <row r="6" spans="2:21" ht="13" x14ac:dyDescent="0.3">
      <c r="B6" s="74"/>
      <c r="D6" t="s">
        <v>455</v>
      </c>
      <c r="E6" s="2" t="str">
        <f>Trajecto!H32</f>
        <v>gris/rouge</v>
      </c>
      <c r="G6" t="s">
        <v>460</v>
      </c>
      <c r="H6">
        <f>D_ref</f>
        <v>64</v>
      </c>
      <c r="N6" s="75"/>
      <c r="O6" s="6"/>
      <c r="P6" s="273"/>
      <c r="Q6" s="436"/>
      <c r="R6" s="48"/>
      <c r="S6" s="48"/>
      <c r="T6" s="48"/>
      <c r="U6" s="48"/>
    </row>
    <row r="7" spans="2:21" ht="13" x14ac:dyDescent="0.3">
      <c r="B7" s="74"/>
      <c r="D7" t="s">
        <v>457</v>
      </c>
      <c r="E7" s="2" t="str">
        <f>Trajecto!H33</f>
        <v>rose</v>
      </c>
      <c r="G7" t="s">
        <v>5</v>
      </c>
      <c r="H7">
        <f>Cx</f>
        <v>0.5</v>
      </c>
      <c r="N7" s="75"/>
      <c r="O7" s="6"/>
      <c r="P7" s="273"/>
      <c r="Q7" s="436"/>
      <c r="R7" s="48"/>
      <c r="S7" s="48"/>
      <c r="T7" s="48"/>
      <c r="U7" s="48"/>
    </row>
    <row r="8" spans="2:21" ht="13" x14ac:dyDescent="0.3">
      <c r="B8" s="74"/>
      <c r="D8" t="s">
        <v>458</v>
      </c>
      <c r="E8" s="2">
        <f>S_para</f>
        <v>0.24</v>
      </c>
      <c r="G8" t="s">
        <v>461</v>
      </c>
      <c r="H8">
        <f>L_rampe</f>
        <v>4</v>
      </c>
      <c r="N8" s="75"/>
      <c r="O8" s="6"/>
      <c r="P8" s="273"/>
      <c r="Q8" s="436"/>
      <c r="R8" s="48"/>
      <c r="S8" s="48"/>
      <c r="T8" s="48"/>
      <c r="U8" s="48"/>
    </row>
    <row r="9" spans="2:21" ht="13" x14ac:dyDescent="0.3">
      <c r="B9" s="74"/>
      <c r="D9" t="s">
        <v>456</v>
      </c>
      <c r="E9" s="2"/>
      <c r="G9" t="s">
        <v>147</v>
      </c>
      <c r="H9" s="534" t="str">
        <f>Forme_ogive</f>
        <v>Conique (droite)</v>
      </c>
      <c r="N9" s="75"/>
      <c r="O9" s="6"/>
      <c r="P9" s="273"/>
      <c r="Q9" s="436"/>
      <c r="R9" s="48"/>
      <c r="S9" s="48"/>
      <c r="T9" s="48"/>
      <c r="U9" s="48"/>
    </row>
    <row r="10" spans="2:21" ht="13" x14ac:dyDescent="0.3">
      <c r="B10" s="74"/>
      <c r="F10" s="3"/>
      <c r="G10" s="6"/>
      <c r="N10" s="75"/>
      <c r="O10" s="523"/>
      <c r="P10" s="48"/>
      <c r="Q10" s="436"/>
      <c r="R10" s="48"/>
      <c r="S10" s="48"/>
      <c r="T10" s="48"/>
      <c r="U10" s="48"/>
    </row>
    <row r="11" spans="2:21" ht="13.5" thickBot="1" x14ac:dyDescent="0.35">
      <c r="B11" s="74"/>
      <c r="C11" s="12"/>
      <c r="D11" s="275" t="s">
        <v>454</v>
      </c>
      <c r="E11" s="243">
        <f>MasseSans</f>
        <v>2</v>
      </c>
      <c r="F11" s="246" t="s">
        <v>124</v>
      </c>
      <c r="G11" s="246" t="s">
        <v>126</v>
      </c>
      <c r="H11" s="658" t="e">
        <f ca="1">Vsortie_de_rampe</f>
        <v>#N/A</v>
      </c>
      <c r="I11" s="659"/>
      <c r="J11" s="76"/>
      <c r="N11" s="75"/>
      <c r="P11" s="48"/>
      <c r="Q11" s="436"/>
      <c r="R11" s="48"/>
      <c r="S11" s="48"/>
      <c r="T11" s="48"/>
      <c r="U11" s="440">
        <f>IF(RIGHT(Nb_diam,1)=",", "", X_j)</f>
        <v>500</v>
      </c>
    </row>
    <row r="12" spans="2:21" ht="13.5" thickBot="1" x14ac:dyDescent="0.35">
      <c r="B12" s="74"/>
      <c r="C12" s="12"/>
      <c r="D12" s="276"/>
      <c r="E12" s="244"/>
      <c r="F12" s="6" t="s">
        <v>124</v>
      </c>
      <c r="G12" s="6" t="s">
        <v>127</v>
      </c>
      <c r="H12" s="660">
        <f>Finesse</f>
        <v>16.40625</v>
      </c>
      <c r="I12" s="661"/>
      <c r="J12" s="76"/>
      <c r="N12" s="75"/>
      <c r="O12" s="6"/>
      <c r="P12" s="273" t="s">
        <v>341</v>
      </c>
      <c r="Q12" s="441">
        <f>D_og</f>
        <v>64</v>
      </c>
      <c r="R12" s="48"/>
      <c r="S12" s="48"/>
      <c r="T12" s="48"/>
      <c r="U12" s="436"/>
    </row>
    <row r="13" spans="2:21" ht="13" x14ac:dyDescent="0.3">
      <c r="B13" s="74"/>
      <c r="C13" s="12"/>
      <c r="D13" s="276" t="s">
        <v>5</v>
      </c>
      <c r="E13" s="244">
        <f>Cx</f>
        <v>0.5</v>
      </c>
      <c r="F13" s="6" t="s">
        <v>124</v>
      </c>
      <c r="G13" s="6" t="s">
        <v>433</v>
      </c>
      <c r="H13" s="660">
        <f>Cn</f>
        <v>20.80884866158426</v>
      </c>
      <c r="I13" s="661"/>
      <c r="J13" s="76"/>
      <c r="N13" s="75"/>
      <c r="O13" s="6"/>
      <c r="P13" s="48"/>
      <c r="Q13" s="436"/>
      <c r="R13" s="48"/>
      <c r="S13" s="48"/>
      <c r="T13" s="48"/>
      <c r="U13" s="440">
        <f>IF(RIGHT(Nb_diam,1)=",", "", X_r)</f>
        <v>1000</v>
      </c>
    </row>
    <row r="14" spans="2:21" ht="13" x14ac:dyDescent="0.3">
      <c r="B14" s="74"/>
      <c r="C14" s="12"/>
      <c r="D14" s="276" t="s">
        <v>144</v>
      </c>
      <c r="E14" s="244">
        <f>L_rampe</f>
        <v>4</v>
      </c>
      <c r="F14" s="6" t="s">
        <v>124</v>
      </c>
      <c r="G14" s="6" t="s">
        <v>128</v>
      </c>
      <c r="H14" s="247">
        <f ca="1">MS_min</f>
        <v>3.2411635171272852</v>
      </c>
      <c r="I14" s="254">
        <f ca="1">MS_max</f>
        <v>3.4122420606610486</v>
      </c>
      <c r="J14" s="76"/>
      <c r="K14" s="76"/>
      <c r="N14" s="75"/>
      <c r="P14" s="48"/>
      <c r="Q14" s="436"/>
      <c r="R14" s="48"/>
      <c r="S14" s="48"/>
      <c r="T14" s="48"/>
      <c r="U14" s="436"/>
    </row>
    <row r="15" spans="2:21" ht="13" x14ac:dyDescent="0.3">
      <c r="B15" s="74"/>
      <c r="C15" s="12"/>
      <c r="D15" s="276" t="s">
        <v>145</v>
      </c>
      <c r="E15" s="244">
        <f>ep_ail</f>
        <v>3</v>
      </c>
      <c r="F15" s="6" t="s">
        <v>124</v>
      </c>
      <c r="G15" s="6" t="s">
        <v>125</v>
      </c>
      <c r="H15" s="247">
        <f ca="1">MS_Cn_min</f>
        <v>67.444881115349844</v>
      </c>
      <c r="I15" s="254">
        <f ca="1">MS_Cn_max</f>
        <v>71.004828636988179</v>
      </c>
      <c r="J15" s="76"/>
      <c r="K15" s="76"/>
      <c r="N15" s="75"/>
      <c r="P15" s="48"/>
      <c r="Q15" s="436"/>
      <c r="R15" s="48"/>
      <c r="S15" s="48"/>
      <c r="T15" s="48"/>
    </row>
    <row r="16" spans="2:21" ht="13" x14ac:dyDescent="0.3">
      <c r="B16" s="74"/>
      <c r="C16" s="12"/>
      <c r="D16" s="276" t="s">
        <v>146</v>
      </c>
      <c r="E16" s="244">
        <f>Q_ail</f>
        <v>4</v>
      </c>
      <c r="F16" s="6" t="s">
        <v>129</v>
      </c>
      <c r="G16" s="6" t="s">
        <v>130</v>
      </c>
      <c r="H16" s="247">
        <f ca="1">V_para</f>
        <v>11.793859523030601</v>
      </c>
      <c r="I16" s="253">
        <f>V_satellite</f>
        <v>10.960038730752361</v>
      </c>
      <c r="J16" s="76"/>
      <c r="N16" s="75"/>
      <c r="P16" s="48"/>
      <c r="Q16" s="436"/>
      <c r="R16" s="48"/>
      <c r="S16" s="48"/>
      <c r="T16" s="48"/>
      <c r="U16" s="440">
        <f>IF(RIGHT(Nb_diam,1)=",", "", l_j)</f>
        <v>50</v>
      </c>
    </row>
    <row r="17" spans="2:21" ht="13" x14ac:dyDescent="0.3">
      <c r="B17" s="74"/>
      <c r="C17" s="12"/>
      <c r="D17" s="276" t="s">
        <v>147</v>
      </c>
      <c r="E17" s="272" t="str">
        <f>Forme_ogive</f>
        <v>Conique (droite)</v>
      </c>
      <c r="F17" s="6" t="s">
        <v>131</v>
      </c>
      <c r="G17" s="6" t="s">
        <v>132</v>
      </c>
      <c r="H17" s="660">
        <f>T_para</f>
        <v>21</v>
      </c>
      <c r="I17" s="661"/>
      <c r="J17" s="258"/>
      <c r="N17" s="75"/>
      <c r="P17" s="434" t="s">
        <v>342</v>
      </c>
      <c r="Q17" s="440">
        <f>IF(RIGHT(Nb_diam,1)=",", "", D2j)</f>
        <v>64</v>
      </c>
      <c r="R17" s="48"/>
      <c r="S17" s="48"/>
      <c r="T17" s="48"/>
      <c r="U17" s="436"/>
    </row>
    <row r="18" spans="2:21" ht="13" x14ac:dyDescent="0.3">
      <c r="B18" s="74"/>
      <c r="C18" s="12"/>
      <c r="D18" s="276" t="s">
        <v>149</v>
      </c>
      <c r="E18" s="244">
        <f ca="1">XpropuRef-Long_propu</f>
        <v>822</v>
      </c>
      <c r="F18" s="12" t="s">
        <v>131</v>
      </c>
      <c r="G18" s="12" t="s">
        <v>427</v>
      </c>
      <c r="H18" s="627">
        <f ca="1">T_para-Combustion-Depotage</f>
        <v>20.03</v>
      </c>
      <c r="I18" s="664"/>
      <c r="N18" s="75"/>
      <c r="P18" s="48"/>
      <c r="Q18" s="436"/>
      <c r="R18" s="48"/>
      <c r="S18" s="48"/>
    </row>
    <row r="19" spans="2:21" ht="13" x14ac:dyDescent="0.3">
      <c r="B19" s="74"/>
      <c r="C19" s="533"/>
      <c r="D19" s="269"/>
      <c r="E19" s="271"/>
      <c r="F19" s="521" t="s">
        <v>133</v>
      </c>
      <c r="G19" s="274" t="s">
        <v>426</v>
      </c>
      <c r="H19" s="665">
        <f ca="1">Portee_balistique</f>
        <v>677.64536374242232</v>
      </c>
      <c r="I19" s="666"/>
      <c r="N19" s="75"/>
      <c r="P19" s="48"/>
      <c r="Q19" s="436"/>
      <c r="R19" s="48"/>
      <c r="S19" s="48"/>
      <c r="T19" s="48"/>
    </row>
    <row r="20" spans="2:21" ht="13" x14ac:dyDescent="0.3">
      <c r="B20" s="74"/>
      <c r="C20" s="12"/>
      <c r="D20" s="6"/>
      <c r="E20" s="6"/>
      <c r="H20" s="520"/>
      <c r="I20" s="520"/>
      <c r="N20" s="75"/>
      <c r="P20" s="48"/>
      <c r="Q20" s="436"/>
      <c r="R20" s="48"/>
      <c r="S20" s="48"/>
      <c r="T20" s="48"/>
      <c r="U20" s="440">
        <f>IF(RIGHT(Nb_diam,1)=",", "", l_r)</f>
        <v>50</v>
      </c>
    </row>
    <row r="21" spans="2:21" ht="13" x14ac:dyDescent="0.3">
      <c r="B21" s="74"/>
      <c r="C21" s="12"/>
      <c r="D21" s="6"/>
      <c r="E21" s="263"/>
      <c r="F21" s="3"/>
      <c r="G21" s="6"/>
      <c r="H21" s="520"/>
      <c r="I21" s="520"/>
      <c r="N21" s="75"/>
      <c r="O21" s="273"/>
      <c r="P21" s="436"/>
      <c r="Q21" s="48"/>
      <c r="R21" s="48"/>
      <c r="S21" s="48"/>
      <c r="T21" s="226"/>
      <c r="U21" s="436"/>
    </row>
    <row r="22" spans="2:21" ht="13" x14ac:dyDescent="0.3">
      <c r="B22" s="74"/>
      <c r="C22" s="528" t="s">
        <v>453</v>
      </c>
      <c r="D22" s="528" t="s">
        <v>437</v>
      </c>
      <c r="E22" s="529"/>
      <c r="F22" s="530" t="s">
        <v>442</v>
      </c>
      <c r="G22" s="528" t="s">
        <v>447</v>
      </c>
      <c r="I22" s="531"/>
      <c r="J22" s="532" t="s">
        <v>157</v>
      </c>
      <c r="K22" s="528" t="s">
        <v>158</v>
      </c>
      <c r="N22" s="75"/>
      <c r="O22" s="273"/>
      <c r="P22" s="436"/>
      <c r="Q22" s="48"/>
      <c r="R22" s="48"/>
      <c r="S22" s="48"/>
      <c r="T22" s="226"/>
      <c r="U22" s="436"/>
    </row>
    <row r="23" spans="2:21" ht="13" x14ac:dyDescent="0.3">
      <c r="B23" s="74"/>
      <c r="C23" s="528" t="s">
        <v>452</v>
      </c>
      <c r="D23" s="529">
        <f>XcgSans</f>
        <v>610</v>
      </c>
      <c r="E23" s="529" t="s">
        <v>39</v>
      </c>
      <c r="F23" s="530">
        <f>m_ail</f>
        <v>178</v>
      </c>
      <c r="G23" s="528">
        <f>m_can</f>
        <v>70</v>
      </c>
      <c r="I23" s="531" t="s">
        <v>448</v>
      </c>
      <c r="J23" s="530">
        <f>l_j</f>
        <v>50</v>
      </c>
      <c r="K23" s="528">
        <f>l_r</f>
        <v>50</v>
      </c>
      <c r="N23" s="75"/>
      <c r="O23" s="273"/>
      <c r="P23" s="436"/>
      <c r="Q23" s="48"/>
      <c r="R23" s="48"/>
      <c r="S23" s="48"/>
      <c r="T23" s="226"/>
      <c r="U23" s="436"/>
    </row>
    <row r="24" spans="2:21" ht="13" x14ac:dyDescent="0.3">
      <c r="B24" s="74"/>
      <c r="C24" s="528" t="s">
        <v>440</v>
      </c>
      <c r="D24" s="528">
        <f>Long_tot</f>
        <v>1050</v>
      </c>
      <c r="E24" s="529" t="s">
        <v>443</v>
      </c>
      <c r="F24" s="530">
        <f>n_ail</f>
        <v>80</v>
      </c>
      <c r="G24" s="528">
        <f>n_can</f>
        <v>10</v>
      </c>
      <c r="I24" s="531" t="s">
        <v>449</v>
      </c>
      <c r="J24" s="530">
        <f>D1j</f>
        <v>64</v>
      </c>
      <c r="K24" s="528">
        <f>D1r</f>
        <v>64</v>
      </c>
      <c r="N24" s="75"/>
      <c r="O24" s="273"/>
      <c r="P24" s="436"/>
      <c r="Q24" s="48"/>
      <c r="R24" s="48"/>
      <c r="S24" s="48"/>
      <c r="T24" s="226"/>
      <c r="U24" s="436"/>
    </row>
    <row r="25" spans="2:21" ht="13" x14ac:dyDescent="0.3">
      <c r="B25" s="74"/>
      <c r="C25" s="528" t="s">
        <v>441</v>
      </c>
      <c r="D25" s="528">
        <f>XpropuRef</f>
        <v>1050</v>
      </c>
      <c r="E25" s="529" t="s">
        <v>444</v>
      </c>
      <c r="F25" s="530">
        <f>p_ail</f>
        <v>140</v>
      </c>
      <c r="G25" s="528">
        <f>p_can</f>
        <v>40</v>
      </c>
      <c r="I25" s="531" t="s">
        <v>450</v>
      </c>
      <c r="J25" s="530">
        <f>D2j</f>
        <v>64</v>
      </c>
      <c r="K25" s="528">
        <f>D2r</f>
        <v>45</v>
      </c>
      <c r="N25" s="75"/>
      <c r="O25" s="273"/>
      <c r="P25" s="436"/>
      <c r="Q25" s="48"/>
      <c r="R25" s="48"/>
      <c r="S25" s="48"/>
      <c r="T25" s="226"/>
      <c r="U25" s="436"/>
    </row>
    <row r="26" spans="2:21" ht="13" x14ac:dyDescent="0.3">
      <c r="B26" s="74"/>
      <c r="C26" s="528" t="s">
        <v>438</v>
      </c>
      <c r="D26" s="528">
        <f>D_ref</f>
        <v>64</v>
      </c>
      <c r="E26" s="529" t="s">
        <v>445</v>
      </c>
      <c r="F26" s="530">
        <f>E_ail</f>
        <v>100</v>
      </c>
      <c r="G26" s="528">
        <f>E_can</f>
        <v>50</v>
      </c>
      <c r="I26" s="531" t="s">
        <v>451</v>
      </c>
      <c r="J26" s="530">
        <f>X_j</f>
        <v>500</v>
      </c>
      <c r="K26" s="528">
        <f>X_r</f>
        <v>1000</v>
      </c>
      <c r="N26" s="75"/>
      <c r="O26" s="273"/>
      <c r="P26" s="436"/>
      <c r="Q26" s="48"/>
      <c r="R26" s="48"/>
      <c r="S26" s="48"/>
      <c r="T26" s="226"/>
      <c r="U26" s="436"/>
    </row>
    <row r="27" spans="2:21" ht="13" x14ac:dyDescent="0.3">
      <c r="B27" s="74"/>
      <c r="C27" s="528" t="s">
        <v>439</v>
      </c>
      <c r="D27" s="528">
        <f>Long_ogive</f>
        <v>280</v>
      </c>
      <c r="E27" s="529" t="s">
        <v>446</v>
      </c>
      <c r="F27" s="530">
        <f>X_ail</f>
        <v>1000</v>
      </c>
      <c r="G27" s="528">
        <f>X_can</f>
        <v>700</v>
      </c>
      <c r="H27" s="520"/>
      <c r="I27" s="3"/>
      <c r="J27" s="2"/>
      <c r="N27" s="75"/>
      <c r="O27" s="273"/>
      <c r="P27" s="436"/>
      <c r="Q27" s="48"/>
      <c r="R27" s="48"/>
      <c r="S27" s="48"/>
      <c r="T27" s="226"/>
      <c r="U27" s="436"/>
    </row>
    <row r="28" spans="2:21" ht="13.5" thickBot="1" x14ac:dyDescent="0.35">
      <c r="B28" s="74"/>
      <c r="E28" s="95"/>
      <c r="N28" s="75"/>
      <c r="O28" s="2"/>
      <c r="P28" s="6"/>
      <c r="Q28" s="2"/>
      <c r="R28" s="48"/>
      <c r="S28" s="48"/>
      <c r="T28" s="48"/>
      <c r="U28" s="436"/>
    </row>
    <row r="29" spans="2:21" ht="13.5" thickBot="1" x14ac:dyDescent="0.35">
      <c r="B29" s="74"/>
      <c r="C29" s="663" t="s">
        <v>142</v>
      </c>
      <c r="D29" s="663" t="s">
        <v>134</v>
      </c>
      <c r="E29" s="663" t="s">
        <v>135</v>
      </c>
      <c r="F29" s="663"/>
      <c r="G29" s="663"/>
      <c r="H29" s="662" t="s">
        <v>136</v>
      </c>
      <c r="I29" s="662"/>
      <c r="J29" s="662"/>
      <c r="K29" s="662"/>
      <c r="L29" s="663" t="s">
        <v>137</v>
      </c>
      <c r="M29" s="663" t="s">
        <v>138</v>
      </c>
      <c r="N29" s="75"/>
      <c r="O29" s="273" t="s">
        <v>430</v>
      </c>
      <c r="P29" s="441">
        <f>n_ail</f>
        <v>80</v>
      </c>
      <c r="Q29" s="2"/>
      <c r="R29" s="48"/>
      <c r="S29" s="48"/>
      <c r="T29" s="48"/>
      <c r="U29" s="12" t="s">
        <v>434</v>
      </c>
    </row>
    <row r="30" spans="2:21" ht="13.5" thickBot="1" x14ac:dyDescent="0.35">
      <c r="B30" s="74"/>
      <c r="C30" s="663"/>
      <c r="D30" s="663"/>
      <c r="E30" s="663"/>
      <c r="F30" s="663"/>
      <c r="G30" s="663"/>
      <c r="H30" s="662" t="s">
        <v>139</v>
      </c>
      <c r="I30" s="662"/>
      <c r="J30" s="69" t="s">
        <v>140</v>
      </c>
      <c r="K30" s="70" t="s">
        <v>141</v>
      </c>
      <c r="L30" s="663"/>
      <c r="M30" s="663"/>
      <c r="N30" s="75"/>
      <c r="P30" s="12"/>
      <c r="R30" s="48"/>
      <c r="S30" s="48"/>
      <c r="T30" s="226" t="s">
        <v>432</v>
      </c>
      <c r="U30" s="525">
        <f>[0]!p_can</f>
        <v>40</v>
      </c>
    </row>
    <row r="31" spans="2:21" ht="13.5" thickBot="1" x14ac:dyDescent="0.35">
      <c r="B31" s="74"/>
      <c r="C31" s="83">
        <f>Beta_rampe</f>
        <v>82.43</v>
      </c>
      <c r="D31" s="84">
        <f ca="1">Portee_balistique</f>
        <v>677.64536374242232</v>
      </c>
      <c r="E31" s="667">
        <f ca="1">T_para+Dt_para</f>
        <v>214.52573920813882</v>
      </c>
      <c r="F31" s="667"/>
      <c r="G31" s="667"/>
      <c r="H31" s="668">
        <f ca="1">Altitude_culmi</f>
        <v>2283.3016154512825</v>
      </c>
      <c r="I31" s="668"/>
      <c r="J31" s="85">
        <f ca="1">Temps_culmi</f>
        <v>20.499999999999993</v>
      </c>
      <c r="K31" s="86">
        <f ca="1">Vit_culmi</f>
        <v>15.654423708316017</v>
      </c>
      <c r="L31" s="84">
        <f ca="1">Acc_max</f>
        <v>79.727305088659435</v>
      </c>
      <c r="M31" s="86">
        <f ca="1">Vit_max</f>
        <v>229.2579658968146</v>
      </c>
      <c r="N31" s="75"/>
      <c r="O31" s="273" t="s">
        <v>436</v>
      </c>
      <c r="P31" s="441">
        <f>ep_ail</f>
        <v>3</v>
      </c>
      <c r="Q31" s="2"/>
      <c r="R31" s="48"/>
      <c r="S31" s="48"/>
      <c r="T31" s="226" t="s">
        <v>344</v>
      </c>
      <c r="U31" s="525">
        <f>[0]!m_can</f>
        <v>70</v>
      </c>
    </row>
    <row r="32" spans="2:21" ht="13.5" thickBot="1" x14ac:dyDescent="0.35">
      <c r="B32" s="74"/>
      <c r="C32" s="522"/>
      <c r="D32" s="242"/>
      <c r="E32" s="247"/>
      <c r="F32" s="247"/>
      <c r="G32" s="247"/>
      <c r="H32" s="283"/>
      <c r="I32" s="283"/>
      <c r="J32" s="247"/>
      <c r="K32" s="248"/>
      <c r="L32" s="242"/>
      <c r="M32" s="248"/>
      <c r="N32" s="75"/>
      <c r="O32" s="273" t="s">
        <v>435</v>
      </c>
      <c r="P32" s="524">
        <f>Q_ail</f>
        <v>4</v>
      </c>
      <c r="Q32" s="2"/>
      <c r="R32" s="48"/>
      <c r="S32" s="48"/>
      <c r="T32" s="226" t="s">
        <v>430</v>
      </c>
      <c r="U32" s="525">
        <f>[0]!n_can</f>
        <v>10</v>
      </c>
    </row>
    <row r="33" spans="2:21" ht="13.5" thickBot="1" x14ac:dyDescent="0.35">
      <c r="B33" s="74"/>
      <c r="D33" s="80"/>
      <c r="E33" s="81"/>
      <c r="F33" s="81"/>
      <c r="G33" s="81"/>
      <c r="H33" s="82"/>
      <c r="I33" s="82"/>
      <c r="J33" s="81"/>
      <c r="K33" s="76"/>
      <c r="L33" s="80"/>
      <c r="M33" s="76"/>
      <c r="N33" s="75"/>
      <c r="O33" s="2"/>
      <c r="Q33" s="2"/>
      <c r="R33" s="48"/>
      <c r="S33" s="48"/>
      <c r="T33" s="226" t="s">
        <v>431</v>
      </c>
      <c r="U33" s="525">
        <f>[0]!E_can</f>
        <v>50</v>
      </c>
    </row>
    <row r="34" spans="2:21" ht="13.5" thickBot="1" x14ac:dyDescent="0.35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2"/>
      <c r="P34" s="273" t="s">
        <v>431</v>
      </c>
      <c r="Q34" s="441">
        <f>E_ail</f>
        <v>100</v>
      </c>
      <c r="T34" s="226" t="s">
        <v>436</v>
      </c>
      <c r="U34" s="525">
        <f>[0]!ep_can</f>
        <v>2</v>
      </c>
    </row>
    <row r="35" spans="2:21" ht="13" x14ac:dyDescent="0.3">
      <c r="O35" s="2"/>
      <c r="P35" s="6"/>
      <c r="Q35" s="6"/>
      <c r="T35" s="226" t="s">
        <v>435</v>
      </c>
      <c r="U35" s="525">
        <f>[0]!Q_can</f>
        <v>4</v>
      </c>
    </row>
    <row r="36" spans="2:21" ht="13.5" thickBot="1" x14ac:dyDescent="0.35">
      <c r="T36" s="2"/>
      <c r="U36" s="12"/>
    </row>
    <row r="37" spans="2:21" ht="13" x14ac:dyDescent="0.3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3"/>
      <c r="T37" s="2"/>
    </row>
    <row r="38" spans="2:21" ht="13" x14ac:dyDescent="0.3">
      <c r="B38" s="74"/>
      <c r="D38" s="2" t="s">
        <v>196</v>
      </c>
      <c r="N38" s="75"/>
    </row>
    <row r="39" spans="2:21" ht="13" x14ac:dyDescent="0.3">
      <c r="B39" s="74"/>
      <c r="D39" s="2"/>
      <c r="N39" s="75"/>
    </row>
    <row r="40" spans="2:21" ht="13" x14ac:dyDescent="0.3">
      <c r="B40" s="74"/>
      <c r="D40" s="275" t="s">
        <v>150</v>
      </c>
      <c r="E40" s="246">
        <f>D_ref</f>
        <v>64</v>
      </c>
      <c r="F40" s="265"/>
      <c r="G40" s="265"/>
      <c r="H40" s="261" t="s">
        <v>199</v>
      </c>
      <c r="I40" s="261" t="s">
        <v>200</v>
      </c>
      <c r="J40" s="262" t="s">
        <v>201</v>
      </c>
      <c r="N40" s="75"/>
    </row>
    <row r="41" spans="2:21" ht="13" x14ac:dyDescent="0.3">
      <c r="B41" s="74"/>
      <c r="D41" s="276" t="s">
        <v>148</v>
      </c>
      <c r="E41" s="6">
        <f>Long_ogive</f>
        <v>280</v>
      </c>
      <c r="F41" s="2"/>
      <c r="G41" s="2" t="s">
        <v>202</v>
      </c>
      <c r="H41" s="6">
        <f>MasseSans</f>
        <v>2</v>
      </c>
      <c r="I41" s="6">
        <f ca="1">MasseVide</f>
        <v>2.0842999999999998</v>
      </c>
      <c r="J41" s="244">
        <f ca="1">MassePlein</f>
        <v>2.1598999999999999</v>
      </c>
      <c r="N41" s="75"/>
    </row>
    <row r="42" spans="2:21" ht="13" x14ac:dyDescent="0.3">
      <c r="B42" s="74"/>
      <c r="D42" s="276" t="s">
        <v>151</v>
      </c>
      <c r="E42" s="6">
        <f>X_ail-m_ail</f>
        <v>822</v>
      </c>
      <c r="F42" s="255"/>
      <c r="G42" s="255" t="s">
        <v>219</v>
      </c>
      <c r="H42" s="263">
        <f>XcgSans</f>
        <v>610</v>
      </c>
      <c r="I42" s="263">
        <f ca="1">XcgVide</f>
        <v>623.18514609221324</v>
      </c>
      <c r="J42" s="245">
        <f ca="1">XcgPlein</f>
        <v>634.1341728783741</v>
      </c>
      <c r="N42" s="75"/>
    </row>
    <row r="43" spans="2:21" ht="13" x14ac:dyDescent="0.3">
      <c r="B43" s="74"/>
      <c r="D43" s="276" t="str">
        <f>IF(Lang="Français","Emplanture 'm'",IF(Lang="English","Root edge  'm'",""))</f>
        <v>Emplanture 'm'</v>
      </c>
      <c r="E43" s="244">
        <f>m_ail</f>
        <v>178</v>
      </c>
      <c r="N43" s="75"/>
    </row>
    <row r="44" spans="2:21" ht="13" x14ac:dyDescent="0.3">
      <c r="B44" s="74"/>
      <c r="D44" s="276" t="str">
        <f>IF(Lang="Français","Saumon      'n'",IF(Lang="English","Tip edge    'n'",""))</f>
        <v>Saumon      'n'</v>
      </c>
      <c r="E44" s="244">
        <f>n_ail</f>
        <v>80</v>
      </c>
      <c r="F44" s="246" t="s">
        <v>203</v>
      </c>
      <c r="G44" s="246" t="s">
        <v>208</v>
      </c>
      <c r="H44" s="658" t="e">
        <f ca="1">Vsortie_de_rampe</f>
        <v>#N/A</v>
      </c>
      <c r="I44" s="659"/>
      <c r="N44" s="75"/>
    </row>
    <row r="45" spans="2:21" ht="13" x14ac:dyDescent="0.3">
      <c r="B45" s="74"/>
      <c r="D45" s="276" t="str">
        <f>IF(Lang="Français","Flèche        'p'",IF(Lang="English","Offset         'p'",""))</f>
        <v>Flèche        'p'</v>
      </c>
      <c r="E45" s="244">
        <f>p_ail</f>
        <v>140</v>
      </c>
      <c r="F45" s="6" t="s">
        <v>204</v>
      </c>
      <c r="G45" s="6" t="s">
        <v>209</v>
      </c>
      <c r="H45" s="660">
        <f>Finesse</f>
        <v>16.40625</v>
      </c>
      <c r="I45" s="661"/>
      <c r="N45" s="75"/>
    </row>
    <row r="46" spans="2:21" ht="13" x14ac:dyDescent="0.3">
      <c r="B46" s="74"/>
      <c r="D46" s="276" t="str">
        <f>IF(Lang="Français","Envergure   'E'",IF(Lang="English","Span          'E'",""))</f>
        <v>Envergure   'E'</v>
      </c>
      <c r="E46" s="244">
        <f>E_ail</f>
        <v>100</v>
      </c>
      <c r="F46" s="6" t="s">
        <v>205</v>
      </c>
      <c r="G46" s="6" t="s">
        <v>210</v>
      </c>
      <c r="H46" s="660">
        <f>Cn</f>
        <v>20.80884866158426</v>
      </c>
      <c r="I46" s="661"/>
      <c r="N46" s="75"/>
    </row>
    <row r="47" spans="2:21" ht="13" x14ac:dyDescent="0.3">
      <c r="B47" s="74"/>
      <c r="D47" s="276" t="s">
        <v>145</v>
      </c>
      <c r="E47" s="244">
        <f>ep_ail</f>
        <v>3</v>
      </c>
      <c r="F47" s="6" t="s">
        <v>206</v>
      </c>
      <c r="G47" s="6" t="s">
        <v>211</v>
      </c>
      <c r="H47" s="247">
        <f ca="1">MS_min</f>
        <v>3.2411635171272852</v>
      </c>
      <c r="I47" s="254">
        <f ca="1">MS_max</f>
        <v>3.4122420606610486</v>
      </c>
      <c r="N47" s="75"/>
    </row>
    <row r="48" spans="2:21" ht="13" x14ac:dyDescent="0.3">
      <c r="B48" s="74"/>
      <c r="D48" s="276" t="s">
        <v>146</v>
      </c>
      <c r="E48" s="244">
        <f>Q_ail</f>
        <v>4</v>
      </c>
      <c r="F48" s="274" t="s">
        <v>207</v>
      </c>
      <c r="G48" s="274" t="s">
        <v>212</v>
      </c>
      <c r="H48" s="256">
        <f ca="1">MS_Cn_min</f>
        <v>67.444881115349844</v>
      </c>
      <c r="I48" s="264">
        <f ca="1">MS_Cn_max</f>
        <v>71.004828636988179</v>
      </c>
      <c r="N48" s="75"/>
    </row>
    <row r="49" spans="2:14" ht="13" x14ac:dyDescent="0.3">
      <c r="B49" s="74"/>
      <c r="D49" s="276" t="s">
        <v>149</v>
      </c>
      <c r="E49" s="244">
        <f ca="1">XpropuRef-Long_propu</f>
        <v>822</v>
      </c>
      <c r="N49" s="75"/>
    </row>
    <row r="50" spans="2:14" ht="13" x14ac:dyDescent="0.3">
      <c r="B50" s="74"/>
      <c r="D50" s="276" t="s">
        <v>147</v>
      </c>
      <c r="E50" s="272" t="str">
        <f>Forme_ogive</f>
        <v>Conique (droite)</v>
      </c>
      <c r="F50" s="273" t="s">
        <v>184</v>
      </c>
      <c r="G50" s="275" t="s">
        <v>5</v>
      </c>
      <c r="H50" s="246">
        <f>Cx</f>
        <v>0.5</v>
      </c>
      <c r="I50" s="265"/>
      <c r="J50" s="266"/>
      <c r="N50" s="75"/>
    </row>
    <row r="51" spans="2:14" ht="13" x14ac:dyDescent="0.3">
      <c r="B51" s="74"/>
      <c r="D51" s="276" t="s">
        <v>143</v>
      </c>
      <c r="E51" s="244">
        <f>Long_tot</f>
        <v>1050</v>
      </c>
      <c r="G51" s="276" t="s">
        <v>213</v>
      </c>
      <c r="H51" s="6">
        <f>Sref</f>
        <v>4.416990877275948E-3</v>
      </c>
      <c r="J51" s="267"/>
      <c r="N51" s="75"/>
    </row>
    <row r="52" spans="2:14" ht="13" x14ac:dyDescent="0.3">
      <c r="B52" s="74"/>
      <c r="D52" s="276" t="s">
        <v>197</v>
      </c>
      <c r="E52" s="244">
        <f>MAX(D_ref,D_ail,D_og,(RIGHT(Nb_diam,1)=",")*MAX(D1j,D1r,D2j,D2r))</f>
        <v>64</v>
      </c>
      <c r="G52" s="276" t="s">
        <v>214</v>
      </c>
      <c r="H52" s="6">
        <f>Beta_rampe</f>
        <v>82.43</v>
      </c>
      <c r="I52" s="6">
        <v>80</v>
      </c>
      <c r="J52" s="244">
        <v>90</v>
      </c>
      <c r="N52" s="75"/>
    </row>
    <row r="53" spans="2:14" ht="13" x14ac:dyDescent="0.3">
      <c r="B53" s="74"/>
      <c r="D53" s="277" t="s">
        <v>198</v>
      </c>
      <c r="E53" s="260">
        <f>E_ail*2+D_ail</f>
        <v>264</v>
      </c>
      <c r="G53" s="278" t="s">
        <v>216</v>
      </c>
      <c r="H53" s="247">
        <f ca="1">Temps_culmi</f>
        <v>20.499999999999993</v>
      </c>
      <c r="I53" s="259"/>
      <c r="J53" s="268"/>
      <c r="N53" s="75"/>
    </row>
    <row r="54" spans="2:14" ht="13" x14ac:dyDescent="0.3">
      <c r="B54" s="74"/>
      <c r="G54" s="278" t="s">
        <v>217</v>
      </c>
      <c r="H54" s="242">
        <f ca="1">Altitude_culmi</f>
        <v>2283.3016154512825</v>
      </c>
      <c r="I54" s="259"/>
      <c r="J54" s="268"/>
      <c r="N54" s="75"/>
    </row>
    <row r="55" spans="2:14" ht="13" x14ac:dyDescent="0.3">
      <c r="B55" s="74"/>
      <c r="C55" s="275" t="s">
        <v>234</v>
      </c>
      <c r="D55" s="249" t="s">
        <v>61</v>
      </c>
      <c r="E55" s="243">
        <f>Long_tot</f>
        <v>1050</v>
      </c>
      <c r="G55" s="278" t="s">
        <v>218</v>
      </c>
      <c r="H55" s="248">
        <f ca="1">Vit_culmi</f>
        <v>15.654423708316017</v>
      </c>
      <c r="I55" s="259"/>
      <c r="J55" s="268"/>
      <c r="N55" s="75"/>
    </row>
    <row r="56" spans="2:14" ht="13" x14ac:dyDescent="0.3">
      <c r="B56" s="74"/>
      <c r="C56" s="276"/>
      <c r="D56" s="2" t="s">
        <v>220</v>
      </c>
      <c r="E56" s="244">
        <f>MAX(D_ref,D_ail,D_og,(RIGHT(Nb_diam,1)=",")*MAX(D1j,D1r,D2j,D2r))</f>
        <v>64</v>
      </c>
      <c r="G56" s="278" t="s">
        <v>134</v>
      </c>
      <c r="H56" s="242">
        <f ca="1">Portee_balistique</f>
        <v>677.64536374242232</v>
      </c>
      <c r="I56" s="259"/>
      <c r="J56" s="268"/>
      <c r="N56" s="75"/>
    </row>
    <row r="57" spans="2:14" ht="13" x14ac:dyDescent="0.3">
      <c r="B57" s="74"/>
      <c r="C57" s="276"/>
      <c r="D57" s="2" t="s">
        <v>221</v>
      </c>
      <c r="E57" s="244">
        <f>E_ail*2+D_ail</f>
        <v>264</v>
      </c>
      <c r="G57" s="278" t="s">
        <v>215</v>
      </c>
      <c r="H57" s="242">
        <f ca="1">T_balistique</f>
        <v>47.100000000000371</v>
      </c>
      <c r="I57" s="259"/>
      <c r="J57" s="268"/>
      <c r="N57" s="75"/>
    </row>
    <row r="58" spans="2:14" ht="13" x14ac:dyDescent="0.3">
      <c r="B58" s="74"/>
      <c r="C58" s="276"/>
      <c r="D58" s="2" t="s">
        <v>222</v>
      </c>
      <c r="E58" s="244">
        <f ca="1">MassePlein</f>
        <v>2.1598999999999999</v>
      </c>
      <c r="G58" s="278" t="s">
        <v>138</v>
      </c>
      <c r="H58" s="248">
        <f ca="1">Vit_max</f>
        <v>229.2579658968146</v>
      </c>
      <c r="I58" s="259"/>
      <c r="J58" s="268"/>
      <c r="N58" s="75"/>
    </row>
    <row r="59" spans="2:14" ht="13" x14ac:dyDescent="0.3">
      <c r="B59" s="74"/>
      <c r="C59" s="277" t="s">
        <v>235</v>
      </c>
      <c r="D59" s="255" t="s">
        <v>146</v>
      </c>
      <c r="E59" s="260">
        <f>Q_ail</f>
        <v>4</v>
      </c>
      <c r="G59" s="278" t="s">
        <v>137</v>
      </c>
      <c r="H59" s="242">
        <f ca="1">Acc_max</f>
        <v>79.727305088659435</v>
      </c>
      <c r="I59" s="259"/>
      <c r="J59" s="268"/>
      <c r="N59" s="75"/>
    </row>
    <row r="60" spans="2:14" x14ac:dyDescent="0.25">
      <c r="B60" s="74"/>
      <c r="C60" s="12"/>
      <c r="G60" s="269" t="s">
        <v>223</v>
      </c>
      <c r="H60" s="270"/>
      <c r="I60" s="270"/>
      <c r="J60" s="271"/>
      <c r="N60" s="75"/>
    </row>
    <row r="61" spans="2:14" ht="13" x14ac:dyDescent="0.3">
      <c r="B61" s="74"/>
      <c r="C61" s="275"/>
      <c r="D61" s="249"/>
      <c r="E61" s="246" t="s">
        <v>227</v>
      </c>
      <c r="F61" s="243" t="s">
        <v>228</v>
      </c>
      <c r="G61" s="2"/>
      <c r="H61" s="2"/>
      <c r="I61" s="2"/>
      <c r="J61" s="2"/>
      <c r="K61" s="2"/>
      <c r="N61" s="75"/>
    </row>
    <row r="62" spans="2:14" ht="13" x14ac:dyDescent="0.3">
      <c r="B62" s="74"/>
      <c r="C62" s="276" t="s">
        <v>236</v>
      </c>
      <c r="D62" s="2" t="s">
        <v>226</v>
      </c>
      <c r="E62" s="242">
        <f ca="1">2*Acc_max*MassePlein</f>
        <v>344.40601252199099</v>
      </c>
      <c r="F62" s="280">
        <f ca="1">E62/9.81</f>
        <v>35.107646536390519</v>
      </c>
      <c r="H62" s="2"/>
      <c r="I62" s="2"/>
      <c r="J62" s="2"/>
      <c r="K62" s="2"/>
      <c r="N62" s="75"/>
    </row>
    <row r="63" spans="2:14" ht="13" x14ac:dyDescent="0.3">
      <c r="B63" s="74"/>
      <c r="C63" s="276"/>
      <c r="D63" s="2" t="s">
        <v>224</v>
      </c>
      <c r="E63" s="242">
        <f ca="1">2*Acc_max*Masse_ail</f>
        <v>12.34178682772448</v>
      </c>
      <c r="F63" s="248">
        <f ca="1">E63/9.81</f>
        <v>1.2580822454357268</v>
      </c>
      <c r="G63" s="246" t="s">
        <v>230</v>
      </c>
      <c r="H63" s="288">
        <f>S_ail*(ep_ail/1000)*2000</f>
        <v>7.7399999999999997E-2</v>
      </c>
      <c r="I63" s="2"/>
      <c r="J63" s="2"/>
      <c r="K63" s="2"/>
      <c r="N63" s="75"/>
    </row>
    <row r="64" spans="2:14" ht="13" x14ac:dyDescent="0.3">
      <c r="B64" s="74"/>
      <c r="C64" s="277"/>
      <c r="D64" s="255" t="s">
        <v>225</v>
      </c>
      <c r="E64" s="263">
        <f ca="1">0.104*S_ail*Vit_max^2</f>
        <v>70.513442746257724</v>
      </c>
      <c r="F64" s="281">
        <f ca="1">E64/9.81</f>
        <v>7.187914653033407</v>
      </c>
      <c r="G64" s="274" t="s">
        <v>229</v>
      </c>
      <c r="H64" s="289">
        <f>(E_ail*(m_ail+n_ail)/2)/10^6</f>
        <v>1.29E-2</v>
      </c>
      <c r="I64" s="2"/>
      <c r="J64" s="2"/>
      <c r="K64" s="2"/>
      <c r="N64" s="75"/>
    </row>
    <row r="65" spans="2:14" ht="13" x14ac:dyDescent="0.3">
      <c r="B65" s="74"/>
      <c r="C65" s="282" t="s">
        <v>243</v>
      </c>
      <c r="D65" s="285" t="s">
        <v>241</v>
      </c>
      <c r="E65" s="286">
        <f ca="1">2*Acc_max*H65</f>
        <v>172.20300626099549</v>
      </c>
      <c r="F65" s="286">
        <f ca="1">E65/9.81</f>
        <v>17.553823268195259</v>
      </c>
      <c r="G65" s="287" t="s">
        <v>242</v>
      </c>
      <c r="H65" s="279">
        <f ca="1">E58/2</f>
        <v>1.07995</v>
      </c>
      <c r="I65" s="2"/>
      <c r="J65" s="2"/>
      <c r="K65" s="2"/>
      <c r="N65" s="75"/>
    </row>
    <row r="66" spans="2:14" ht="13" x14ac:dyDescent="0.3">
      <c r="B66" s="74"/>
      <c r="C66" s="6"/>
      <c r="D66" s="2"/>
      <c r="E66" s="2"/>
      <c r="F66" s="2"/>
      <c r="G66" s="2"/>
      <c r="H66" s="2"/>
      <c r="I66" s="2"/>
      <c r="J66" s="2"/>
      <c r="K66" s="2"/>
      <c r="N66" s="75"/>
    </row>
    <row r="67" spans="2:14" ht="13" x14ac:dyDescent="0.3">
      <c r="B67" s="74"/>
      <c r="F67" s="275" t="s">
        <v>233</v>
      </c>
      <c r="G67" s="249" t="s">
        <v>231</v>
      </c>
      <c r="H67" s="250">
        <f>T_para</f>
        <v>21</v>
      </c>
      <c r="I67" s="251">
        <f ca="1">Temps_culmi</f>
        <v>20.499999999999993</v>
      </c>
      <c r="J67" s="2"/>
      <c r="K67" s="2"/>
      <c r="N67" s="75"/>
    </row>
    <row r="68" spans="2:14" ht="13" x14ac:dyDescent="0.3">
      <c r="B68" s="74"/>
      <c r="C68" s="6"/>
      <c r="D68" s="2"/>
      <c r="E68" s="2"/>
      <c r="F68" s="275" t="s">
        <v>232</v>
      </c>
      <c r="G68" s="249" t="s">
        <v>130</v>
      </c>
      <c r="H68" s="250">
        <f ca="1">V_para</f>
        <v>11.793859523030601</v>
      </c>
      <c r="I68" s="251">
        <f>V_satellite</f>
        <v>10.960038730752361</v>
      </c>
      <c r="J68" s="2"/>
      <c r="K68" s="2"/>
      <c r="N68" s="75"/>
    </row>
    <row r="69" spans="2:14" ht="13" x14ac:dyDescent="0.3">
      <c r="B69" s="74"/>
      <c r="C69" s="6"/>
      <c r="D69" s="2"/>
      <c r="E69" s="2"/>
      <c r="F69" s="276"/>
      <c r="G69" s="2" t="s">
        <v>238</v>
      </c>
      <c r="H69" s="247">
        <f>S_para</f>
        <v>0.24</v>
      </c>
      <c r="I69" s="253">
        <f>S_satellite</f>
        <v>0.02</v>
      </c>
      <c r="J69" s="2"/>
      <c r="K69" s="2"/>
      <c r="N69" s="75"/>
    </row>
    <row r="70" spans="2:14" ht="13" x14ac:dyDescent="0.3">
      <c r="B70" s="74"/>
      <c r="C70" s="226"/>
      <c r="D70" s="2"/>
      <c r="F70" s="276"/>
      <c r="G70" s="2" t="s">
        <v>237</v>
      </c>
      <c r="H70" s="247">
        <f ca="1">V_ouverture</f>
        <v>16.138052307554052</v>
      </c>
      <c r="I70" s="253" t="e">
        <f ca="1">V_ouv_sat</f>
        <v>#N/A</v>
      </c>
      <c r="N70" s="75"/>
    </row>
    <row r="71" spans="2:14" ht="13" x14ac:dyDescent="0.3">
      <c r="B71" s="74"/>
      <c r="C71" s="226"/>
      <c r="F71" s="276"/>
      <c r="G71" s="2" t="s">
        <v>202</v>
      </c>
      <c r="H71" s="247">
        <f ca="1">m_vide</f>
        <v>2.0842999999999998</v>
      </c>
      <c r="I71" s="253">
        <f>m_satellite</f>
        <v>0.15</v>
      </c>
      <c r="N71" s="75"/>
    </row>
    <row r="72" spans="2:14" ht="13" x14ac:dyDescent="0.3">
      <c r="B72" s="74"/>
      <c r="C72" s="226"/>
      <c r="F72" s="276"/>
      <c r="G72" s="2" t="s">
        <v>239</v>
      </c>
      <c r="H72" s="283">
        <f ca="1">1/2*Rho_moyen*S_para*V_ouverture^2</f>
        <v>38.284199645358548</v>
      </c>
      <c r="I72" s="284" t="e">
        <f ca="1">1/2*Rho_moyen*S_satellite*V_ouv_sat^2</f>
        <v>#N/A</v>
      </c>
      <c r="N72" s="75"/>
    </row>
    <row r="73" spans="2:14" ht="13" x14ac:dyDescent="0.3">
      <c r="B73" s="74"/>
      <c r="D73" s="2"/>
      <c r="F73" s="277"/>
      <c r="G73" s="255" t="s">
        <v>240</v>
      </c>
      <c r="H73" s="256">
        <f ca="1">H72/9.81</f>
        <v>3.9025687711884349</v>
      </c>
      <c r="I73" s="257" t="e">
        <f ca="1">I72/9.81</f>
        <v>#N/A</v>
      </c>
      <c r="N73" s="75"/>
    </row>
    <row r="74" spans="2:14" ht="13" thickBot="1" x14ac:dyDescent="0.3"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</row>
    <row r="76" spans="2:14" ht="13" thickBot="1" x14ac:dyDescent="0.3"/>
    <row r="77" spans="2:14" x14ac:dyDescent="0.25">
      <c r="B77" s="71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3"/>
    </row>
    <row r="78" spans="2:14" ht="13" x14ac:dyDescent="0.3">
      <c r="B78" s="74"/>
      <c r="D78" s="2" t="s">
        <v>333</v>
      </c>
      <c r="N78" s="75"/>
    </row>
    <row r="79" spans="2:14" ht="12.75" customHeight="1" x14ac:dyDescent="0.35">
      <c r="B79" s="74"/>
      <c r="E79" s="48"/>
      <c r="F79" s="48"/>
      <c r="G79" s="435" t="s">
        <v>339</v>
      </c>
      <c r="I79" s="448"/>
      <c r="J79" s="48"/>
      <c r="K79" s="48"/>
      <c r="N79" s="75"/>
    </row>
    <row r="80" spans="2:14" ht="13" x14ac:dyDescent="0.3">
      <c r="B80" s="74"/>
      <c r="C80" s="275" t="s">
        <v>334</v>
      </c>
      <c r="D80" s="243" t="str">
        <f>Nom</f>
        <v>SP-02-beta</v>
      </c>
      <c r="E80" s="48"/>
      <c r="F80" s="48"/>
      <c r="G80" s="48"/>
      <c r="H80" s="48"/>
      <c r="I80" s="48"/>
      <c r="J80" s="48"/>
      <c r="K80" s="48"/>
      <c r="N80" s="75"/>
    </row>
    <row r="81" spans="2:14" ht="13.5" thickBot="1" x14ac:dyDescent="0.35">
      <c r="B81" s="74"/>
      <c r="C81" s="276" t="s">
        <v>4</v>
      </c>
      <c r="D81" s="244" t="str">
        <f>Club</f>
        <v>l'AeroIPSA</v>
      </c>
      <c r="E81" s="48"/>
      <c r="F81" s="48"/>
      <c r="G81" s="48"/>
      <c r="H81" s="48"/>
      <c r="I81" s="48"/>
      <c r="J81" s="48"/>
      <c r="K81" s="48"/>
      <c r="N81" s="75"/>
    </row>
    <row r="82" spans="2:14" ht="13.5" thickBot="1" x14ac:dyDescent="0.35">
      <c r="B82" s="74"/>
      <c r="C82" s="432" t="s">
        <v>335</v>
      </c>
      <c r="D82" s="244" t="s">
        <v>14</v>
      </c>
      <c r="E82" s="273" t="s">
        <v>340</v>
      </c>
      <c r="F82" s="441">
        <f>Long_ogive</f>
        <v>280</v>
      </c>
      <c r="G82" s="48"/>
      <c r="H82" s="48"/>
      <c r="I82" s="48"/>
      <c r="J82" s="48"/>
      <c r="K82" s="48"/>
      <c r="N82" s="75"/>
    </row>
    <row r="83" spans="2:14" ht="13" x14ac:dyDescent="0.3">
      <c r="B83" s="74"/>
      <c r="C83" s="277" t="s">
        <v>336</v>
      </c>
      <c r="D83" s="433">
        <f ca="1">TODAY()</f>
        <v>45708</v>
      </c>
      <c r="E83" s="48"/>
      <c r="F83" s="436"/>
      <c r="G83" s="48"/>
      <c r="H83" s="48"/>
      <c r="I83" s="48"/>
      <c r="J83" s="48"/>
      <c r="K83" s="48"/>
      <c r="N83" s="75"/>
    </row>
    <row r="84" spans="2:14" ht="13" thickBot="1" x14ac:dyDescent="0.3">
      <c r="B84" s="74"/>
      <c r="E84" s="48"/>
      <c r="F84" s="436"/>
      <c r="G84" s="48"/>
      <c r="H84" s="48"/>
      <c r="I84" s="48"/>
      <c r="J84" s="440">
        <f>IF(RIGHT(Nb_diam,1)=",", "", X_j)</f>
        <v>500</v>
      </c>
      <c r="K84" s="48"/>
      <c r="N84" s="75"/>
    </row>
    <row r="85" spans="2:14" ht="13.5" thickBot="1" x14ac:dyDescent="0.35">
      <c r="B85" s="74"/>
      <c r="C85" s="275" t="s">
        <v>337</v>
      </c>
      <c r="D85" s="243" t="str">
        <f>Propu</f>
        <v>Pandora (Pro24-6G BS)</v>
      </c>
      <c r="E85" s="273" t="s">
        <v>341</v>
      </c>
      <c r="F85" s="441">
        <f>D_og</f>
        <v>64</v>
      </c>
      <c r="G85" s="48"/>
      <c r="H85" s="48"/>
      <c r="I85" s="48"/>
      <c r="J85" s="436"/>
      <c r="K85" s="48"/>
      <c r="N85" s="75"/>
    </row>
    <row r="86" spans="2:14" ht="13" x14ac:dyDescent="0.3">
      <c r="B86" s="74"/>
      <c r="C86" s="277" t="s">
        <v>338</v>
      </c>
      <c r="D86" s="260" t="s">
        <v>14</v>
      </c>
      <c r="E86" s="48"/>
      <c r="F86" s="436"/>
      <c r="G86" s="48"/>
      <c r="H86" s="48"/>
      <c r="I86" s="48"/>
      <c r="J86" s="440">
        <f>IF(RIGHT(Nb_diam,1)=",", "", X_r)</f>
        <v>1000</v>
      </c>
      <c r="K86" s="48"/>
      <c r="N86" s="75"/>
    </row>
    <row r="87" spans="2:14" x14ac:dyDescent="0.25">
      <c r="B87" s="74"/>
      <c r="E87" s="48"/>
      <c r="F87" s="436"/>
      <c r="G87" s="48"/>
      <c r="H87" s="48"/>
      <c r="I87" s="48"/>
      <c r="J87" s="436"/>
      <c r="K87" s="48"/>
      <c r="N87" s="75"/>
    </row>
    <row r="88" spans="2:14" x14ac:dyDescent="0.25">
      <c r="B88" s="74"/>
      <c r="E88" s="48"/>
      <c r="F88" s="436"/>
      <c r="G88" s="48"/>
      <c r="H88" s="48"/>
      <c r="I88" s="48"/>
      <c r="J88" s="440">
        <f>IF(RIGHT(Nb_diam,1)=",", "", l_j)</f>
        <v>50</v>
      </c>
      <c r="K88" s="48"/>
      <c r="N88" s="75"/>
    </row>
    <row r="89" spans="2:14" ht="13" thickBot="1" x14ac:dyDescent="0.3">
      <c r="B89" s="74"/>
      <c r="E89" s="48"/>
      <c r="F89" s="436"/>
      <c r="G89" s="48"/>
      <c r="H89" s="48"/>
      <c r="I89" s="48"/>
      <c r="J89" s="436"/>
      <c r="K89" s="48"/>
      <c r="N89" s="75"/>
    </row>
    <row r="90" spans="2:14" ht="13.5" thickBot="1" x14ac:dyDescent="0.35">
      <c r="B90" s="74"/>
      <c r="E90" s="434" t="s">
        <v>342</v>
      </c>
      <c r="F90" s="440">
        <f>IF(RIGHT(Nb_diam,1)=",", "", D2j)</f>
        <v>64</v>
      </c>
      <c r="G90" s="48"/>
      <c r="H90" s="48"/>
      <c r="I90" s="48"/>
      <c r="J90" s="441">
        <f>X_ail-m_ail</f>
        <v>822</v>
      </c>
      <c r="K90" s="2"/>
      <c r="N90" s="75"/>
    </row>
    <row r="91" spans="2:14" x14ac:dyDescent="0.25">
      <c r="B91" s="74"/>
      <c r="E91" s="48"/>
      <c r="F91" s="436"/>
      <c r="G91" s="48"/>
      <c r="H91" s="48"/>
      <c r="I91" s="48"/>
      <c r="J91" s="436"/>
      <c r="K91" s="48"/>
      <c r="N91" s="75"/>
    </row>
    <row r="92" spans="2:14" x14ac:dyDescent="0.25">
      <c r="B92" s="74"/>
      <c r="E92" s="48"/>
      <c r="F92" s="436"/>
      <c r="G92" s="48"/>
      <c r="H92" s="48"/>
      <c r="I92" s="48"/>
      <c r="J92" s="440">
        <f>IF(RIGHT(Nb_diam,1)=",", "", l_r)</f>
        <v>50</v>
      </c>
      <c r="K92" s="48"/>
      <c r="N92" s="75"/>
    </row>
    <row r="93" spans="2:14" x14ac:dyDescent="0.25">
      <c r="B93" s="74"/>
      <c r="E93" s="48"/>
      <c r="F93" s="436"/>
      <c r="G93" s="48"/>
      <c r="H93" s="48"/>
      <c r="I93" s="48"/>
      <c r="J93" s="436"/>
      <c r="K93" s="48"/>
      <c r="N93" s="75"/>
    </row>
    <row r="94" spans="2:14" x14ac:dyDescent="0.25">
      <c r="B94" s="74"/>
      <c r="E94" s="434" t="s">
        <v>343</v>
      </c>
      <c r="F94" s="440">
        <f>IF(RIGHT(Nb_diam,1)=",", "", D2r)</f>
        <v>45</v>
      </c>
      <c r="G94" s="48"/>
      <c r="H94" s="48"/>
      <c r="I94" s="48"/>
      <c r="J94" s="436"/>
      <c r="K94" s="48"/>
      <c r="N94" s="75"/>
    </row>
    <row r="95" spans="2:14" x14ac:dyDescent="0.25">
      <c r="B95" s="74"/>
      <c r="E95" s="48"/>
      <c r="F95" s="436"/>
      <c r="G95" s="48"/>
      <c r="H95" s="48"/>
      <c r="I95" s="48"/>
      <c r="J95" s="436"/>
      <c r="K95" s="48"/>
      <c r="N95" s="75"/>
    </row>
    <row r="96" spans="2:14" ht="13" thickBot="1" x14ac:dyDescent="0.3">
      <c r="B96" s="74"/>
      <c r="E96" s="48"/>
      <c r="F96" s="436"/>
      <c r="G96" s="48"/>
      <c r="H96" s="48"/>
      <c r="I96" s="48"/>
      <c r="J96" s="436"/>
      <c r="K96" s="48"/>
      <c r="N96" s="75"/>
    </row>
    <row r="97" spans="2:14" ht="13.5" thickBot="1" x14ac:dyDescent="0.35">
      <c r="B97" s="74"/>
      <c r="E97" s="273" t="s">
        <v>344</v>
      </c>
      <c r="F97" s="441">
        <f>m_ail</f>
        <v>178</v>
      </c>
      <c r="G97" s="48"/>
      <c r="H97" s="48"/>
      <c r="I97" s="48"/>
      <c r="J97" s="441">
        <f>p_ail</f>
        <v>140</v>
      </c>
      <c r="K97" s="2"/>
      <c r="N97" s="75"/>
    </row>
    <row r="98" spans="2:14" x14ac:dyDescent="0.25">
      <c r="B98" s="74"/>
      <c r="E98" s="48"/>
      <c r="F98" s="48"/>
      <c r="G98" s="48"/>
      <c r="H98" s="48"/>
      <c r="I98" s="48"/>
      <c r="J98" s="436"/>
      <c r="K98" s="48"/>
      <c r="N98" s="75"/>
    </row>
    <row r="99" spans="2:14" x14ac:dyDescent="0.25">
      <c r="B99" s="74"/>
      <c r="E99" s="48"/>
      <c r="F99" s="48"/>
      <c r="G99" s="48"/>
      <c r="H99" s="48"/>
      <c r="I99" s="48"/>
      <c r="J99" s="436"/>
      <c r="K99" s="48"/>
      <c r="N99" s="75"/>
    </row>
    <row r="100" spans="2:14" ht="13.5" thickBot="1" x14ac:dyDescent="0.35">
      <c r="B100" s="74"/>
      <c r="D100" s="429" t="s">
        <v>346</v>
      </c>
      <c r="E100" s="246">
        <f>Q_ail</f>
        <v>4</v>
      </c>
      <c r="F100" s="430"/>
      <c r="G100" s="48"/>
      <c r="H100" s="48"/>
      <c r="I100" s="48"/>
      <c r="J100" s="436"/>
      <c r="K100" s="48"/>
      <c r="N100" s="75"/>
    </row>
    <row r="101" spans="2:14" ht="13.5" thickBot="1" x14ac:dyDescent="0.35">
      <c r="B101" s="74"/>
      <c r="D101" s="437" t="s">
        <v>350</v>
      </c>
      <c r="E101" s="6">
        <f ca="1">XpropuRef-Long_propu</f>
        <v>822</v>
      </c>
      <c r="F101" s="252"/>
      <c r="G101" s="48"/>
      <c r="H101" s="48"/>
      <c r="I101" s="48"/>
      <c r="J101" s="441">
        <f>n_ail</f>
        <v>80</v>
      </c>
      <c r="K101" s="2"/>
      <c r="N101" s="75"/>
    </row>
    <row r="102" spans="2:14" ht="13" x14ac:dyDescent="0.3">
      <c r="B102" s="74"/>
      <c r="D102" s="437" t="s">
        <v>347</v>
      </c>
      <c r="E102" s="6">
        <f>IF(LEFT(Forme_ogive,4)="Ogiv",1,0)</f>
        <v>0</v>
      </c>
      <c r="F102" s="252" t="s">
        <v>348</v>
      </c>
      <c r="G102" s="48"/>
      <c r="H102" s="48"/>
      <c r="I102" s="48"/>
      <c r="J102" s="436"/>
      <c r="K102" s="48"/>
      <c r="N102" s="75"/>
    </row>
    <row r="103" spans="2:14" ht="13" x14ac:dyDescent="0.3">
      <c r="B103" s="74"/>
      <c r="D103" s="437"/>
      <c r="E103" s="6">
        <f>IF(LEFT(Forme_ogive,3)="Con",1,0)</f>
        <v>1</v>
      </c>
      <c r="F103" s="252" t="s">
        <v>160</v>
      </c>
      <c r="G103" s="48"/>
      <c r="H103" s="48"/>
      <c r="I103" s="48"/>
      <c r="J103" s="436"/>
      <c r="K103" s="48"/>
      <c r="N103" s="75"/>
    </row>
    <row r="104" spans="2:14" ht="13.5" thickBot="1" x14ac:dyDescent="0.35">
      <c r="B104" s="74"/>
      <c r="D104" s="431"/>
      <c r="E104" s="274">
        <f>IF(LEFT(Forme_ogive,5)="Parab",1,0)</f>
        <v>0</v>
      </c>
      <c r="F104" s="289" t="s">
        <v>349</v>
      </c>
      <c r="G104" s="48"/>
      <c r="H104" s="48"/>
      <c r="I104" s="48"/>
      <c r="J104" s="12" t="s">
        <v>345</v>
      </c>
      <c r="K104" s="48"/>
      <c r="N104" s="75"/>
    </row>
    <row r="105" spans="2:14" ht="13.5" thickBot="1" x14ac:dyDescent="0.35">
      <c r="B105" s="74"/>
      <c r="D105" s="2"/>
      <c r="E105" s="2"/>
      <c r="F105" s="2"/>
      <c r="G105" s="273"/>
      <c r="H105" s="441">
        <f>E_ail</f>
        <v>100</v>
      </c>
      <c r="I105" s="273"/>
      <c r="J105" s="441">
        <f>ep_ail</f>
        <v>3</v>
      </c>
      <c r="K105" s="48"/>
      <c r="N105" s="75"/>
    </row>
    <row r="106" spans="2:14" ht="13" x14ac:dyDescent="0.3">
      <c r="B106" s="74"/>
      <c r="D106" s="429"/>
      <c r="E106" s="246" t="s">
        <v>354</v>
      </c>
      <c r="F106" s="243" t="s">
        <v>353</v>
      </c>
      <c r="N106" s="75"/>
    </row>
    <row r="107" spans="2:14" ht="13" x14ac:dyDescent="0.3">
      <c r="B107" s="74"/>
      <c r="D107" s="437" t="s">
        <v>351</v>
      </c>
      <c r="E107" s="6">
        <f>MasseSans</f>
        <v>2</v>
      </c>
      <c r="F107" s="244">
        <f ca="1">MassePlein</f>
        <v>2.1598999999999999</v>
      </c>
      <c r="N107" s="75"/>
    </row>
    <row r="108" spans="2:14" ht="13" x14ac:dyDescent="0.3">
      <c r="B108" s="74"/>
      <c r="D108" s="431" t="s">
        <v>352</v>
      </c>
      <c r="E108" s="274">
        <f>XcgSans</f>
        <v>610</v>
      </c>
      <c r="F108" s="260">
        <f ca="1">XcgPlein</f>
        <v>634.1341728783741</v>
      </c>
      <c r="N108" s="75"/>
    </row>
    <row r="109" spans="2:14" x14ac:dyDescent="0.25">
      <c r="B109" s="74"/>
      <c r="N109" s="75"/>
    </row>
    <row r="110" spans="2:14" ht="13" x14ac:dyDescent="0.3">
      <c r="B110" s="74"/>
      <c r="D110" s="438" t="s">
        <v>355</v>
      </c>
      <c r="E110" s="439">
        <f ca="1">MasseVide</f>
        <v>2.0842999999999998</v>
      </c>
      <c r="G110" s="429" t="s">
        <v>356</v>
      </c>
      <c r="H110" s="265"/>
      <c r="I110" s="265"/>
      <c r="J110" s="266"/>
      <c r="N110" s="75"/>
    </row>
    <row r="111" spans="2:14" ht="13" x14ac:dyDescent="0.3">
      <c r="B111" s="74"/>
      <c r="G111" s="276" t="s">
        <v>214</v>
      </c>
      <c r="H111" s="6">
        <f>Beta_rampe</f>
        <v>82.43</v>
      </c>
      <c r="I111" s="6">
        <v>80</v>
      </c>
      <c r="J111" s="244">
        <v>90</v>
      </c>
      <c r="N111" s="75"/>
    </row>
    <row r="112" spans="2:14" ht="13" x14ac:dyDescent="0.25">
      <c r="B112" s="74"/>
      <c r="G112" s="278" t="s">
        <v>216</v>
      </c>
      <c r="H112" s="247">
        <f ca="1">Temps_culmi</f>
        <v>20.499999999999993</v>
      </c>
      <c r="I112" s="259"/>
      <c r="J112" s="268"/>
      <c r="N112" s="75"/>
    </row>
    <row r="113" spans="2:14" ht="12.75" customHeight="1" x14ac:dyDescent="0.35">
      <c r="B113" s="74"/>
      <c r="D113" s="435" t="s">
        <v>357</v>
      </c>
      <c r="E113" s="48"/>
      <c r="G113" s="278" t="s">
        <v>217</v>
      </c>
      <c r="H113" s="242">
        <f ca="1">Altitude_culmi</f>
        <v>2283.3016154512825</v>
      </c>
      <c r="I113" s="259"/>
      <c r="J113" s="268"/>
      <c r="N113" s="75"/>
    </row>
    <row r="114" spans="2:14" ht="12.75" customHeight="1" x14ac:dyDescent="0.35">
      <c r="B114" s="74"/>
      <c r="D114" s="48"/>
      <c r="E114" s="48"/>
      <c r="F114" s="435"/>
      <c r="G114" s="278" t="s">
        <v>218</v>
      </c>
      <c r="H114" s="248">
        <f ca="1">Vit_culmi</f>
        <v>15.654423708316017</v>
      </c>
      <c r="I114" s="259"/>
      <c r="J114" s="268"/>
      <c r="N114" s="75"/>
    </row>
    <row r="115" spans="2:14" ht="13" x14ac:dyDescent="0.3">
      <c r="B115" s="74"/>
      <c r="C115" s="429" t="s">
        <v>358</v>
      </c>
      <c r="D115" s="249"/>
      <c r="E115" s="446">
        <v>0.1</v>
      </c>
      <c r="G115" s="278" t="s">
        <v>134</v>
      </c>
      <c r="H115" s="242">
        <f ca="1">Portee_balistique</f>
        <v>677.64536374242232</v>
      </c>
      <c r="I115" s="259"/>
      <c r="J115" s="268"/>
      <c r="N115" s="75"/>
    </row>
    <row r="116" spans="2:14" ht="12.75" customHeight="1" x14ac:dyDescent="0.3">
      <c r="B116" s="74"/>
      <c r="C116" s="431" t="s">
        <v>359</v>
      </c>
      <c r="D116" s="255"/>
      <c r="E116" s="447">
        <f>E_ail*(m_ail+n_ail)/2</f>
        <v>12900</v>
      </c>
      <c r="G116" s="278" t="s">
        <v>138</v>
      </c>
      <c r="H116" s="248">
        <f ca="1">Vit_max</f>
        <v>229.2579658968146</v>
      </c>
      <c r="I116" s="259"/>
      <c r="J116" s="268"/>
      <c r="N116" s="75"/>
    </row>
    <row r="117" spans="2:14" ht="12.75" customHeight="1" x14ac:dyDescent="0.3">
      <c r="B117" s="74"/>
      <c r="D117" s="48"/>
      <c r="E117" s="48"/>
      <c r="F117" s="48"/>
      <c r="G117" s="278" t="s">
        <v>137</v>
      </c>
      <c r="H117" s="242">
        <f ca="1">Acc_max</f>
        <v>79.727305088659435</v>
      </c>
      <c r="I117" s="259"/>
      <c r="J117" s="268"/>
      <c r="N117" s="75"/>
    </row>
    <row r="118" spans="2:14" ht="13" x14ac:dyDescent="0.3">
      <c r="B118" s="74"/>
      <c r="C118" s="429" t="s">
        <v>360</v>
      </c>
      <c r="D118" s="249"/>
      <c r="E118" s="457"/>
      <c r="F118" s="458">
        <f>J90/100</f>
        <v>8.2200000000000006</v>
      </c>
      <c r="G118" s="276" t="s">
        <v>5</v>
      </c>
      <c r="H118" s="6">
        <f>Cx</f>
        <v>0.5</v>
      </c>
      <c r="I118" s="259"/>
      <c r="J118" s="268"/>
      <c r="N118" s="75"/>
    </row>
    <row r="119" spans="2:14" ht="13" x14ac:dyDescent="0.3">
      <c r="B119" s="74"/>
      <c r="C119" s="437" t="s">
        <v>361</v>
      </c>
      <c r="D119" s="2"/>
      <c r="E119" s="459">
        <f ca="1">2*Acc_max*MasseSans</f>
        <v>318.90922035463774</v>
      </c>
      <c r="F119" s="460">
        <f ca="1">E119/g</f>
        <v>32.50858515337795</v>
      </c>
      <c r="G119" s="269" t="s">
        <v>223</v>
      </c>
      <c r="H119" s="270"/>
      <c r="I119" s="270"/>
      <c r="J119" s="271"/>
      <c r="N119" s="75"/>
    </row>
    <row r="120" spans="2:14" ht="13" x14ac:dyDescent="0.3">
      <c r="B120" s="74"/>
      <c r="C120" s="437" t="s">
        <v>362</v>
      </c>
      <c r="D120" s="2"/>
      <c r="E120" s="459">
        <f ca="1">2*Acc_max*E115</f>
        <v>15.945461017731887</v>
      </c>
      <c r="F120" s="460">
        <f ca="1">E120/g</f>
        <v>1.6254292576688976</v>
      </c>
      <c r="N120" s="75"/>
    </row>
    <row r="121" spans="2:14" ht="13" x14ac:dyDescent="0.3">
      <c r="B121" s="74"/>
      <c r="C121" s="431" t="s">
        <v>363</v>
      </c>
      <c r="D121" s="255"/>
      <c r="E121" s="452">
        <f ca="1">0.104*E116/1000000*Vit_max^2</f>
        <v>70.513442746257724</v>
      </c>
      <c r="F121" s="453">
        <f ca="1">E121/g</f>
        <v>7.187914653033407</v>
      </c>
      <c r="G121" s="48"/>
      <c r="H121" s="48"/>
      <c r="I121" s="48"/>
      <c r="J121" s="48"/>
      <c r="N121" s="75"/>
    </row>
    <row r="122" spans="2:14" ht="12.75" customHeight="1" x14ac:dyDescent="0.25">
      <c r="B122" s="74"/>
      <c r="H122" s="48"/>
      <c r="I122" s="48"/>
      <c r="J122" s="48"/>
      <c r="N122" s="75"/>
    </row>
    <row r="123" spans="2:14" ht="12.75" customHeight="1" x14ac:dyDescent="0.35">
      <c r="B123" s="74"/>
      <c r="G123" s="435"/>
      <c r="H123" s="435"/>
      <c r="I123" s="435"/>
      <c r="J123" s="48"/>
      <c r="N123" s="75"/>
    </row>
    <row r="124" spans="2:14" ht="12.75" customHeight="1" x14ac:dyDescent="0.35">
      <c r="B124" s="74"/>
      <c r="C124" s="48"/>
      <c r="D124" s="435" t="s">
        <v>364</v>
      </c>
      <c r="E124" s="448"/>
      <c r="J124" s="48"/>
      <c r="K124" s="48"/>
      <c r="N124" s="75"/>
    </row>
    <row r="125" spans="2:14" ht="13" x14ac:dyDescent="0.3">
      <c r="B125" s="74"/>
      <c r="C125" s="445" t="s">
        <v>365</v>
      </c>
      <c r="J125" s="48"/>
      <c r="K125" s="48"/>
      <c r="N125" s="75"/>
    </row>
    <row r="126" spans="2:14" ht="13" x14ac:dyDescent="0.3">
      <c r="B126" s="74"/>
      <c r="C126" s="429" t="s">
        <v>366</v>
      </c>
      <c r="D126" s="249"/>
      <c r="E126" s="449">
        <v>4</v>
      </c>
      <c r="G126" s="48"/>
      <c r="J126" s="48"/>
      <c r="N126" s="75"/>
    </row>
    <row r="127" spans="2:14" ht="13" x14ac:dyDescent="0.3">
      <c r="B127" s="74"/>
      <c r="C127" s="431" t="s">
        <v>367</v>
      </c>
      <c r="D127" s="255"/>
      <c r="E127" s="456">
        <f>S_para</f>
        <v>0.24</v>
      </c>
      <c r="G127" s="48"/>
      <c r="J127" s="48"/>
      <c r="N127" s="75"/>
    </row>
    <row r="128" spans="2:14" ht="13" x14ac:dyDescent="0.3">
      <c r="B128" s="74"/>
      <c r="C128" s="671" t="s">
        <v>368</v>
      </c>
      <c r="D128" s="672"/>
      <c r="E128" s="450">
        <f ca="1">0.5*Rho_moyen*S_para*Vit_culmi^2</f>
        <v>36.023964301004526</v>
      </c>
      <c r="F128" s="451">
        <f ca="1">E128/g</f>
        <v>3.6721676147812969</v>
      </c>
      <c r="H128" s="48"/>
      <c r="I128" s="48"/>
      <c r="J128" s="48"/>
      <c r="K128" s="48"/>
      <c r="N128" s="75"/>
    </row>
    <row r="129" spans="2:14" ht="13" x14ac:dyDescent="0.3">
      <c r="B129" s="74"/>
      <c r="C129" s="669" t="s">
        <v>369</v>
      </c>
      <c r="D129" s="670"/>
      <c r="E129" s="452">
        <f ca="1">E128/E126*2</f>
        <v>18.011982150502263</v>
      </c>
      <c r="F129" s="453">
        <f ca="1">E129/g</f>
        <v>1.8360838073906485</v>
      </c>
      <c r="H129" s="48"/>
      <c r="I129" s="48"/>
      <c r="J129" s="48"/>
      <c r="K129" s="48"/>
      <c r="N129" s="75"/>
    </row>
    <row r="130" spans="2:14" x14ac:dyDescent="0.25">
      <c r="B130" s="74"/>
      <c r="C130" s="47"/>
      <c r="D130" s="47"/>
      <c r="E130" s="443"/>
      <c r="F130" s="444"/>
      <c r="H130" s="48"/>
      <c r="I130" s="48"/>
      <c r="J130" s="48"/>
      <c r="K130" s="48"/>
      <c r="N130" s="75"/>
    </row>
    <row r="131" spans="2:14" ht="13" x14ac:dyDescent="0.3">
      <c r="B131" s="74"/>
      <c r="C131" s="445" t="s">
        <v>370</v>
      </c>
      <c r="D131" s="48"/>
      <c r="E131" s="48"/>
      <c r="F131" s="48"/>
      <c r="G131" s="48"/>
      <c r="H131" s="48"/>
      <c r="I131" s="48"/>
      <c r="J131" s="48"/>
      <c r="K131" s="48"/>
      <c r="N131" s="75"/>
    </row>
    <row r="132" spans="2:14" ht="13" x14ac:dyDescent="0.3">
      <c r="B132" s="74"/>
      <c r="C132" s="671" t="s">
        <v>371</v>
      </c>
      <c r="D132" s="672"/>
      <c r="E132" s="454">
        <v>1</v>
      </c>
      <c r="F132" s="48"/>
      <c r="G132" s="48"/>
      <c r="H132" s="48"/>
      <c r="I132" s="48"/>
      <c r="J132" s="442"/>
      <c r="K132" s="48"/>
      <c r="N132" s="75"/>
    </row>
    <row r="133" spans="2:14" ht="13" x14ac:dyDescent="0.3">
      <c r="B133" s="74"/>
      <c r="C133" s="669" t="s">
        <v>372</v>
      </c>
      <c r="D133" s="670"/>
      <c r="E133" s="455">
        <f ca="1">2*E132*Acc_max/g</f>
        <v>16.254292576688975</v>
      </c>
      <c r="F133" s="48"/>
      <c r="G133" s="48"/>
      <c r="H133" s="48"/>
      <c r="I133" s="48"/>
      <c r="J133" s="48"/>
      <c r="K133" s="48"/>
      <c r="N133" s="75"/>
    </row>
    <row r="134" spans="2:14" ht="13" thickBot="1" x14ac:dyDescent="0.3">
      <c r="B134" s="77"/>
      <c r="C134" s="461"/>
      <c r="D134" s="461"/>
      <c r="E134" s="461"/>
      <c r="F134" s="461"/>
      <c r="G134" s="461"/>
      <c r="H134" s="461"/>
      <c r="I134" s="461"/>
      <c r="J134" s="461"/>
      <c r="K134" s="461"/>
      <c r="L134" s="78"/>
      <c r="M134" s="78"/>
      <c r="N134" s="79"/>
    </row>
  </sheetData>
  <sheetProtection password="C6AC" sheet="1"/>
  <mergeCells count="22">
    <mergeCell ref="C133:D133"/>
    <mergeCell ref="C128:D128"/>
    <mergeCell ref="C129:D129"/>
    <mergeCell ref="C132:D132"/>
    <mergeCell ref="H44:I44"/>
    <mergeCell ref="H45:I45"/>
    <mergeCell ref="H46:I46"/>
    <mergeCell ref="E31:G31"/>
    <mergeCell ref="M29:M30"/>
    <mergeCell ref="H30:I30"/>
    <mergeCell ref="L29:L30"/>
    <mergeCell ref="H31:I31"/>
    <mergeCell ref="H11:I11"/>
    <mergeCell ref="H12:I12"/>
    <mergeCell ref="H13:I13"/>
    <mergeCell ref="H29:K29"/>
    <mergeCell ref="C29:C30"/>
    <mergeCell ref="D29:D30"/>
    <mergeCell ref="H17:I17"/>
    <mergeCell ref="H18:I18"/>
    <mergeCell ref="H19:I19"/>
    <mergeCell ref="E29:G30"/>
  </mergeCells>
  <phoneticPr fontId="8" type="noConversion"/>
  <conditionalFormatting sqref="D18:E18">
    <cfRule type="expression" dxfId="2" priority="2" stopIfTrue="1">
      <formula>IF(Propu="Cariacou",0,1)</formula>
    </cfRule>
  </conditionalFormatting>
  <conditionalFormatting sqref="F18:I19">
    <cfRule type="expression" dxfId="1" priority="1" stopIfTrue="1">
      <formula>IF(Propu="Cariacou",1,0)</formula>
    </cfRule>
  </conditionalFormatting>
  <conditionalFormatting sqref="I16 I68:I73">
    <cfRule type="expression" dxfId="0" priority="6" stopIfTrue="1">
      <formula>Nb_sat="0 satellite"</formula>
    </cfRule>
  </conditionalFormatting>
  <pageMargins left="0.39370078740157483" right="0.39370078740157483" top="0.39370078740157483" bottom="0.39370078740157483" header="0" footer="0"/>
  <pageSetup paperSize="9" scale="61" orientation="portrait" r:id="rId1"/>
  <ignoredErrors>
    <ignoredError sqref="H65 H6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214</vt:i4>
      </vt:variant>
    </vt:vector>
  </HeadingPairs>
  <TitlesOfParts>
    <vt:vector size="222" baseType="lpstr">
      <vt:lpstr>Stabilito</vt:lpstr>
      <vt:lpstr>Trajecto</vt:lpstr>
      <vt:lpstr>Courbes</vt:lpstr>
      <vt:lpstr>Propu</vt:lpstr>
      <vt:lpstr>Calculs</vt:lpstr>
      <vt:lpstr>Abaco</vt:lpstr>
      <vt:lpstr>Info</vt:lpstr>
      <vt:lpstr>Controle</vt:lpstr>
      <vt:lpstr>a_prop</vt:lpstr>
      <vt:lpstr>Acc_max</vt:lpstr>
      <vt:lpstr>acc_x</vt:lpstr>
      <vt:lpstr>acc_xz</vt:lpstr>
      <vt:lpstr>acc_z</vt:lpstr>
      <vt:lpstr>Alt_para</vt:lpstr>
      <vt:lpstr>alt_prop</vt:lpstr>
      <vt:lpstr>Alt_rampe</vt:lpstr>
      <vt:lpstr>Alt_sat</vt:lpstr>
      <vt:lpstr>Altitude_culmi</vt:lpstr>
      <vt:lpstr>b_bal</vt:lpstr>
      <vt:lpstr>b_prop</vt:lpstr>
      <vt:lpstr>Beta</vt:lpstr>
      <vt:lpstr>Beta_rampe</vt:lpstr>
      <vt:lpstr>BetaD</vt:lpstr>
      <vt:lpstr>CdP</vt:lpstr>
      <vt:lpstr>CdP_P</vt:lpstr>
      <vt:lpstr>CdP_t</vt:lpstr>
      <vt:lpstr>Club</vt:lpstr>
      <vt:lpstr>Cn</vt:lpstr>
      <vt:lpstr>Cn0</vt:lpstr>
      <vt:lpstr>Stabilito!Cnai</vt:lpstr>
      <vt:lpstr>Cnai0</vt:lpstr>
      <vt:lpstr>Stabilito!Cnail</vt:lpstr>
      <vt:lpstr>Stabilito!Cnc</vt:lpstr>
      <vt:lpstr>Stabilito!Cni</vt:lpstr>
      <vt:lpstr>Cni0</vt:lpstr>
      <vt:lpstr>Stabilito!Cnj</vt:lpstr>
      <vt:lpstr>Stabilito!Cno</vt:lpstr>
      <vt:lpstr>Stabilito!Cnr</vt:lpstr>
      <vt:lpstr>Combustion</vt:lpstr>
      <vt:lpstr>Stabilito!CritCnmax</vt:lpstr>
      <vt:lpstr>Stabilito!CritCnmin</vt:lpstr>
      <vt:lpstr>Stabilito!CritFinessemax</vt:lpstr>
      <vt:lpstr>Stabilito!CritFinessemin</vt:lpstr>
      <vt:lpstr>Stabilito!CritMsCnmax</vt:lpstr>
      <vt:lpstr>Stabilito!CritMsCnmin</vt:lpstr>
      <vt:lpstr>Stabilito!CritMsmax</vt:lpstr>
      <vt:lpstr>Stabilito!CritMsmin</vt:lpstr>
      <vt:lpstr>Cx</vt:lpstr>
      <vt:lpstr>Cx_para</vt:lpstr>
      <vt:lpstr>Cx_satellite</vt:lpstr>
      <vt:lpstr>D_ail</vt:lpstr>
      <vt:lpstr>Stabilito!D_can</vt:lpstr>
      <vt:lpstr>Stabilito!D_int</vt:lpstr>
      <vt:lpstr>D_og</vt:lpstr>
      <vt:lpstr>D_ref</vt:lpstr>
      <vt:lpstr>D_var</vt:lpstr>
      <vt:lpstr>D1j</vt:lpstr>
      <vt:lpstr>D1r</vt:lpstr>
      <vt:lpstr>D2j</vt:lpstr>
      <vt:lpstr>D2r</vt:lpstr>
      <vt:lpstr>Débit</vt:lpstr>
      <vt:lpstr>Depotage</vt:lpstr>
      <vt:lpstr>Diam_propu</vt:lpstr>
      <vt:lpstr>Dt_para</vt:lpstr>
      <vt:lpstr>Dt_satellite</vt:lpstr>
      <vt:lpstr>Dx_para</vt:lpstr>
      <vt:lpstr>Dx_sat</vt:lpstr>
      <vt:lpstr>E_ail</vt:lpstr>
      <vt:lpstr>E_can</vt:lpstr>
      <vt:lpstr>Stabilito!E_int</vt:lpstr>
      <vt:lpstr>ep_ail</vt:lpstr>
      <vt:lpstr>ep_can</vt:lpstr>
      <vt:lpstr>Stabilito!ep_int</vt:lpstr>
      <vt:lpstr>Event</vt:lpstr>
      <vt:lpstr>Event_para</vt:lpstr>
      <vt:lpstr>Event_sat</vt:lpstr>
      <vt:lpstr>Stabilito!f_ail</vt:lpstr>
      <vt:lpstr>Stabilito!f_can</vt:lpstr>
      <vt:lpstr>Stabilito!f_int</vt:lpstr>
      <vt:lpstr>Finesse</vt:lpstr>
      <vt:lpstr>Forme_ogive</vt:lpstr>
      <vt:lpstr>g</vt:lpstr>
      <vt:lpstr>i_P</vt:lpstr>
      <vt:lpstr>I_total</vt:lpstr>
      <vt:lpstr>ISP</vt:lpstr>
      <vt:lpstr>l_j</vt:lpstr>
      <vt:lpstr>l_r</vt:lpstr>
      <vt:lpstr>L_rampe</vt:lpstr>
      <vt:lpstr>Lang</vt:lpstr>
      <vt:lpstr>Liste_µfu</vt:lpstr>
      <vt:lpstr>Liste_fusex</vt:lpstr>
      <vt:lpstr>Liste_H2O</vt:lpstr>
      <vt:lpstr>Liste_minif</vt:lpstr>
      <vt:lpstr>Liste_minifT</vt:lpstr>
      <vt:lpstr>Liste_propu</vt:lpstr>
      <vt:lpstr>Liste_RC</vt:lpstr>
      <vt:lpstr>Long_ogive</vt:lpstr>
      <vt:lpstr>Long_propu</vt:lpstr>
      <vt:lpstr>Long_tot</vt:lpstr>
      <vt:lpstr>m</vt:lpstr>
      <vt:lpstr>m_ail</vt:lpstr>
      <vt:lpstr>m_bal</vt:lpstr>
      <vt:lpstr>m_can</vt:lpstr>
      <vt:lpstr>Stabilito!m_int</vt:lpstr>
      <vt:lpstr>m_poudre</vt:lpstr>
      <vt:lpstr>m_prop</vt:lpstr>
      <vt:lpstr>m_satellite</vt:lpstr>
      <vt:lpstr>m_tot</vt:lpstr>
      <vt:lpstr>m_var</vt:lpstr>
      <vt:lpstr>m_vide</vt:lpstr>
      <vt:lpstr>Masse_ail</vt:lpstr>
      <vt:lpstr>MassePlein</vt:lpstr>
      <vt:lpstr>MasseSans</vt:lpstr>
      <vt:lpstr>MasseVide</vt:lpstr>
      <vt:lpstr>Menu_Empennage</vt:lpstr>
      <vt:lpstr>Menu_Lang</vt:lpstr>
      <vt:lpstr>Menu_Ogive</vt:lpstr>
      <vt:lpstr>Menu_sat</vt:lpstr>
      <vt:lpstr>Menu_Transitions</vt:lpstr>
      <vt:lpstr>Menu_Type</vt:lpstr>
      <vt:lpstr>Menu_with_motor</vt:lpstr>
      <vt:lpstr>MpropuPlein</vt:lpstr>
      <vt:lpstr>MpropuVide</vt:lpstr>
      <vt:lpstr>MS_Cn_max</vt:lpstr>
      <vt:lpstr>MS_Cn_min</vt:lpstr>
      <vt:lpstr>MS_max</vt:lpstr>
      <vt:lpstr>MS_min</vt:lpstr>
      <vt:lpstr>n_ail</vt:lpstr>
      <vt:lpstr>n_can</vt:lpstr>
      <vt:lpstr>Stabilito!n_int</vt:lpstr>
      <vt:lpstr>Nb_diam</vt:lpstr>
      <vt:lpstr>Nb_sat</vt:lpstr>
      <vt:lpstr>Nom</vt:lpstr>
      <vt:lpstr>p_ail</vt:lpstr>
      <vt:lpstr>p_can</vt:lpstr>
      <vt:lpstr>Stabilito!p_int</vt:lpstr>
      <vt:lpstr>pas</vt:lpstr>
      <vt:lpstr>Poids</vt:lpstr>
      <vt:lpstr>Portee_balistique</vt:lpstr>
      <vt:lpstr>pos_x</vt:lpstr>
      <vt:lpstr>pos_xz</vt:lpstr>
      <vt:lpstr>pos_z</vt:lpstr>
      <vt:lpstr>pos_z_montant</vt:lpstr>
      <vt:lpstr>Poussee</vt:lpstr>
      <vt:lpstr>Propu</vt:lpstr>
      <vt:lpstr>Q_ail</vt:lpstr>
      <vt:lpstr>Q_can</vt:lpstr>
      <vt:lpstr>Stabilito!Q_int</vt:lpstr>
      <vt:lpstr>Q_var</vt:lpstr>
      <vt:lpstr>R_rampe</vt:lpstr>
      <vt:lpstr>Rho</vt:lpstr>
      <vt:lpstr>Rho_moyen</vt:lpstr>
      <vt:lpstr>S_ail</vt:lpstr>
      <vt:lpstr>S_para</vt:lpstr>
      <vt:lpstr>S_para_croix</vt:lpstr>
      <vt:lpstr>S_para_rond</vt:lpstr>
      <vt:lpstr>S_satellite</vt:lpstr>
      <vt:lpstr>Sref</vt:lpstr>
      <vt:lpstr>sS</vt:lpstr>
      <vt:lpstr>t</vt:lpstr>
      <vt:lpstr>T_balistique</vt:lpstr>
      <vt:lpstr>T_ini</vt:lpstr>
      <vt:lpstr>T_para</vt:lpstr>
      <vt:lpstr>T_satellite</vt:lpstr>
      <vt:lpstr>Temps_culmi</vt:lpstr>
      <vt:lpstr>Temps_fin_propu</vt:lpstr>
      <vt:lpstr>Trainee</vt:lpstr>
      <vt:lpstr>tT_fus</vt:lpstr>
      <vt:lpstr>tT_sat</vt:lpstr>
      <vt:lpstr>Type_fusee</vt:lpstr>
      <vt:lpstr>Abaco!Type_masquage</vt:lpstr>
      <vt:lpstr>Stabilito!Type_masquage</vt:lpstr>
      <vt:lpstr>Type_propu</vt:lpstr>
      <vt:lpstr>V_ini</vt:lpstr>
      <vt:lpstr>V_ouv_sat</vt:lpstr>
      <vt:lpstr>V_ouverture</vt:lpstr>
      <vt:lpstr>V_para</vt:lpstr>
      <vt:lpstr>V_prop</vt:lpstr>
      <vt:lpstr>V_satellite</vt:lpstr>
      <vt:lpstr>V_vent</vt:lpstr>
      <vt:lpstr>V_vent_sat</vt:lpstr>
      <vt:lpstr>Stabilito!Version</vt:lpstr>
      <vt:lpstr>Trajecto!Version</vt:lpstr>
      <vt:lpstr>Vit_culmi</vt:lpstr>
      <vt:lpstr>Vit_max</vt:lpstr>
      <vt:lpstr>vit_x</vt:lpstr>
      <vt:lpstr>vit_xz</vt:lpstr>
      <vt:lpstr>vit_z</vt:lpstr>
      <vt:lpstr>Vsortie_de_rampe</vt:lpstr>
      <vt:lpstr>X_ail</vt:lpstr>
      <vt:lpstr>X_can</vt:lpstr>
      <vt:lpstr>X_culmi</vt:lpstr>
      <vt:lpstr>X_ini</vt:lpstr>
      <vt:lpstr>Stabilito!X_int</vt:lpstr>
      <vt:lpstr>X_j</vt:lpstr>
      <vt:lpstr>X_para</vt:lpstr>
      <vt:lpstr>X_r</vt:lpstr>
      <vt:lpstr>X_satellite</vt:lpstr>
      <vt:lpstr>XcgPlein</vt:lpstr>
      <vt:lpstr>XcgSans</vt:lpstr>
      <vt:lpstr>XcgVide</vt:lpstr>
      <vt:lpstr>Stabilito!XCp</vt:lpstr>
      <vt:lpstr>XCp0</vt:lpstr>
      <vt:lpstr>Stabilito!XCpa</vt:lpstr>
      <vt:lpstr>Stabilito!XCpai</vt:lpstr>
      <vt:lpstr>XCpai0</vt:lpstr>
      <vt:lpstr>Stabilito!XCpc</vt:lpstr>
      <vt:lpstr>Stabilito!XCpi</vt:lpstr>
      <vt:lpstr>XCpi0</vt:lpstr>
      <vt:lpstr>Stabilito!XCpj</vt:lpstr>
      <vt:lpstr>Stabilito!XCpo</vt:lpstr>
      <vt:lpstr>Stabilito!XCpr</vt:lpstr>
      <vt:lpstr>XpropuPlein</vt:lpstr>
      <vt:lpstr>XpropuRef</vt:lpstr>
      <vt:lpstr>XpropuVide</vt:lpstr>
      <vt:lpstr>Z_ini</vt:lpstr>
      <vt:lpstr>Abaco!Zone_d_impression</vt:lpstr>
      <vt:lpstr>Courbes!Zone_d_impression</vt:lpstr>
      <vt:lpstr>Stabilito!Zone_d_impression</vt:lpstr>
      <vt:lpstr>Trajecto!Zone_d_impression</vt:lpstr>
      <vt:lpstr>zZ_fus</vt:lpstr>
      <vt:lpstr>zZ_sat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StabTraj</dc:title>
  <dc:creator>Léo Côme;Sylvain Besson</dc:creator>
  <cp:lastModifiedBy>Alexis Paillard</cp:lastModifiedBy>
  <cp:lastPrinted>2011-11-08T21:12:34Z</cp:lastPrinted>
  <dcterms:created xsi:type="dcterms:W3CDTF">2008-11-03T20:48:06Z</dcterms:created>
  <dcterms:modified xsi:type="dcterms:W3CDTF">2025-02-20T07:34:15Z</dcterms:modified>
</cp:coreProperties>
</file>